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6\2026 E-Apps\Round 1\"/>
    </mc:Choice>
  </mc:AlternateContent>
  <xr:revisionPtr revIDLastSave="0" documentId="13_ncr:1_{7CDD2653-C896-4AD8-B2B6-108C0F0D1B59}"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10" yWindow="-110" windowWidth="19420" windowHeight="10300" tabRatio="889"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4" i="7" l="1"/>
  <c r="I24" i="7" s="1"/>
  <c r="K24" i="7" s="1"/>
  <c r="M24" i="7" s="1"/>
  <c r="O24" i="7" s="1"/>
  <c r="Q24" i="7" s="1"/>
  <c r="S24" i="7" s="1"/>
  <c r="U24" i="7" s="1"/>
  <c r="W24" i="7" s="1"/>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5" i="24" a="1"/>
  <c r="BB5" i="24" s="1"/>
  <c r="BB4" i="24" l="1" a="1"/>
  <c r="BB4"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Y24" i="7"/>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B26" i="4" l="1"/>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S63" i="4"/>
  <c r="E10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AJ634" i="20" l="1"/>
  <c r="AK816" i="20" s="1"/>
  <c r="T841" i="20" s="1"/>
  <c r="AF841" i="20" s="1"/>
  <c r="BE82" i="3" s="1"/>
  <c r="G108" i="21"/>
  <c r="D105" i="11"/>
  <c r="N190" i="24"/>
  <c r="I15" i="21"/>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S97" i="4"/>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O31" i="21" l="1"/>
  <c r="P31" i="21" s="1" a="1"/>
  <c r="P31" i="21" s="1"/>
  <c r="S31" i="21" s="1"/>
  <c r="O30" i="21"/>
  <c r="P30" i="21" s="1" a="1"/>
  <c r="P30" i="21" s="1"/>
  <c r="S30" i="21" s="1"/>
  <c r="O29" i="21"/>
  <c r="P29" i="21" s="1" a="1"/>
  <c r="P29" i="21" s="1"/>
  <c r="S29" i="21" s="1"/>
  <c r="O28" i="21"/>
  <c r="P28" i="21" s="1" a="1"/>
  <c r="P28" i="21" s="1"/>
  <c r="S28" i="21" s="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H107" i="13" s="1"/>
  <c r="Q58" i="7"/>
  <c r="S53" i="7"/>
  <c r="G45" i="21"/>
  <c r="G47" i="21" s="1"/>
  <c r="E10" i="21" s="1"/>
  <c r="E11" i="21"/>
  <c r="AP718" i="20"/>
  <c r="AP719" i="20"/>
  <c r="I4" i="7"/>
  <c r="I5" i="7" s="1"/>
  <c r="K9" i="7"/>
  <c r="E11" i="7"/>
  <c r="E37" i="7" s="1"/>
  <c r="E49" i="7" s="1"/>
  <c r="AJ1001" i="3"/>
  <c r="AJ1038" i="3" s="1"/>
  <c r="E137" i="20"/>
  <c r="E138" i="20" s="1"/>
  <c r="AK142" i="20" s="1"/>
  <c r="AB1000" i="3"/>
  <c r="DU810" i="3"/>
  <c r="U386" i="20" s="1"/>
  <c r="P430" i="3"/>
  <c r="I6" i="7"/>
  <c r="G7" i="7"/>
  <c r="G11" i="7" s="1"/>
  <c r="G37" i="7" s="1"/>
  <c r="M22" i="7"/>
  <c r="M35" i="7" s="1"/>
  <c r="O15" i="7"/>
  <c r="M9" i="7"/>
  <c r="O8" i="7"/>
  <c r="G27" i="21"/>
  <c r="F26" i="21"/>
  <c r="AC465" i="3" l="1"/>
  <c r="AD11" i="15"/>
  <c r="AD23" i="15" s="1"/>
  <c r="AD26" i="15" s="1"/>
  <c r="AD28" i="15" s="1"/>
  <c r="AI11" i="15"/>
  <c r="AI23" i="15" s="1"/>
  <c r="AI26" i="15" s="1"/>
  <c r="AI28" i="15" s="1"/>
  <c r="BE72" i="3"/>
  <c r="G166" i="21"/>
  <c r="G165" i="21"/>
  <c r="N181" i="24"/>
  <c r="N191" i="24"/>
  <c r="T829" i="20"/>
  <c r="AF829" i="20" s="1"/>
  <c r="T833" i="20"/>
  <c r="AF833" i="20" s="1"/>
  <c r="BE76" i="3"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Y11" i="15"/>
  <c r="Y23" i="15" s="1"/>
  <c r="Y26" i="15" s="1"/>
  <c r="Y28" i="15" s="1"/>
  <c r="BE74" i="3"/>
  <c r="AP566" i="20"/>
  <c r="U58" i="7"/>
  <c r="W53" i="7"/>
  <c r="AJ1062" i="3"/>
  <c r="AA1066" i="3" s="1"/>
  <c r="G1067" i="3" s="1"/>
  <c r="AP565" i="20"/>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T26" i="15" l="1"/>
  <c r="T28" i="15" s="1"/>
  <c r="T29" i="15" s="1"/>
  <c r="Y64" i="15"/>
  <c r="Y68" i="15" s="1"/>
  <c r="Y69" i="15" s="1"/>
  <c r="AP567" i="20"/>
  <c r="G94" i="21"/>
  <c r="E15" i="21" s="1"/>
  <c r="W58" i="7"/>
  <c r="Y53" i="7"/>
  <c r="T24" i="15"/>
  <c r="AP570" i="20"/>
  <c r="AP569" i="20" s="1"/>
  <c r="K11" i="7"/>
  <c r="K37" i="7" s="1"/>
  <c r="K45" i="7" s="1"/>
  <c r="E66" i="7"/>
  <c r="O5" i="7"/>
  <c r="Q4" i="7"/>
  <c r="M7" i="7"/>
  <c r="M11" i="7" s="1"/>
  <c r="M37" i="7" s="1"/>
  <c r="O6"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2" i="7"/>
  <c r="K47" i="7"/>
  <c r="K60" i="7"/>
  <c r="K48" i="7"/>
  <c r="U22" i="7"/>
  <c r="U35" i="7" s="1"/>
  <c r="W15" i="7"/>
  <c r="U9" i="7"/>
  <c r="W8" i="7"/>
  <c r="Y41" i="15" l="1"/>
  <c r="AB56" i="15" s="1"/>
  <c r="M26" i="3" s="1"/>
  <c r="AC53" i="7"/>
  <c r="AA58" i="7"/>
  <c r="U4" i="7"/>
  <c r="S5" i="7"/>
  <c r="M48" i="7"/>
  <c r="M47" i="7"/>
  <c r="M60" i="7"/>
  <c r="O45" i="7"/>
  <c r="O49" i="7"/>
  <c r="K66" i="7"/>
  <c r="K62" i="7"/>
  <c r="Q7" i="7"/>
  <c r="Q11" i="7" s="1"/>
  <c r="Q37" i="7" s="1"/>
  <c r="S6" i="7"/>
  <c r="I70" i="7"/>
  <c r="I72" i="7" s="1"/>
  <c r="W22" i="7"/>
  <c r="W35" i="7" s="1"/>
  <c r="Y15" i="7"/>
  <c r="W9" i="7"/>
  <c r="Y8" i="7"/>
  <c r="BE19" i="3" l="1"/>
  <c r="AE53" i="7"/>
  <c r="AC58" i="7"/>
  <c r="AB57" i="15"/>
  <c r="P204" i="3"/>
  <c r="U5" i="7"/>
  <c r="W4" i="7"/>
  <c r="Q49" i="7"/>
  <c r="Q45" i="7"/>
  <c r="M62"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6" i="7"/>
  <c r="O62" i="7"/>
  <c r="Q60" i="7"/>
  <c r="Q48" i="7"/>
  <c r="Q47" i="7"/>
  <c r="S49" i="7"/>
  <c r="S45" i="7"/>
  <c r="AC15" i="7"/>
  <c r="AA22" i="7"/>
  <c r="AA35" i="7" s="1"/>
  <c r="AC8" i="7"/>
  <c r="AA9" i="7"/>
  <c r="AB79" i="15" l="1"/>
  <c r="AA4" i="7"/>
  <c r="Y5" i="7"/>
  <c r="Y6" i="7"/>
  <c r="W7" i="7"/>
  <c r="W11" i="7" s="1"/>
  <c r="W37" i="7" s="1"/>
  <c r="U45" i="7"/>
  <c r="U49" i="7"/>
  <c r="Q66" i="7"/>
  <c r="Q62" i="7"/>
  <c r="S48" i="7"/>
  <c r="S47" i="7"/>
  <c r="S60" i="7"/>
  <c r="O70" i="7"/>
  <c r="O72" i="7" s="1"/>
  <c r="AE15" i="7"/>
  <c r="AC22" i="7"/>
  <c r="AC35" i="7" s="1"/>
  <c r="AC9" i="7"/>
  <c r="AE8" i="7"/>
  <c r="AB81" i="15" l="1"/>
  <c r="J82" i="15" s="1"/>
  <c r="M27" i="3"/>
  <c r="I11" i="21"/>
  <c r="I18" i="21" s="1"/>
  <c r="AA5" i="7"/>
  <c r="AC4"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2" i="7"/>
  <c r="Y49" i="7"/>
  <c r="Y45" i="7"/>
  <c r="W60" i="7"/>
  <c r="W47" i="7"/>
  <c r="W48" i="7"/>
  <c r="AE5" i="7" l="1"/>
  <c r="AG4" i="7"/>
  <c r="AA45" i="7"/>
  <c r="AA49" i="7"/>
  <c r="U70" i="7"/>
  <c r="U72" i="7" s="1"/>
  <c r="W62" i="7"/>
  <c r="W66" i="7"/>
  <c r="Y47" i="7"/>
  <c r="Y48" i="7"/>
  <c r="Y60" i="7"/>
  <c r="AE6" i="7"/>
  <c r="AC7" i="7"/>
  <c r="AC11" i="7" s="1"/>
  <c r="AC37" i="7" s="1"/>
  <c r="AG5" i="7" l="1"/>
  <c r="W70" i="7"/>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<sst xmlns="http://schemas.openxmlformats.org/spreadsheetml/2006/main" count="5083" uniqueCount="2785">
  <si>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</si>
  <si>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</si>
  <si>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</si>
  <si>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</si>
  <si>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</si>
  <si>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</si>
  <si>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</si>
  <si>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</si>
  <si>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</si>
  <si>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</si>
  <si>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</si>
  <si>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</si>
  <si>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</si>
  <si>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</si>
  <si>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</si>
  <si>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</si>
  <si>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</si>
  <si>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</si>
  <si>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</si>
  <si>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</si>
  <si>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</si>
  <si>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</si>
  <si>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</si>
  <si>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</si>
  <si>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</si>
  <si>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</si>
  <si>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</si>
  <si>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</si>
  <si>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</si>
  <si>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</si>
  <si>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</si>
  <si>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</si>
  <si>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</si>
  <si>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</si>
  <si>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</si>
  <si>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</si>
  <si>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</si>
  <si>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</si>
  <si>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</si>
  <si>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</si>
  <si>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</si>
  <si>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</si>
  <si>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</si>
  <si>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</si>
  <si>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</si>
  <si>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</si>
  <si>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</si>
  <si>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</si>
  <si>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</si>
  <si>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</si>
  <si>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</si>
  <si>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</si>
  <si>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</si>
  <si>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</si>
  <si>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</si>
  <si>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</si>
  <si>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</si>
  <si>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</si>
  <si>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</si>
  <si>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</si>
  <si>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</si>
  <si>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</si>
  <si>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</si>
  <si>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</si>
  <si>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</si>
  <si>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</si>
  <si>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</si>
  <si>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</si>
  <si>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</si>
  <si>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</si>
  <si>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</si>
  <si>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</si>
  <si>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</si>
  <si>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</si>
  <si>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</si>
  <si>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</si>
  <si>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</si>
  <si>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</si>
  <si>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</si>
  <si>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</si>
  <si>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</si>
  <si>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</si>
  <si>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</si>
  <si>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</si>
  <si>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</si>
  <si>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</si>
  <si>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</si>
  <si>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</si>
  <si>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</si>
  <si>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</si>
  <si>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</si>
  <si>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</si>
  <si>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</si>
  <si>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</si>
  <si>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</si>
  <si>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</si>
  <si>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</si>
  <si>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</si>
  <si>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</si>
  <si>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</si>
  <si>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</si>
  <si>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</si>
  <si>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</si>
  <si>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</si>
  <si>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</si>
  <si>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</si>
  <si>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</si>
  <si>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</si>
  <si>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</si>
  <si>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</si>
  <si>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</si>
  <si>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</si>
  <si>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</si>
  <si>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</si>
  <si>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</si>
  <si>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</si>
  <si>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</si>
  <si>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</si>
  <si>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</si>
  <si>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</si>
  <si>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</si>
  <si>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</si>
  <si>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</si>
  <si>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</si>
  <si>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</si>
  <si>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</si>
  <si>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</si>
  <si>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</si>
  <si>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</si>
  <si>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</si>
  <si>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</si>
  <si>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</si>
  <si>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</si>
  <si>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</si>
  <si>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</si>
  <si>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</si>
  <si>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</si>
  <si>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</si>
  <si>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</si>
  <si>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</si>
  <si>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</si>
  <si>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</si>
  <si>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</si>
  <si>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</si>
  <si>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</si>
  <si>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</si>
  <si>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</si>
  <si>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</si>
  <si>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</si>
  <si>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</si>
  <si>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</si>
  <si>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</si>
  <si>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</si>
  <si>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</si>
  <si>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</si>
  <si>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</si>
  <si>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</si>
  <si>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</si>
  <si>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</si>
  <si>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</si>
  <si>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</si>
  <si>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</si>
  <si>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</si>
  <si>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</si>
  <si>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</si>
  <si>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</si>
  <si>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</si>
  <si>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</si>
  <si>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</si>
  <si>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</si>
  <si>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</si>
  <si>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</si>
  <si>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</si>
  <si>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</si>
  <si>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</si>
  <si>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</si>
  <si>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</si>
  <si>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</si>
  <si>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</si>
  <si>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</si>
  <si>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</si>
  <si>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</si>
  <si>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</si>
  <si>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</si>
  <si>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</si>
  <si>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</si>
  <si>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</si>
  <si>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</si>
  <si>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</si>
  <si>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</si>
  <si>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</si>
  <si>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</si>
  <si>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</si>
  <si>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</si>
  <si>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</si>
  <si>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</si>
  <si>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</si>
  <si>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</si>
  <si>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</si>
  <si>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</si>
  <si>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</si>
  <si>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</si>
  <si>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</si>
  <si>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</si>
  <si>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</si>
  <si>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</si>
  <si>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</si>
  <si>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</si>
  <si>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</si>
  <si>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</si>
  <si>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</si>
  <si>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</si>
  <si>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</si>
  <si>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</si>
  <si>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</si>
  <si>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</si>
  <si>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</si>
  <si>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</si>
  <si>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</si>
  <si>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</si>
  <si>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</si>
  <si>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</si>
  <si>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</si>
  <si>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</si>
  <si>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</si>
  <si>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</si>
  <si>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</si>
  <si>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</si>
  <si>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</si>
  <si>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</si>
  <si>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</si>
  <si>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</si>
  <si>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</si>
  <si>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</si>
  <si>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</si>
  <si>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</si>
  <si>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</si>
  <si>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</si>
  <si>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</si>
  <si>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</si>
  <si>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</si>
  <si>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</si>
  <si>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</si>
  <si>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</si>
  <si>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</si>
  <si>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</si>
  <si>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</si>
  <si>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</si>
  <si>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</si>
  <si>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</si>
  <si>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</si>
  <si>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</si>
  <si>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</si>
  <si>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</si>
  <si>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</si>
  <si>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</si>
  <si>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</si>
  <si>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</si>
  <si>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</si>
  <si>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</si>
  <si>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</si>
  <si>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</si>
  <si>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</si>
  <si>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</si>
  <si>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</si>
  <si>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</si>
  <si>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</si>
  <si>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</si>
  <si>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</si>
  <si>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</si>
  <si>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</si>
  <si>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</si>
  <si>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</si>
  <si>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</si>
  <si>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</si>
  <si>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</si>
  <si>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</si>
  <si>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</si>
  <si>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</si>
  <si>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</si>
  <si>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</si>
  <si>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</si>
  <si>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</si>
  <si>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</si>
  <si>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</si>
  <si>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</si>
  <si>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</si>
  <si>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</si>
  <si>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</si>
  <si>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</si>
  <si>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</si>
  <si>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</si>
  <si>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</si>
  <si>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</si>
  <si>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</si>
  <si>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</si>
  <si>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</si>
  <si>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</si>
  <si>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</si>
  <si>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</si>
  <si>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</si>
  <si>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</si>
  <si>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</si>
  <si>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</si>
  <si>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</si>
  <si>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</si>
  <si>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</si>
  <si>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</si>
  <si>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</si>
  <si>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</si>
  <si>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</si>
  <si>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</si>
  <si>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</si>
  <si>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</si>
  <si>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</si>
  <si>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</si>
  <si>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</si>
  <si>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</si>
  <si>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</si>
  <si>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</si>
  <si>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</si>
  <si>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</si>
  <si>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</si>
  <si>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</si>
  <si>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</si>
  <si>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</si>
  <si>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</si>
  <si>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</si>
  <si>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</si>
  <si>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</si>
  <si>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</si>
  <si>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</si>
  <si>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</si>
  <si>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</si>
  <si>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</si>
  <si>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</si>
  <si>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</si>
  <si>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</si>
  <si>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</si>
  <si>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</si>
  <si>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</si>
  <si>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</si>
  <si>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</si>
  <si>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</si>
  <si>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</si>
  <si>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</si>
  <si>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</si>
  <si>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</si>
  <si>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</si>
  <si>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</si>
  <si>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</si>
  <si>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</si>
  <si>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</si>
  <si>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</si>
  <si>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</si>
  <si>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</si>
  <si>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</si>
  <si>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</si>
  <si>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</si>
  <si>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</si>
  <si>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</si>
  <si>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</si>
  <si>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</si>
  <si>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</si>
  <si>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</si>
  <si>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</si>
  <si>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</si>
  <si>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</si>
  <si>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</si>
  <si>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</si>
  <si>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</si>
  <si>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</si>
  <si>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</si>
  <si>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</si>
  <si>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</si>
  <si>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</si>
  <si>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</si>
  <si>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</si>
  <si>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</si>
  <si>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</si>
  <si>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</si>
  <si>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</si>
  <si>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</si>
  <si>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</si>
  <si>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</si>
  <si>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</si>
  <si>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</si>
  <si>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</si>
  <si>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</si>
  <si>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</si>
  <si>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</si>
  <si>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</si>
  <si>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</si>
  <si>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</si>
  <si>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</si>
  <si>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</si>
  <si>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</si>
  <si>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</si>
  <si>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</si>
  <si>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</si>
  <si>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</si>
  <si>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</si>
  <si>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</si>
  <si>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</si>
  <si>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</si>
  <si>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</si>
  <si>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</si>
  <si>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</si>
  <si>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</si>
  <si>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</si>
  <si>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</si>
  <si>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</si>
  <si>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</si>
  <si>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</si>
  <si>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</si>
  <si>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</si>
  <si>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</si>
  <si>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</si>
  <si>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</si>
  <si>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</si>
  <si>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</si>
  <si>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</si>
  <si>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</si>
  <si>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</si>
  <si>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</si>
  <si>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</si>
  <si>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</si>
  <si>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</si>
  <si>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</si>
  <si>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</si>
  <si>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</si>
  <si>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</si>
  <si>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</si>
  <si>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</si>
  <si>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</si>
  <si>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</si>
  <si>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</si>
  <si>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</si>
  <si>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</si>
  <si>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</si>
  <si>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</si>
  <si>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</si>
  <si>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</si>
  <si>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</si>
  <si>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</si>
  <si>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</si>
  <si>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</si>
  <si>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</si>
  <si>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</si>
  <si>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</si>
  <si>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</si>
  <si>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</si>
  <si>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</si>
  <si>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</si>
  <si>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</si>
  <si>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</si>
  <si>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</si>
  <si>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</si>
  <si>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</si>
  <si>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</si>
  <si>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</si>
  <si>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</si>
  <si>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</si>
  <si>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</si>
  <si>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</si>
  <si>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</si>
  <si>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</si>
  <si>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</si>
  <si>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</si>
  <si>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</si>
  <si>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</si>
  <si>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</si>
  <si>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</si>
  <si>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</si>
  <si>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</si>
  <si>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</si>
  <si>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</si>
  <si>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</si>
  <si>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</si>
  <si>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</si>
  <si>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</si>
  <si>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</si>
  <si>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</si>
  <si>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</si>
  <si>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</si>
  <si>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</si>
  <si>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</si>
  <si>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</si>
  <si>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</si>
  <si>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</si>
  <si>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</si>
  <si>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</si>
  <si>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</si>
  <si>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</si>
  <si>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</si>
  <si>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</si>
  <si>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</si>
  <si>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</si>
  <si>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</si>
  <si>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</si>
  <si>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</si>
  <si>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</si>
  <si>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</si>
  <si>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</si>
  <si>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</si>
  <si>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</si>
  <si>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</si>
  <si>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</si>
  <si>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</si>
  <si>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</si>
  <si>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</si>
  <si>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</si>
  <si>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</si>
  <si>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</si>
  <si>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</si>
  <si>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</si>
  <si>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</si>
  <si>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</si>
  <si>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</si>
  <si>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</si>
  <si>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</si>
  <si>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</si>
  <si>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</si>
  <si>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</si>
  <si>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</si>
  <si>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</si>
  <si>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</si>
  <si>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</si>
  <si>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</si>
  <si>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</si>
  <si>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</si>
  <si>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</si>
  <si>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</si>
  <si>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</si>
  <si>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</si>
  <si>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</si>
  <si>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</si>
  <si>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</si>
  <si>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</si>
  <si>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</si>
  <si>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</si>
  <si>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</si>
  <si>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</si>
  <si>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</si>
  <si>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</si>
  <si>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</si>
  <si>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</si>
  <si>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</si>
  <si>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</si>
  <si>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</si>
  <si>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</si>
  <si>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</si>
  <si>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</si>
  <si>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</si>
  <si>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</si>
  <si>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</si>
  <si>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</si>
  <si>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</si>
  <si>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</si>
  <si>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</si>
  <si>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</si>
  <si>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</si>
  <si>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</si>
  <si>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</si>
  <si>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</si>
  <si>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</si>
  <si>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</si>
  <si>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</si>
  <si>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</si>
  <si>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</si>
  <si>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</si>
  <si>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</si>
  <si>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</si>
  <si>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</si>
  <si>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</si>
  <si>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</si>
  <si>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</si>
  <si>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</si>
  <si>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</si>
  <si>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</si>
  <si>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</si>
  <si>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</si>
  <si>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</si>
  <si>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</si>
  <si>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</si>
  <si>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</si>
  <si>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</si>
  <si>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</si>
  <si>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</si>
  <si>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</si>
  <si>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</si>
  <si>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</si>
  <si>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</si>
  <si>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</si>
  <si>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</si>
  <si>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</si>
  <si>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</si>
  <si>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</si>
  <si>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</si>
  <si>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</si>
  <si>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</si>
  <si>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</si>
  <si>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</si>
  <si>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</si>
  <si>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</si>
  <si>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</si>
  <si>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</si>
  <si>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</si>
  <si>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</si>
  <si>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</si>
  <si>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</si>
  <si>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</si>
  <si>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</si>
  <si>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</si>
  <si>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</si>
  <si>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</si>
  <si>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</si>
  <si>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</si>
  <si>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</si>
  <si>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</si>
  <si>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</si>
  <si>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</si>
  <si>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</si>
  <si>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</si>
  <si>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</si>
  <si>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</si>
  <si>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</si>
  <si>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</si>
  <si>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</si>
  <si>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</si>
  <si>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</si>
  <si>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</si>
  <si>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</si>
  <si>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</si>
  <si>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</si>
  <si>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</si>
  <si>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</si>
  <si>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</si>
  <si>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</si>
  <si>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</si>
  <si>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</si>
  <si>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</si>
  <si>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</si>
  <si>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</si>
  <si>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</si>
  <si>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</si>
  <si>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</si>
  <si>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</si>
  <si>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</si>
  <si>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</si>
  <si>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</si>
  <si>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</si>
  <si>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</si>
  <si>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</si>
  <si>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</si>
  <si>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</si>
  <si>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</si>
  <si>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</si>
  <si>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</si>
  <si>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</si>
  <si>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</si>
  <si>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</si>
  <si>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</si>
  <si>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</si>
  <si>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</si>
  <si>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</si>
  <si>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</si>
  <si>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</si>
  <si>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</si>
  <si>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</si>
  <si>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</si>
  <si>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</si>
  <si>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</si>
  <si>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</si>
  <si>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</si>
  <si>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</si>
  <si>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</si>
  <si>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</si>
  <si>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</si>
  <si>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</si>
  <si>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</si>
  <si>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</si>
  <si>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</si>
  <si>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</si>
  <si>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</si>
  <si>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</si>
  <si>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</si>
  <si>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</si>
  <si>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</si>
  <si>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</si>
  <si>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</si>
  <si>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</si>
  <si>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</si>
  <si>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</si>
  <si>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</si>
  <si>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</si>
  <si>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</si>
  <si>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</si>
  <si>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</si>
  <si>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</si>
  <si>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</si>
  <si>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</si>
  <si>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</si>
  <si>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</si>
  <si>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</si>
  <si>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</si>
  <si>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</si>
  <si>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</si>
  <si>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</si>
  <si>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</si>
  <si>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</si>
  <si>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</si>
  <si>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</si>
  <si>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</si>
  <si>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</si>
  <si>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</si>
  <si>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</si>
  <si>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</si>
  <si>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</si>
  <si>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</si>
  <si>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</si>
  <si>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</si>
  <si>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</si>
  <si>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</si>
  <si>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</si>
  <si>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</si>
  <si>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</si>
  <si>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</si>
  <si>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</si>
  <si>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</si>
  <si>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</si>
  <si>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</si>
  <si>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</si>
  <si>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</si>
  <si>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</si>
  <si>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</si>
  <si>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</si>
  <si>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</si>
  <si>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</si>
  <si>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</si>
  <si>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</si>
  <si>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</si>
  <si>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</si>
  <si>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</si>
  <si>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</si>
  <si>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</si>
  <si>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</si>
  <si>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</si>
  <si>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</si>
  <si>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</si>
  <si>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</si>
  <si>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</si>
  <si>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</si>
  <si>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</si>
  <si>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</si>
  <si>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</si>
  <si>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</si>
  <si>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</si>
  <si>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</si>
  <si>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</si>
  <si>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</si>
  <si>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</si>
  <si>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</si>
  <si>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</si>
  <si>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</si>
  <si>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</si>
  <si>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</si>
  <si>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</si>
  <si>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</si>
  <si>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</si>
  <si>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</si>
  <si>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</si>
  <si>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</si>
  <si>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</si>
  <si>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</si>
  <si>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</si>
  <si>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</si>
  <si>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</si>
  <si>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</si>
  <si>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</si>
  <si>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</si>
  <si>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</si>
  <si>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</si>
  <si>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</si>
  <si>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</si>
  <si>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</si>
  <si>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</si>
  <si>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</si>
  <si>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</si>
  <si>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</si>
  <si>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</si>
  <si>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</si>
  <si>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</si>
  <si>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</si>
  <si>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</si>
  <si>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</si>
  <si>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</si>
  <si>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</si>
  <si>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</si>
  <si>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</si>
  <si>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</si>
  <si>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</si>
  <si>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</si>
  <si>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</si>
  <si>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</si>
  <si>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</si>
  <si>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</si>
  <si>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</si>
  <si>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</si>
  <si>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</si>
  <si>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</si>
  <si>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</si>
  <si>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</si>
  <si>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</si>
  <si>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</si>
  <si>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</si>
  <si>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</si>
  <si>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</si>
  <si>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</si>
  <si>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</si>
  <si>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</si>
  <si>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</si>
  <si>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</si>
  <si>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</si>
  <si>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</si>
  <si>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</si>
  <si>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</si>
  <si>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</si>
  <si>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</si>
  <si>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</si>
  <si>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</si>
  <si>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</si>
  <si>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</si>
  <si>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</si>
  <si>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</si>
  <si>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</si>
  <si>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</si>
  <si>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</si>
  <si>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</si>
  <si>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</si>
  <si>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</si>
  <si>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</si>
  <si>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</si>
  <si>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</si>
  <si>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</si>
  <si>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</si>
  <si>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</si>
  <si>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</si>
  <si>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</si>
  <si>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</si>
  <si>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</si>
  <si>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</si>
  <si>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</si>
  <si>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</si>
  <si>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</si>
  <si>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</si>
  <si>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</si>
  <si>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</si>
  <si>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</si>
  <si>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</si>
  <si>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</si>
  <si>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</si>
  <si>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</si>
  <si>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</si>
  <si>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</si>
  <si>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</si>
  <si>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</si>
  <si>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</si>
  <si>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</si>
  <si>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</si>
  <si>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</si>
  <si>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</si>
  <si>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</si>
  <si>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</si>
  <si>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</si>
  <si>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</si>
  <si>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</si>
  <si>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</si>
  <si>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</si>
  <si>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</si>
  <si>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</si>
  <si>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</si>
  <si>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</si>
  <si>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</si>
  <si>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</si>
  <si>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</si>
  <si>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</si>
  <si>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</si>
  <si>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</si>
  <si>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</si>
  <si>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</si>
  <si>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</si>
  <si>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</si>
  <si>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</si>
  <si>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</si>
  <si>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</si>
  <si>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</si>
  <si>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</si>
  <si>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</si>
  <si>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</si>
  <si>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</si>
  <si>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</si>
  <si>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</si>
  <si>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</si>
  <si>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</si>
  <si>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</si>
  <si>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</si>
  <si>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</si>
  <si>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</si>
  <si>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</si>
  <si>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</si>
  <si>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</si>
  <si>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</si>
  <si>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</si>
  <si>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</si>
  <si>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</si>
  <si>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</si>
  <si>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</si>
  <si>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</si>
  <si>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</si>
  <si>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</si>
  <si>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</si>
  <si>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</si>
  <si>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</si>
  <si>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</si>
  <si>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</si>
  <si>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</si>
  <si>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</si>
  <si>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</si>
  <si>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</si>
  <si>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</si>
  <si>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</si>
  <si>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</si>
  <si>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</si>
  <si>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</si>
  <si>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</si>
  <si>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</si>
  <si>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</si>
  <si>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</si>
  <si>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</si>
  <si>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</si>
  <si>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</si>
  <si>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</si>
  <si>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</si>
  <si>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</si>
  <si>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</si>
  <si>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</si>
  <si>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</si>
  <si>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</si>
  <si>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</si>
  <si>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</si>
  <si>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</si>
  <si>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</si>
  <si>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</si>
  <si>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</si>
  <si>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</si>
  <si>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</si>
  <si>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</si>
  <si>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</si>
  <si>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</si>
  <si>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</si>
  <si>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</si>
  <si>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</si>
  <si>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</si>
  <si>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</si>
  <si>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</si>
  <si>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</si>
  <si>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</si>
  <si>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</si>
  <si>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</si>
  <si>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</si>
  <si>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</si>
  <si>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</si>
  <si>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</si>
  <si>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</si>
  <si>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</si>
  <si>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</si>
  <si>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</si>
  <si>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</si>
  <si>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</si>
  <si>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</si>
  <si>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</si>
  <si>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</si>
  <si>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</si>
  <si>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</si>
  <si>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</si>
  <si>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</si>
  <si>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</si>
  <si>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</si>
  <si>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</si>
  <si>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</si>
  <si>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</si>
  <si>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</si>
  <si>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</si>
  <si>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</si>
  <si>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</si>
  <si>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</si>
  <si>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</si>
  <si>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</si>
  <si>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</si>
  <si>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</si>
  <si>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</si>
  <si>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</si>
  <si>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</si>
  <si>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</si>
  <si>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</si>
  <si>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</si>
  <si>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</si>
  <si>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</si>
  <si>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</si>
  <si>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</si>
  <si>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</si>
  <si>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</si>
  <si>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</si>
  <si>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</si>
  <si>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</si>
  <si>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</si>
  <si>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</si>
  <si>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</si>
  <si>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</si>
  <si>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</si>
  <si>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</si>
  <si>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</si>
  <si>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</si>
  <si>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</si>
  <si>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</si>
  <si>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</si>
  <si>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</si>
  <si>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</si>
  <si>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</si>
  <si>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</si>
  <si>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</si>
  <si>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</si>
  <si>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</si>
  <si>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</si>
  <si>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</si>
  <si>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</si>
  <si>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</si>
  <si>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</si>
  <si>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</si>
  <si>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</si>
  <si>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</si>
  <si>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</si>
  <si>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</si>
  <si>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</si>
  <si>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</si>
  <si>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</si>
  <si>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</si>
  <si>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</si>
  <si>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</si>
  <si>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</si>
  <si>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</si>
  <si>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</si>
  <si>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</si>
  <si>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</si>
  <si>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</si>
  <si>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</si>
  <si>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</si>
  <si>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</si>
  <si>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</si>
  <si>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</si>
  <si>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</si>
  <si>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</si>
  <si>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</si>
  <si>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</si>
  <si>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</si>
  <si>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</si>
  <si>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</si>
  <si>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</si>
  <si>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</si>
  <si>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</si>
  <si>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</si>
  <si>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</si>
  <si>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</si>
  <si>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</si>
  <si>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</si>
  <si>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</si>
  <si>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</si>
  <si>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</si>
  <si>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</si>
  <si>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</si>
  <si>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</si>
  <si>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</si>
  <si>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</si>
  <si>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</si>
  <si>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</si>
  <si>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</si>
  <si>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</si>
  <si>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</si>
  <si>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</si>
  <si>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</si>
  <si>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</si>
  <si>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</si>
  <si>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</si>
  <si>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</si>
  <si>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</si>
  <si>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</si>
  <si>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</si>
  <si>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</si>
  <si>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</si>
  <si>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</si>
  <si>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</si>
  <si>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</si>
  <si>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</si>
  <si>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</si>
  <si>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</si>
  <si>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</si>
  <si>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</si>
  <si>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</si>
  <si>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</si>
  <si>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</si>
  <si>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</si>
  <si>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</si>
  <si>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</si>
  <si>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</si>
  <si>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</si>
  <si>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</si>
  <si>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</si>
  <si>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</si>
  <si>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</si>
  <si>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</si>
  <si>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</si>
  <si>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</si>
  <si>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</si>
  <si>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</si>
  <si>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</si>
  <si>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</si>
  <si>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</si>
  <si>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</si>
  <si>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</si>
  <si>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</si>
  <si>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</si>
  <si>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</si>
  <si>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</si>
  <si>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</si>
  <si>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</si>
  <si>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</si>
  <si>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</si>
  <si>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</si>
  <si>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</si>
  <si>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</si>
  <si>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</si>
  <si>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</si>
  <si>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</si>
  <si>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</si>
  <si>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</si>
  <si>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</si>
  <si>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</si>
  <si>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</si>
  <si>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</si>
  <si>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</si>
  <si>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</si>
  <si>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</si>
  <si>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</si>
  <si>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</si>
  <si>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</si>
  <si>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</si>
  <si>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</si>
  <si>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</si>
  <si>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</si>
  <si>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</si>
  <si>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</si>
  <si>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</si>
  <si>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</si>
  <si>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</si>
  <si>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</si>
  <si>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</si>
  <si>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</si>
  <si>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</si>
  <si>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</si>
  <si>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</si>
  <si>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</si>
  <si>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</si>
  <si>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</si>
  <si>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</si>
  <si>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</si>
  <si>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</si>
  <si>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</si>
  <si>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</si>
  <si>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</si>
  <si>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</si>
  <si>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</si>
  <si>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</si>
  <si>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</si>
  <si>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</si>
  <si>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</si>
  <si>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</si>
  <si>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</si>
  <si>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</si>
  <si>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</si>
  <si>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</si>
  <si>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</si>
  <si>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</si>
  <si>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</si>
  <si>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</si>
  <si>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</si>
  <si>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</si>
  <si>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</si>
  <si>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</si>
  <si>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</si>
  <si>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</si>
  <si>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</si>
  <si>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</si>
  <si>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</si>
  <si>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</si>
  <si>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</si>
  <si>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</si>
  <si>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</si>
  <si>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</si>
  <si>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</si>
  <si>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</si>
  <si>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</si>
  <si>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</si>
  <si>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</si>
  <si>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</si>
  <si>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</si>
  <si>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</si>
  <si>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</si>
  <si>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</si>
  <si>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</si>
  <si>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</si>
  <si>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</si>
  <si>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</si>
  <si>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</si>
  <si>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</si>
  <si>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</si>
  <si>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</si>
  <si>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</si>
  <si>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</si>
  <si>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</si>
  <si>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</si>
  <si>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</si>
  <si>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</si>
  <si>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</si>
  <si>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</si>
  <si>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</si>
  <si>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</si>
  <si>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</si>
  <si>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</si>
  <si>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</si>
  <si>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</si>
  <si>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</si>
  <si>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</si>
  <si>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</si>
  <si>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</si>
  <si>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</si>
  <si>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</si>
  <si>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</si>
  <si>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</si>
  <si>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</si>
  <si>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</si>
  <si>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</si>
  <si>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</si>
  <si>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</si>
  <si>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</si>
  <si>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</si>
  <si>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</si>
  <si>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</si>
  <si>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</si>
  <si>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</si>
  <si>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</si>
  <si>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</si>
  <si>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</si>
  <si>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</si>
  <si>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</si>
  <si>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</si>
  <si>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</si>
  <si>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</si>
  <si>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</si>
  <si>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</si>
  <si>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</si>
  <si>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</si>
  <si>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</si>
  <si>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</si>
  <si>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</si>
  <si>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</si>
  <si>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</si>
  <si>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</si>
  <si>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</si>
  <si>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</si>
  <si>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</si>
  <si>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</si>
  <si>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</si>
  <si>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</si>
  <si>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</si>
  <si>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</si>
  <si>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</si>
  <si>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</si>
  <si>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</si>
  <si>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</si>
  <si>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</si>
  <si>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</si>
  <si>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</si>
  <si>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</si>
  <si>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</si>
  <si>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</si>
  <si>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</si>
  <si>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</si>
  <si>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</si>
  <si>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</si>
  <si>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</si>
  <si>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</si>
  <si>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</si>
  <si>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</si>
  <si>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</si>
  <si>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</si>
  <si>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</si>
  <si>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</si>
  <si>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</si>
  <si>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</si>
  <si>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</si>
  <si>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</si>
  <si>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</si>
  <si>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</si>
  <si>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</si>
  <si>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</si>
  <si>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</si>
  <si>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</si>
  <si>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</si>
  <si>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</si>
  <si>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</si>
  <si>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</si>
  <si>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</si>
  <si>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</si>
  <si>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</si>
  <si>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</si>
  <si>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</si>
  <si>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</si>
  <si>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</si>
  <si>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</si>
  <si>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</si>
  <si>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</si>
  <si>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</si>
  <si>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</si>
  <si>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</si>
  <si>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</si>
  <si>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</si>
  <si>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</si>
  <si>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</si>
  <si>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</si>
  <si>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</si>
  <si>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</si>
  <si>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</si>
  <si>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</si>
  <si>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</si>
  <si>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</si>
  <si>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</si>
  <si>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</si>
  <si>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</si>
  <si>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</si>
  <si>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</si>
  <si>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</si>
  <si>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</si>
  <si>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</si>
  <si>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</si>
  <si>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</si>
  <si>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</si>
  <si>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</si>
  <si>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</si>
  <si>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</si>
  <si>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</si>
  <si>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</si>
  <si>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</si>
  <si>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</si>
  <si>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</si>
  <si>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</si>
  <si>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</si>
  <si>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</si>
  <si>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</si>
  <si>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</si>
  <si>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</si>
  <si>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</si>
  <si>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</si>
  <si>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</si>
  <si>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</si>
  <si>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</si>
  <si>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</si>
  <si>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</si>
  <si>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</si>
  <si>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</si>
  <si>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</si>
  <si>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</si>
  <si>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</si>
  <si>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</si>
  <si>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</si>
  <si>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</si>
  <si>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</si>
  <si>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</si>
  <si>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</si>
  <si>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</si>
  <si>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</si>
  <si>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</si>
  <si>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</si>
  <si>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</si>
  <si>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</si>
  <si>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</si>
  <si>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</si>
  <si>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</si>
  <si>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</si>
  <si>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</si>
  <si>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</si>
  <si>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</si>
  <si>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</si>
  <si>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</si>
  <si>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</si>
  <si>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</si>
  <si>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</si>
  <si>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</si>
  <si>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</si>
  <si>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</si>
  <si>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</si>
  <si>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</si>
  <si>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</si>
  <si>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</si>
  <si>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</si>
  <si>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</si>
  <si>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</si>
  <si>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</si>
  <si>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</si>
  <si>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</si>
  <si>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</si>
  <si>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</si>
  <si>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</si>
  <si>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</si>
  <si>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</si>
  <si>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</si>
  <si>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</si>
  <si>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</si>
  <si>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</si>
  <si>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</si>
  <si>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</si>
  <si>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</si>
  <si>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</si>
  <si>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</si>
  <si>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</si>
  <si>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</si>
  <si>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</si>
  <si>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</si>
  <si>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</si>
  <si>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</si>
  <si>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</si>
  <si>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</si>
  <si>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</si>
  <si>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</si>
  <si>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</si>
  <si>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</si>
  <si>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</si>
  <si>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</si>
  <si>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</si>
  <si>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</si>
  <si>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</si>
  <si>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</si>
  <si>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</si>
  <si>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</si>
  <si>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</si>
  <si>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</si>
  <si>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</si>
  <si>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</si>
  <si>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</si>
  <si>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</si>
  <si>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</si>
  <si>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</si>
  <si>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</si>
  <si>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</si>
  <si>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</si>
  <si>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</si>
  <si>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</si>
  <si>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</si>
  <si>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</si>
  <si>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</si>
  <si>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</si>
  <si>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</si>
  <si>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</si>
  <si>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</si>
  <si>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</si>
  <si>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</si>
  <si>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</si>
  <si>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</si>
  <si>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</si>
  <si>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</si>
  <si>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</si>
  <si>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</si>
  <si>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</si>
  <si>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</si>
  <si>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</si>
  <si>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</si>
  <si>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</si>
  <si>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</si>
  <si>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</si>
  <si>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</si>
  <si>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</si>
  <si>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</si>
  <si>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</si>
  <si>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</si>
  <si>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</si>
  <si>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</si>
  <si>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</si>
  <si>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</si>
  <si>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</si>
  <si>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</si>
  <si>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</si>
  <si>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</si>
  <si>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</si>
  <si>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</si>
  <si>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</si>
  <si>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</si>
  <si>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</si>
  <si>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</si>
  <si>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</si>
  <si>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</si>
  <si>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</si>
  <si>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</si>
  <si>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</si>
  <si>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</si>
  <si>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</si>
  <si>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</si>
  <si>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</si>
  <si>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</si>
  <si>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</si>
  <si>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</si>
  <si>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</si>
  <si>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</si>
  <si>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</si>
  <si>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</si>
  <si>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</si>
  <si>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</si>
  <si>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</si>
  <si>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</si>
  <si>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</si>
  <si>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</si>
  <si>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</si>
  <si>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</si>
  <si>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</si>
  <si>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</si>
  <si>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</si>
  <si>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</si>
  <si>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</si>
  <si>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</si>
  <si>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</si>
  <si>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</si>
  <si>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</si>
  <si>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</si>
  <si>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</si>
  <si>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</si>
  <si>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</si>
  <si>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</si>
  <si>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</si>
  <si>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</si>
  <si>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</si>
  <si>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</si>
  <si>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</si>
  <si>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</si>
  <si>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</si>
  <si>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</si>
  <si>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</si>
  <si>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</si>
  <si>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</si>
  <si>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</si>
  <si>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</si>
  <si>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</si>
  <si>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</si>
  <si>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</si>
  <si>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</si>
  <si>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</si>
  <si>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</si>
  <si>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</si>
  <si>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</si>
  <si>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</si>
  <si>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</si>
  <si>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</si>
  <si>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</si>
  <si>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</si>
  <si>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</si>
  <si>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</si>
  <si>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</si>
  <si>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</si>
  <si>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</si>
  <si>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</si>
  <si>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</si>
  <si>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</si>
  <si>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</si>
  <si>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</si>
  <si>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</si>
  <si>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</si>
  <si>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</si>
  <si>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</si>
  <si>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</si>
  <si>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</si>
  <si>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</si>
  <si>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</si>
  <si>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</si>
  <si>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</si>
  <si>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</si>
  <si>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</si>
  <si>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</si>
  <si>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</si>
  <si>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</si>
  <si>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</si>
  <si>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</si>
  <si>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</si>
  <si>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</si>
  <si>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</si>
  <si>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</si>
  <si>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</si>
  <si>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</si>
  <si>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</si>
  <si>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</si>
  <si>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</si>
  <si>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</si>
  <si>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</si>
  <si>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</si>
  <si>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</si>
  <si>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</si>
  <si>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</si>
  <si>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</si>
  <si>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</si>
  <si>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</si>
  <si>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</si>
  <si>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</si>
  <si>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</si>
  <si>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</si>
  <si>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</si>
  <si>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</si>
  <si>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</si>
  <si>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</si>
  <si>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</si>
  <si>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</si>
  <si>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</si>
  <si>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</si>
  <si>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</si>
  <si>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</si>
  <si>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</si>
  <si>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</si>
  <si>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</si>
  <si>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</si>
  <si>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</si>
  <si>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</si>
  <si>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</si>
  <si>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</si>
  <si>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</si>
  <si>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</si>
  <si>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</si>
  <si>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</si>
  <si>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</si>
  <si>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</si>
  <si>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</si>
  <si>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</si>
  <si>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</si>
  <si>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</si>
  <si>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</si>
  <si>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</si>
  <si>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</si>
  <si>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</si>
  <si>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</si>
  <si>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</si>
  <si>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</si>
  <si>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</si>
  <si>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</si>
  <si>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</si>
  <si>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</si>
  <si>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</si>
  <si>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</si>
  <si>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</si>
  <si>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</si>
  <si>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</si>
  <si>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</si>
  <si>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</si>
  <si>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</si>
  <si>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</si>
  <si>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</si>
  <si>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</si>
  <si>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</si>
  <si>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</si>
  <si>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</si>
  <si>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</si>
  <si>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</si>
  <si>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</si>
  <si>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</si>
  <si>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</si>
  <si>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</si>
  <si>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</si>
  <si>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</si>
  <si>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</si>
  <si>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</si>
  <si>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</si>
  <si>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</si>
  <si>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</si>
  <si>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</si>
  <si>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</si>
  <si>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</si>
  <si>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</si>
  <si>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</si>
  <si>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</si>
  <si>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</si>
  <si>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</si>
  <si>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</si>
  <si>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</si>
  <si>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</si>
  <si>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</si>
  <si>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</si>
  <si>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</si>
  <si>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</si>
  <si>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</si>
  <si>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</si>
  <si>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</si>
  <si>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</si>
  <si>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</si>
  <si>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</si>
  <si>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</si>
  <si>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</si>
  <si>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</si>
  <si>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</si>
  <si>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</si>
  <si>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</si>
  <si>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</si>
  <si>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</si>
  <si>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</si>
  <si>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</si>
  <si>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</si>
  <si>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</si>
  <si>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</si>
  <si>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</si>
  <si>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</si>
  <si>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</si>
  <si>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</si>
  <si>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</si>
  <si>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</si>
  <si>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</si>
  <si>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</si>
  <si>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</si>
  <si>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</si>
  <si>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</si>
  <si>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</si>
  <si>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</si>
  <si>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</si>
  <si>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</si>
  <si>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</si>
  <si>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</si>
  <si>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</si>
  <si>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</si>
  <si>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</si>
  <si>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</si>
  <si>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</si>
  <si>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</si>
  <si>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</si>
  <si>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</si>
  <si>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</si>
  <si>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</si>
  <si>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</si>
  <si>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</si>
  <si>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</si>
  <si>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</si>
  <si>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</si>
  <si>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</si>
  <si>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</si>
  <si>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</si>
  <si>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</si>
  <si>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</si>
  <si>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</si>
  <si>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</si>
  <si>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</si>
  <si>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</si>
  <si>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</si>
  <si>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</si>
  <si>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</si>
  <si>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</si>
  <si>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</si>
  <si>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</si>
  <si>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</si>
  <si>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</si>
  <si>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</si>
  <si>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</si>
  <si>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</si>
  <si>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</si>
  <si>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</si>
  <si>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</si>
  <si>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</si>
  <si>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</si>
  <si>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</si>
  <si>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</si>
  <si>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</si>
  <si>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</si>
  <si>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</si>
  <si>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</si>
  <si>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</si>
  <si>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</si>
  <si>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</si>
  <si>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</si>
  <si>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</si>
  <si>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</si>
  <si>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</si>
  <si>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</si>
  <si>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</si>
  <si>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</si>
  <si>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</si>
  <si>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</si>
  <si>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</si>
  <si>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</si>
  <si>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</si>
  <si>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</si>
  <si>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</si>
  <si>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</si>
  <si>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</si>
  <si>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</si>
  <si>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</si>
  <si>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</si>
  <si>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</si>
  <si>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</si>
  <si>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</si>
  <si>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</si>
  <si>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</si>
  <si>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</si>
  <si>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</si>
  <si>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</si>
  <si>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</si>
  <si>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</si>
  <si>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</si>
  <si>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</si>
  <si>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</si>
  <si>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</si>
  <si>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</si>
  <si>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</si>
  <si>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</si>
  <si>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</si>
  <si>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</si>
  <si>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</si>
  <si>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</si>
  <si>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</si>
  <si>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</si>
  <si>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</si>
  <si>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</si>
  <si>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</si>
  <si>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</si>
  <si>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</si>
  <si>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</si>
  <si>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</si>
  <si>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</si>
  <si>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</si>
  <si>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</si>
  <si>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</si>
  <si>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</si>
  <si>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</si>
  <si>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</si>
  <si>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</si>
  <si>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</si>
  <si>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</si>
  <si>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</si>
  <si>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</si>
  <si>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</si>
  <si>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</si>
  <si>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</si>
  <si>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</si>
  <si>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</si>
  <si>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</si>
  <si>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</si>
  <si>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</si>
  <si>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</si>
  <si>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</si>
  <si>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</si>
  <si>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</si>
  <si>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</si>
  <si>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</si>
  <si>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</si>
  <si>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</si>
  <si>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</si>
  <si>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</si>
  <si>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</si>
  <si>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</si>
  <si>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</si>
  <si>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</si>
  <si>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</si>
  <si>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</si>
  <si>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</si>
  <si>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</si>
  <si>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</si>
  <si>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</si>
  <si>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</si>
  <si>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</si>
  <si>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</si>
  <si>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</si>
  <si>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</si>
  <si>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</si>
  <si>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</si>
  <si>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</si>
  <si>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</si>
  <si>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</si>
  <si>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</si>
  <si>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</si>
  <si>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</si>
  <si>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</si>
  <si>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</si>
  <si>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</si>
  <si>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</si>
  <si>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</si>
  <si>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</si>
  <si>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</si>
  <si>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</si>
  <si>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</si>
  <si>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</si>
  <si>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</si>
  <si>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</si>
  <si>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</si>
  <si>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</si>
  <si>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</si>
  <si>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</si>
  <si>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</si>
  <si>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</si>
  <si>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</si>
  <si>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</si>
  <si>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</si>
  <si>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</si>
  <si>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</si>
  <si>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</si>
  <si>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</si>
  <si>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</si>
  <si>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</si>
  <si>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</si>
  <si>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</si>
  <si>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</si>
  <si>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</si>
  <si>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</si>
  <si>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</si>
  <si>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</si>
  <si>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</si>
  <si>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</si>
  <si>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</si>
  <si>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</si>
  <si>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</si>
  <si>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</si>
  <si>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</si>
  <si>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</si>
  <si>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</si>
  <si>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</si>
  <si>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</si>
  <si>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</si>
  <si>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</si>
  <si>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</si>
  <si>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</si>
  <si>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</si>
  <si>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</si>
  <si>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</si>
  <si>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</si>
  <si>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</si>
  <si>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</si>
  <si>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</si>
  <si>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</si>
  <si>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</si>
  <si>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</si>
  <si>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</si>
  <si>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</si>
  <si>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</si>
  <si>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</si>
  <si>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</si>
  <si>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</si>
  <si>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</si>
  <si>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</si>
  <si>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</si>
  <si>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</si>
  <si>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</si>
  <si>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</si>
  <si>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</si>
  <si>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</si>
  <si>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</si>
  <si>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</si>
  <si>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</si>
  <si>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</si>
  <si>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</si>
  <si>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</si>
  <si>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</si>
  <si>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</si>
  <si>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</si>
  <si>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</si>
  <si>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</si>
  <si>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</si>
  <si>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</si>
  <si>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</si>
  <si>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</si>
  <si>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</si>
  <si>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</si>
  <si>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</si>
  <si>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</si>
  <si>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</si>
  <si>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</si>
  <si>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</si>
  <si>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</si>
  <si>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</si>
  <si>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</si>
  <si>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</si>
  <si>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</si>
  <si>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</si>
  <si>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</si>
  <si>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</si>
  <si>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</si>
  <si>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</si>
  <si>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</si>
  <si>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</si>
  <si>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</si>
  <si>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</si>
  <si>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</si>
  <si>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</si>
  <si>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</si>
  <si>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</si>
  <si>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</si>
  <si>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</si>
  <si>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</si>
  <si>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</si>
  <si>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</si>
  <si>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</si>
  <si>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</si>
  <si>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</si>
  <si>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</si>
  <si>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</si>
  <si>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</si>
  <si>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</si>
  <si>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</si>
  <si>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</si>
  <si>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</si>
  <si>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</si>
  <si>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</si>
  <si>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</si>
  <si>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</si>
  <si>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</si>
  <si>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</si>
  <si>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</si>
  <si>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</si>
  <si>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</si>
  <si>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</si>
  <si>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</si>
  <si>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</si>
  <si>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</si>
  <si>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</si>
  <si>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</si>
  <si>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</si>
  <si>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</si>
  <si>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</si>
  <si>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</si>
  <si>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</si>
  <si>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</si>
  <si>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</si>
  <si>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</si>
  <si>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</si>
  <si>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</si>
  <si>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</si>
  <si>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</si>
  <si>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</si>
  <si>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</si>
  <si>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</si>
  <si>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</si>
  <si>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</si>
  <si>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</si>
  <si>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</si>
  <si>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</si>
  <si>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</si>
  <si>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</si>
  <si>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</si>
  <si>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</si>
  <si>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</si>
  <si>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</si>
  <si>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</si>
  <si>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</si>
  <si>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</si>
  <si>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</si>
  <si>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</si>
  <si>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</si>
  <si>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</si>
  <si>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</si>
  <si>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</si>
  <si>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</si>
  <si>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</si>
  <si>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</si>
  <si>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</si>
  <si>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</si>
  <si>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</si>
  <si>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</si>
  <si>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</si>
  <si>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</si>
  <si>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</si>
  <si>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</si>
  <si>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</si>
  <si>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</si>
  <si>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</si>
  <si>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</si>
  <si>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</si>
  <si>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</si>
  <si>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</si>
  <si>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</si>
  <si>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</si>
  <si>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</si>
  <si>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</si>
  <si>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</si>
  <si>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</si>
  <si>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</si>
  <si>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</si>
  <si>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</si>
  <si>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</si>
  <si>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</si>
  <si>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</si>
  <si>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</si>
  <si>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</si>
  <si>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</si>
  <si>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</si>
  <si>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</si>
  <si>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</si>
  <si>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</si>
  <si>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</si>
  <si>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</si>
  <si>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</si>
  <si>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</si>
  <si>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</si>
  <si>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</si>
  <si>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</si>
  <si>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</si>
  <si>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</si>
  <si>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</si>
  <si>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</si>
  <si>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</si>
  <si>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</si>
  <si>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</si>
  <si>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</si>
  <si>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</si>
  <si>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</si>
  <si>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</si>
  <si>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</si>
  <si>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</si>
  <si>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</si>
  <si>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</si>
  <si>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</si>
  <si>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</si>
  <si>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</si>
  <si>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</si>
  <si>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</si>
  <si>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</si>
  <si>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</si>
  <si>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</si>
  <si>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</si>
  <si>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</si>
  <si>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</si>
  <si>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</si>
  <si>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</si>
  <si>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</si>
  <si>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</si>
  <si>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</si>
  <si>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</si>
  <si>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</si>
  <si>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</si>
  <si>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</si>
  <si>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</si>
  <si>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</si>
  <si>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</si>
  <si>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</si>
  <si>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</si>
  <si>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</si>
  <si>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</si>
  <si>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</si>
  <si>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</si>
  <si>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</si>
  <si>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</si>
  <si>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</si>
  <si>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</si>
  <si>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</si>
  <si>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</si>
  <si>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</si>
  <si>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</si>
  <si>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</si>
  <si>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</si>
  <si>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</si>
  <si>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</si>
  <si>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</si>
  <si>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</si>
  <si>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</si>
  <si>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</si>
  <si>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</si>
  <si>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</si>
  <si>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</si>
  <si>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</si>
  <si>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</si>
  <si>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</si>
  <si>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</si>
  <si>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</si>
  <si>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</si>
  <si>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</si>
  <si>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</si>
  <si>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</si>
  <si>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</si>
  <si>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</si>
  <si>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</si>
  <si>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</si>
  <si>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</si>
  <si>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</si>
  <si>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</si>
  <si>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</si>
  <si>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</si>
  <si>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</si>
  <si>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</si>
  <si>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</si>
  <si>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</si>
  <si>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</si>
  <si>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</si>
  <si>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</si>
  <si>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</si>
  <si>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</si>
  <si>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</si>
  <si>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</si>
  <si>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</si>
  <si>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</si>
  <si>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</si>
  <si>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</si>
  <si>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</si>
  <si>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</si>
  <si>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</si>
  <si>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</si>
  <si>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</si>
  <si>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</si>
  <si>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</si>
  <si>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</si>
  <si>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</si>
  <si>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</si>
  <si>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</si>
  <si>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</si>
  <si>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</si>
  <si>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</si>
  <si>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</si>
  <si>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</si>
  <si>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</si>
  <si>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</si>
  <si>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</si>
  <si>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</si>
  <si>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</si>
  <si>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</si>
  <si>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</si>
  <si>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</si>
  <si>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</si>
  <si>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</si>
  <si>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</si>
  <si>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</si>
  <si>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</si>
  <si>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</si>
  <si>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</si>
  <si>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</si>
  <si>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</si>
  <si>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</si>
  <si>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</si>
  <si>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</si>
  <si>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</si>
  <si>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</si>
  <si>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</si>
  <si>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</si>
  <si>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</si>
  <si>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</si>
  <si>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</si>
  <si>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</si>
  <si>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</si>
  <si>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</si>
  <si>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</si>
  <si>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</si>
  <si>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</si>
  <si>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</si>
  <si>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</si>
  <si>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</si>
  <si>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</si>
  <si>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</si>
  <si>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</si>
  <si>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</si>
  <si>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</si>
  <si>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</si>
  <si>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</si>
  <si>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</si>
  <si>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</si>
  <si>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</si>
  <si>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</si>
  <si>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</si>
  <si>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</si>
  <si>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</si>
  <si>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</si>
  <si>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</si>
  <si>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</si>
  <si>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</si>
  <si>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</si>
  <si>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</si>
  <si>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</si>
  <si>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</si>
  <si>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</si>
  <si>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</si>
  <si>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</si>
  <si>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</si>
  <si>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</si>
  <si>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</si>
  <si>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</si>
  <si>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</si>
  <si>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</si>
  <si>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</si>
  <si>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</si>
  <si>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</si>
  <si>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</si>
  <si>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</si>
  <si>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</si>
  <si>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</si>
  <si>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</si>
  <si>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</si>
  <si>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</si>
  <si>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</si>
  <si>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</si>
  <si>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</si>
  <si>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</si>
  <si>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</si>
  <si>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</si>
  <si>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</si>
  <si>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</si>
  <si>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</si>
  <si>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</si>
  <si>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</si>
  <si>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</si>
  <si>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</si>
  <si>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</si>
  <si>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</si>
  <si>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</si>
  <si>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</si>
  <si>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</si>
  <si>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</si>
  <si>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</si>
  <si>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</si>
  <si>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</si>
  <si>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</si>
  <si>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</si>
  <si>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</si>
  <si>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</si>
  <si>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</si>
  <si>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</si>
  <si>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</si>
  <si>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</si>
  <si>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</si>
  <si>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</si>
  <si>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</si>
  <si>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</si>
  <si>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</si>
  <si>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</si>
  <si>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</si>
  <si>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</si>
  <si>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</si>
  <si>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</si>
  <si>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</si>
  <si>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</si>
  <si>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</si>
  <si>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</si>
  <si>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</si>
  <si>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</si>
  <si>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</si>
  <si>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</si>
  <si>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</si>
  <si>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</si>
  <si>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</si>
  <si>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</si>
  <si>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</si>
  <si>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</si>
  <si>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</si>
  <si>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</si>
  <si>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</si>
  <si>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</si>
  <si>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</si>
  <si>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</si>
  <si>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</si>
  <si>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</si>
  <si>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</si>
  <si>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</si>
  <si>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</si>
  <si>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</si>
  <si>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</si>
  <si>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</si>
  <si>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</si>
  <si>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</si>
  <si>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</si>
  <si>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</si>
  <si>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</si>
  <si>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</si>
  <si>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</si>
  <si>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</si>
  <si>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</si>
  <si>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</si>
  <si>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</si>
  <si>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</si>
  <si>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</si>
  <si>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</si>
  <si>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</si>
  <si>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</si>
  <si>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</si>
  <si>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</si>
  <si>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</si>
  <si>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</si>
  <si>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</si>
  <si>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</si>
  <si>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</si>
  <si>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</si>
  <si>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</si>
  <si>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</si>
  <si>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</si>
  <si>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</si>
  <si>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</si>
  <si>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</si>
  <si>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</si>
  <si>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</si>
  <si>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</si>
  <si>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</si>
  <si>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</si>
  <si>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</si>
  <si>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</si>
  <si>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</si>
  <si>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</si>
  <si>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</si>
  <si>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</si>
  <si>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</si>
  <si>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</si>
  <si>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</si>
  <si>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</si>
  <si>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</si>
  <si>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</si>
  <si>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</si>
  <si>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</si>
  <si>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</si>
  <si>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</si>
  <si>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</si>
  <si>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</si>
  <si>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</si>
  <si>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</si>
  <si>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</si>
  <si>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</si>
  <si>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</si>
  <si>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</si>
  <si>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</si>
  <si>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</si>
  <si>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</si>
  <si>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</si>
  <si>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</si>
  <si>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</si>
  <si>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</si>
  <si>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</si>
  <si>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</si>
  <si>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</si>
  <si>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</si>
  <si>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</si>
  <si>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</si>
  <si>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</si>
  <si>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</si>
  <si>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</si>
  <si>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</si>
  <si>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</si>
  <si>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</si>
  <si>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</si>
  <si>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</si>
  <si>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</si>
  <si>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</si>
  <si>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</si>
  <si>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</si>
  <si>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</si>
  <si>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</si>
  <si>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</si>
  <si>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</si>
  <si>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</si>
  <si>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</si>
  <si>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</si>
  <si>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</si>
  <si>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</si>
  <si>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</si>
  <si>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</si>
  <si>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</si>
  <si>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</si>
  <si>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</si>
  <si>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</si>
  <si>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</si>
  <si>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</si>
  <si>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</si>
  <si>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</si>
  <si>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</si>
  <si>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</si>
  <si>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</si>
  <si>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</si>
  <si>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</si>
  <si>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</si>
  <si>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</si>
  <si>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</si>
  <si>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</si>
  <si>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</si>
  <si>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</si>
  <si>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</si>
  <si>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</si>
  <si>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</si>
  <si>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</si>
  <si>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</si>
  <si>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</si>
  <si>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</si>
  <si>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</si>
  <si>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</si>
  <si>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</si>
  <si>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</si>
  <si>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</si>
  <si>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</si>
  <si>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</si>
  <si>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</si>
  <si>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</si>
  <si>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</si>
  <si>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</si>
  <si>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</si>
  <si>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</si>
  <si>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</si>
  <si>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</si>
  <si>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</si>
  <si>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</si>
  <si>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</si>
  <si>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</si>
  <si>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</si>
  <si>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</si>
  <si>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</si>
  <si>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</si>
  <si>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</si>
  <si>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</si>
  <si>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</si>
  <si>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</si>
  <si>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</si>
  <si>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</si>
  <si>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</si>
  <si>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</si>
  <si>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</si>
  <si>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</si>
  <si>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</si>
  <si>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</si>
  <si>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</si>
  <si>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</si>
  <si>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</si>
  <si>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</si>
  <si>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</si>
  <si>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</si>
  <si>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</si>
  <si>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</si>
  <si>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</si>
  <si>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</si>
  <si>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</si>
  <si>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</si>
  <si>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</si>
  <si>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</si>
  <si>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</si>
  <si>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</si>
  <si>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</si>
  <si>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</si>
  <si>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</si>
  <si>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</si>
  <si>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</si>
  <si>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</si>
  <si>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</si>
  <si>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</si>
  <si>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</si>
  <si>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</si>
  <si>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</si>
  <si>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</si>
  <si>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</si>
  <si>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</si>
  <si>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</si>
  <si>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</si>
  <si>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</si>
  <si>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</si>
  <si>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</si>
  <si>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</si>
  <si>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</si>
  <si>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</si>
  <si>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</si>
  <si>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</si>
  <si>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</si>
  <si>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</si>
  <si>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</si>
  <si>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</si>
  <si>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</si>
  <si>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</si>
  <si>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</si>
  <si>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</si>
  <si>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</si>
  <si>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</si>
  <si>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</si>
  <si>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</si>
  <si>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</si>
  <si>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</si>
  <si>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</si>
  <si>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</si>
  <si>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</si>
  <si>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</si>
  <si>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</si>
  <si>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</si>
  <si>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</si>
  <si>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</si>
  <si>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</si>
  <si>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</si>
  <si>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</si>
  <si>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</si>
  <si>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</si>
  <si>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</si>
  <si>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</si>
  <si>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</si>
  <si>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</si>
  <si>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</si>
  <si>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</si>
  <si>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</si>
  <si>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</si>
  <si>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</si>
  <si>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</si>
  <si>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</si>
  <si>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</si>
  <si>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</si>
  <si>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</si>
  <si>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</si>
  <si>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</si>
  <si>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</si>
  <si>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</si>
  <si>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</si>
  <si>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</si>
  <si>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</si>
  <si>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</si>
  <si>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</si>
  <si>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</si>
  <si>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</si>
  <si>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</si>
  <si>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</si>
  <si>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</si>
  <si>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</si>
  <si>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</si>
  <si>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</si>
  <si>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</si>
  <si>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</si>
  <si>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</si>
  <si>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</si>
  <si>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</si>
  <si>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</si>
  <si>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</si>
  <si>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</si>
  <si>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</si>
  <si>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</si>
  <si>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</si>
  <si>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</si>
  <si>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</si>
  <si>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</si>
  <si>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</si>
  <si>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</si>
  <si>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</si>
  <si>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(iii) A component one project being rehabilitated under the HUD Rental Assistance Demonstration (RAD) Program</t>
  </si>
  <si>
    <t>(iv) A project that received an award from HCD’s Portfolio Reinvestment Program</t>
  </si>
  <si>
    <t>January 21, 2026 Version</t>
  </si>
  <si>
    <t>Provided</t>
  </si>
  <si>
    <t>Not Applicable</t>
  </si>
  <si>
    <t>LIHTC Advisors, LLC</t>
  </si>
  <si>
    <t>Bella Village Apartments</t>
  </si>
  <si>
    <t>City of San Ramon</t>
  </si>
  <si>
    <t>Brooke Litman</t>
  </si>
  <si>
    <t>2222 Camino Ramon</t>
  </si>
  <si>
    <t>San Ramon</t>
  </si>
  <si>
    <t>925-973-2573</t>
  </si>
  <si>
    <t>925-275-0854</t>
  </si>
  <si>
    <t>blittman@sanramon.ca.gov</t>
  </si>
  <si>
    <t>2233 San Ramon Valley Boulevard</t>
  </si>
  <si>
    <t>40%/60% Average Income</t>
  </si>
  <si>
    <t>4509 W Salix Drive</t>
  </si>
  <si>
    <t>Meridian</t>
  </si>
  <si>
    <t>ID</t>
  </si>
  <si>
    <t>John Nicolas</t>
  </si>
  <si>
    <t>805-804-7778</t>
  </si>
  <si>
    <t>john@lihtcadv.com</t>
  </si>
  <si>
    <t>Limited Liability Company</t>
  </si>
  <si>
    <t>Administrative GP</t>
  </si>
  <si>
    <t>Central Valley Coalition for Affordable Housing</t>
  </si>
  <si>
    <t>Managing GP</t>
  </si>
  <si>
    <t>3351 M Street, Suite 150</t>
  </si>
  <si>
    <t>CA</t>
  </si>
  <si>
    <t xml:space="preserve">Christina Alley </t>
  </si>
  <si>
    <t>209-388-0782</t>
  </si>
  <si>
    <t>chris@centralvalleycoalition.com</t>
  </si>
  <si>
    <t>Sabelhaus &amp; Strain PC</t>
  </si>
  <si>
    <t>1724 10th Street, Suite 110</t>
  </si>
  <si>
    <t>Stephen Strain</t>
  </si>
  <si>
    <t>916-444-0286</t>
  </si>
  <si>
    <t>sstrain@sabelhauslaw.com</t>
  </si>
  <si>
    <t>Consultant</t>
  </si>
  <si>
    <t xml:space="preserve">4509 Salix Drive </t>
  </si>
  <si>
    <t>Meridian, ID 83646</t>
  </si>
  <si>
    <t>RESI Architecture</t>
  </si>
  <si>
    <t>23231 South Pointe Drive</t>
  </si>
  <si>
    <t>Laguna Hills, CA 92653</t>
  </si>
  <si>
    <t>Chris Weimholt</t>
  </si>
  <si>
    <t>949-267-1660</t>
  </si>
  <si>
    <t>cweimholt@adcollaborative.com</t>
  </si>
  <si>
    <t>Sacramento, CA 95811</t>
  </si>
  <si>
    <t>Stephen A. Strain</t>
  </si>
  <si>
    <t>VCA Green</t>
  </si>
  <si>
    <t>1845 W Orangewood Avenue, Suite 310</t>
  </si>
  <si>
    <t>Orange, CA 92868</t>
  </si>
  <si>
    <t>Burke Boydell</t>
  </si>
  <si>
    <t>714-363-4700</t>
  </si>
  <si>
    <t>bboydell@vca-green.com</t>
  </si>
  <si>
    <t>Bernard E. Rea, CPA</t>
  </si>
  <si>
    <t>PO Box 492</t>
  </si>
  <si>
    <t>Aubrey, TX 76227</t>
  </si>
  <si>
    <t>Bernie Rea</t>
  </si>
  <si>
    <t>209-933-9113</t>
  </si>
  <si>
    <t>breacpa@aol.com</t>
  </si>
  <si>
    <t>Boston Financial</t>
  </si>
  <si>
    <t>225 Franklin Street</t>
  </si>
  <si>
    <t>Boston, MA 02110</t>
  </si>
  <si>
    <t>Laura Surdel</t>
  </si>
  <si>
    <t>774-567-5693</t>
  </si>
  <si>
    <t>laura.surdel@bfim.com</t>
  </si>
  <si>
    <t>Kinetic Valuation Group, Inc.</t>
  </si>
  <si>
    <t>3901 S 147th Street, Suite 144</t>
  </si>
  <si>
    <t>Omaha, NE 68144</t>
  </si>
  <si>
    <t>Jay Wortmann, MAI</t>
  </si>
  <si>
    <t>402-202-0771</t>
  </si>
  <si>
    <t>jay@kvgteam.com</t>
  </si>
  <si>
    <t xml:space="preserve">California Municipal Finance Authority </t>
  </si>
  <si>
    <t>2111 Palomar Airport Road, Suite 320</t>
  </si>
  <si>
    <t>Carlsbad, CA 92011</t>
  </si>
  <si>
    <t>Anthony Stubbs</t>
  </si>
  <si>
    <t>760-930-1333</t>
  </si>
  <si>
    <t>760-683-3390</t>
  </si>
  <si>
    <t>astubbs@cmfa-ca.com</t>
  </si>
  <si>
    <t xml:space="preserve">CONAM Management Corporation </t>
  </si>
  <si>
    <t>3990 Ruffin Road #100</t>
  </si>
  <si>
    <t>San Diego, CA 92123</t>
  </si>
  <si>
    <t>Michelle Sites</t>
  </si>
  <si>
    <t>858-614-7200</t>
  </si>
  <si>
    <t>JSA 2233, LLC and JSA Properties, Inc.</t>
  </si>
  <si>
    <t>Mark Staats</t>
  </si>
  <si>
    <t>Manager</t>
  </si>
  <si>
    <t>412 Sycamore Circle, Danville, CA 94583</t>
  </si>
  <si>
    <t>Other (Specify below)</t>
  </si>
  <si>
    <t>Garden style with tuckunder garages (Type 3 and Type 5 construction). Two buildings are five stories and elevtor served, while one building is a three-story walk-up.</t>
  </si>
  <si>
    <t xml:space="preserve">Large Family </t>
  </si>
  <si>
    <t>Village Center Mixed Use</t>
  </si>
  <si>
    <t>Village Center Mixed Use, 30-35 units per acre</t>
  </si>
  <si>
    <t>The commercial requirement was removed</t>
  </si>
  <si>
    <t>Yes - State Density Bonus</t>
  </si>
  <si>
    <t>60 feet</t>
  </si>
  <si>
    <t>1.25 per unit and 0.2 for guest</t>
  </si>
  <si>
    <t>Citibank, N.A.</t>
  </si>
  <si>
    <t>Safehold TI Allowance</t>
  </si>
  <si>
    <t>Fixed</t>
  </si>
  <si>
    <t>325 E Hillcrest Drive, Suite 160</t>
  </si>
  <si>
    <t>Thousand Oaks, CA</t>
  </si>
  <si>
    <t>Mike Hemmens</t>
  </si>
  <si>
    <t>805-557-093</t>
  </si>
  <si>
    <t>Tax Exempt Construction Loan</t>
  </si>
  <si>
    <t>805-557-0930</t>
  </si>
  <si>
    <t>Taxable Construction Loan</t>
  </si>
  <si>
    <t>4509 Salix Drive</t>
  </si>
  <si>
    <t xml:space="preserve">Meridian, ID </t>
  </si>
  <si>
    <t>Boston, MA</t>
  </si>
  <si>
    <t xml:space="preserve">LIHTC Equity </t>
  </si>
  <si>
    <t>Meridian, ID</t>
  </si>
  <si>
    <t>Deferred Costs</t>
  </si>
  <si>
    <t>Citibank, N.A. - Series B</t>
  </si>
  <si>
    <t>CUAC</t>
  </si>
  <si>
    <t>Supplies for Repairs and Cleaning</t>
  </si>
  <si>
    <t>Benefits, Workers Comp, Taxes</t>
  </si>
  <si>
    <t>Office Supplies, Telephone, Admin Misc.</t>
  </si>
  <si>
    <t xml:space="preserve">Other: Cost Certification </t>
  </si>
  <si>
    <t>Other: Bond Issuer &amp; Trustee Fees</t>
  </si>
  <si>
    <t>Other: Interest &amp; Loan Fees - Series B</t>
  </si>
  <si>
    <t>Other: Financial Advisors</t>
  </si>
  <si>
    <t>Safehold Ground Lease</t>
  </si>
  <si>
    <t>TE Bonds - Series B</t>
  </si>
  <si>
    <t>Ground Lease - TI Allowance</t>
  </si>
  <si>
    <t>11601 Wilshire Boulevard Suite 1680</t>
  </si>
  <si>
    <t>Los Angeles, CA 90024</t>
  </si>
  <si>
    <t>Steve Wylder</t>
  </si>
  <si>
    <t>310-315-7019</t>
  </si>
  <si>
    <t>Safehold, Inc.</t>
  </si>
  <si>
    <t>Secured by Leasehold Interest</t>
  </si>
  <si>
    <t>Recycled Tax-Exempt Financing</t>
  </si>
  <si>
    <t>Bonneville Multifamily Capital</t>
  </si>
  <si>
    <t>111 Main Street, Suite 1600</t>
  </si>
  <si>
    <t>Salt Lake City, UT</t>
  </si>
  <si>
    <t>Brent H. Peteson</t>
  </si>
  <si>
    <t>801-323-1000</t>
  </si>
  <si>
    <t>Recycled Bond Construction Loan (B-Bond)</t>
  </si>
  <si>
    <t>Brent H. Peterson</t>
  </si>
  <si>
    <t xml:space="preserve">Tax-Exempt Bond Permanent Loan </t>
  </si>
  <si>
    <t>Tax-Exempt Bond Permanent Loan (B-Bond)</t>
  </si>
  <si>
    <t>Below residual receipts line for cash flow</t>
  </si>
  <si>
    <t>The Pacific Companies</t>
  </si>
  <si>
    <t>430 E. State Street, Suite 100</t>
  </si>
  <si>
    <t>Eagle, ID 83616</t>
  </si>
  <si>
    <t>Caleb Roope</t>
  </si>
  <si>
    <t>info@tpchousing.com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</si>
</sst>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ont>
    <font>
      <sz val="10"/>
      <color indexed="8"/>
      <name val="ARIAL"/>
      <charset val="1"/>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44252">
    <xf numFmtId="0" fontId="0" fillId="0" borderId="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90" fillId="36" borderId="18" applyNumberFormat="0" applyAlignment="0" applyProtection="0"/>
    <xf numFmtId="0" fontId="90" fillId="36" borderId="18" applyNumberFormat="0" applyAlignment="0" applyProtection="0"/>
    <xf numFmtId="0" fontId="91" fillId="37" borderId="19"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9"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3" fillId="0" borderId="0" applyFont="0" applyFill="0" applyBorder="0" applyAlignment="0" applyProtection="0"/>
    <xf numFmtId="43" fontId="28" fillId="0" borderId="0" applyFont="0" applyFill="0" applyBorder="0" applyAlignment="0" applyProtection="0"/>
    <xf numFmtId="43" fontId="63" fillId="0" borderId="0" applyFont="0" applyFill="0" applyBorder="0" applyAlignment="0" applyProtection="0"/>
    <xf numFmtId="44" fontId="80"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80" fillId="0" borderId="0" applyFont="0" applyFill="0" applyBorder="0" applyAlignment="0" applyProtection="0"/>
    <xf numFmtId="44" fontId="28" fillId="0" borderId="0" applyFont="0" applyFill="0" applyBorder="0" applyAlignment="0" applyProtection="0"/>
    <xf numFmtId="44" fontId="82"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28"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3" fillId="0" borderId="0" applyFont="0" applyFill="0" applyBorder="0" applyAlignment="0" applyProtection="0"/>
    <xf numFmtId="44" fontId="7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28" fillId="0" borderId="0" applyFont="0" applyFill="0" applyBorder="0" applyAlignment="0" applyProtection="0"/>
    <xf numFmtId="44" fontId="73" fillId="0" borderId="0" applyFont="0" applyFill="0" applyBorder="0" applyAlignment="0" applyProtection="0"/>
    <xf numFmtId="44" fontId="28"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28" fillId="0" borderId="0" applyFont="0" applyFill="0" applyBorder="0" applyAlignment="0" applyProtection="0"/>
    <xf numFmtId="44" fontId="74"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78" fillId="0" borderId="0" applyFont="0" applyFill="0" applyBorder="0" applyAlignment="0" applyProtection="0"/>
    <xf numFmtId="44" fontId="28" fillId="0" borderId="0" applyFont="0" applyFill="0" applyBorder="0" applyAlignment="0" applyProtection="0"/>
    <xf numFmtId="0" fontId="92" fillId="0" borderId="0" applyNumberFormat="0" applyFill="0" applyBorder="0" applyAlignment="0" applyProtection="0"/>
    <xf numFmtId="0" fontId="93" fillId="38" borderId="0" applyNumberFormat="0" applyBorder="0" applyAlignment="0" applyProtection="0"/>
    <xf numFmtId="0" fontId="94" fillId="0" borderId="20" applyNumberFormat="0" applyFill="0" applyAlignment="0" applyProtection="0"/>
    <xf numFmtId="0" fontId="94" fillId="0" borderId="20" applyNumberFormat="0" applyFill="0" applyAlignment="0" applyProtection="0"/>
    <xf numFmtId="0" fontId="95" fillId="0" borderId="21" applyNumberFormat="0" applyFill="0" applyAlignment="0" applyProtection="0"/>
    <xf numFmtId="0" fontId="95" fillId="0" borderId="21" applyNumberFormat="0" applyFill="0" applyAlignment="0" applyProtection="0"/>
    <xf numFmtId="0" fontId="96" fillId="0" borderId="22" applyNumberFormat="0" applyFill="0" applyAlignment="0" applyProtection="0"/>
    <xf numFmtId="0" fontId="96" fillId="0" borderId="22"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84" fillId="0" borderId="0" applyNumberFormat="0" applyFill="0" applyBorder="0" applyAlignment="0" applyProtection="0">
      <alignment vertical="top"/>
      <protection locked="0"/>
    </xf>
    <xf numFmtId="0" fontId="97" fillId="39" borderId="18" applyNumberFormat="0" applyAlignment="0" applyProtection="0"/>
    <xf numFmtId="0" fontId="21" fillId="0" borderId="0" applyNumberFormat="0" applyBorder="0"/>
    <xf numFmtId="0" fontId="22" fillId="0" borderId="0" applyBorder="0" applyAlignment="0"/>
    <xf numFmtId="0" fontId="23" fillId="0" borderId="0" applyFill="0" applyBorder="0" applyAlignment="0"/>
    <xf numFmtId="0" fontId="98" fillId="0" borderId="23" applyNumberFormat="0" applyFill="0" applyAlignment="0" applyProtection="0"/>
    <xf numFmtId="0" fontId="99" fillId="40" borderId="0" applyNumberFormat="0" applyBorder="0" applyAlignment="0" applyProtection="0"/>
    <xf numFmtId="0" fontId="100" fillId="0" borderId="0"/>
    <xf numFmtId="0" fontId="63" fillId="0" borderId="0"/>
    <xf numFmtId="0" fontId="100" fillId="0" borderId="0"/>
    <xf numFmtId="0" fontId="63" fillId="0" borderId="0"/>
    <xf numFmtId="0" fontId="63"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3" fillId="0" borderId="0"/>
    <xf numFmtId="169" fontId="64" fillId="0" borderId="0"/>
    <xf numFmtId="0" fontId="87" fillId="0" borderId="0"/>
    <xf numFmtId="0" fontId="28" fillId="0" borderId="0"/>
    <xf numFmtId="0" fontId="28" fillId="0" borderId="0"/>
    <xf numFmtId="0" fontId="69" fillId="0" borderId="0"/>
    <xf numFmtId="0" fontId="63" fillId="0" borderId="0"/>
    <xf numFmtId="0" fontId="69" fillId="0" borderId="0"/>
    <xf numFmtId="0" fontId="63" fillId="0" borderId="0"/>
    <xf numFmtId="0" fontId="75" fillId="0" borderId="0"/>
    <xf numFmtId="0" fontId="63"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5" fillId="0" borderId="0"/>
    <xf numFmtId="0" fontId="87" fillId="0" borderId="0"/>
    <xf numFmtId="0" fontId="87" fillId="0" borderId="0"/>
    <xf numFmtId="0" fontId="87"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87" fillId="0" borderId="0"/>
    <xf numFmtId="0" fontId="87" fillId="0" borderId="0"/>
    <xf numFmtId="0" fontId="87" fillId="0" borderId="0"/>
    <xf numFmtId="0" fontId="87" fillId="0" borderId="0"/>
    <xf numFmtId="0" fontId="75" fillId="0" borderId="0"/>
    <xf numFmtId="0" fontId="63" fillId="0" borderId="0">
      <alignment vertical="top"/>
    </xf>
    <xf numFmtId="0" fontId="87" fillId="0" borderId="0"/>
    <xf numFmtId="0" fontId="87" fillId="0" borderId="0"/>
    <xf numFmtId="0" fontId="87" fillId="0" borderId="0"/>
    <xf numFmtId="0" fontId="87" fillId="0" borderId="0"/>
    <xf numFmtId="0" fontId="75" fillId="0" borderId="0"/>
    <xf numFmtId="0" fontId="28" fillId="0" borderId="0"/>
    <xf numFmtId="0" fontId="87" fillId="0" borderId="0"/>
    <xf numFmtId="0" fontId="28" fillId="0" borderId="0"/>
    <xf numFmtId="0" fontId="87" fillId="0" borderId="0"/>
    <xf numFmtId="0" fontId="87" fillId="0" borderId="0"/>
    <xf numFmtId="0" fontId="87" fillId="0" borderId="0"/>
    <xf numFmtId="0" fontId="87" fillId="0" borderId="0"/>
    <xf numFmtId="0" fontId="69" fillId="0" borderId="0"/>
    <xf numFmtId="0" fontId="63" fillId="0" borderId="0">
      <alignment vertical="top"/>
    </xf>
    <xf numFmtId="0" fontId="69" fillId="0" borderId="0"/>
    <xf numFmtId="0" fontId="63" fillId="0" borderId="0">
      <alignment vertical="top"/>
    </xf>
    <xf numFmtId="0" fontId="63" fillId="0" borderId="0">
      <alignment vertical="top"/>
    </xf>
    <xf numFmtId="0" fontId="87" fillId="0" borderId="0"/>
    <xf numFmtId="0" fontId="69"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63" fillId="0" borderId="0">
      <alignment vertical="top"/>
    </xf>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19" fillId="0" borderId="0" applyProtection="0">
      <protection locked="0"/>
    </xf>
    <xf numFmtId="0" fontId="28" fillId="0" borderId="0" applyProtection="0">
      <protection locked="0"/>
    </xf>
    <xf numFmtId="0" fontId="28" fillId="0" borderId="0" applyProtection="0">
      <protection locked="0"/>
    </xf>
    <xf numFmtId="0" fontId="64" fillId="0" borderId="0"/>
    <xf numFmtId="0" fontId="19" fillId="0" borderId="0"/>
    <xf numFmtId="0" fontId="79"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79"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102" fillId="36" borderId="25" applyNumberFormat="0" applyAlignment="0" applyProtection="0"/>
    <xf numFmtId="0" fontId="102" fillId="36" borderId="25" applyNumberFormat="0" applyAlignment="0" applyProtection="0"/>
    <xf numFmtId="0" fontId="24" fillId="0" borderId="0" applyNumberFormat="0" applyFill="0" applyBorder="0">
      <alignment horizontal="left"/>
    </xf>
    <xf numFmtId="0" fontId="103" fillId="0" borderId="0" applyNumberFormat="0" applyFill="0" applyBorder="0" applyAlignment="0" applyProtection="0"/>
    <xf numFmtId="0" fontId="104" fillId="0" borderId="26" applyNumberFormat="0" applyFill="0" applyAlignment="0" applyProtection="0"/>
    <xf numFmtId="0" fontId="104" fillId="0" borderId="26" applyNumberFormat="0" applyFill="0" applyAlignment="0" applyProtection="0"/>
    <xf numFmtId="0" fontId="105" fillId="0" borderId="0" applyNumberFormat="0" applyFill="0" applyBorder="0" applyAlignment="0" applyProtection="0"/>
    <xf numFmtId="0" fontId="19" fillId="0" borderId="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9" fontId="19" fillId="0" borderId="0" applyFont="0" applyFill="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0"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4" fontId="112"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113" fillId="0" borderId="0" applyNumberForma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03" fillId="0" borderId="0" applyNumberForma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44" fontId="19" fillId="0" borderId="0" applyFont="0" applyFill="0" applyBorder="0" applyAlignment="0" applyProtection="0"/>
    <xf numFmtId="9" fontId="122" fillId="0" borderId="0" applyFont="0" applyFill="0" applyBorder="0" applyAlignment="0" applyProtection="0"/>
    <xf numFmtId="0" fontId="122" fillId="0" borderId="0"/>
    <xf numFmtId="0" fontId="13" fillId="0" borderId="0"/>
    <xf numFmtId="0" fontId="19" fillId="0" borderId="0"/>
    <xf numFmtId="43" fontId="13" fillId="0" borderId="0" applyFont="0" applyFill="0" applyBorder="0" applyAlignment="0" applyProtection="0"/>
    <xf numFmtId="9" fontId="13"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43" fontId="149"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4" fontId="151"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0" fontId="5" fillId="0" borderId="0"/>
    <xf numFmtId="0" fontId="19" fillId="0" borderId="0" applyBorder="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89"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63" fillId="0" borderId="0">
      <alignment vertical="top"/>
    </xf>
    <xf numFmtId="0" fontId="63" fillId="0" borderId="0">
      <alignment vertical="top"/>
    </xf>
    <xf numFmtId="0" fontId="2" fillId="0" borderId="0"/>
    <xf numFmtId="0" fontId="2" fillId="0" borderId="0"/>
    <xf numFmtId="0" fontId="63" fillId="0" borderId="0">
      <alignment vertical="top"/>
    </xf>
    <xf numFmtId="0" fontId="190" fillId="0" borderId="0">
      <alignment vertical="top"/>
    </xf>
    <xf numFmtId="0" fontId="63" fillId="0" borderId="0">
      <alignment vertical="top"/>
    </xf>
    <xf numFmtId="0" fontId="63" fillId="0" borderId="0">
      <alignment vertical="top"/>
    </xf>
    <xf numFmtId="0" fontId="19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43" fontId="79" fillId="0" borderId="0" applyFont="0" applyFill="0" applyBorder="0" applyAlignment="0" applyProtection="0"/>
    <xf numFmtId="0" fontId="2" fillId="16" borderId="0" applyNumberFormat="0" applyBorder="0" applyAlignment="0" applyProtection="0"/>
    <xf numFmtId="0" fontId="2" fillId="22" borderId="0" applyNumberFormat="0" applyBorder="0" applyAlignment="0" applyProtection="0"/>
    <xf numFmtId="43" fontId="7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7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63" fillId="0" borderId="0">
      <alignment vertical="top"/>
    </xf>
    <xf numFmtId="0" fontId="63" fillId="0" borderId="0">
      <alignment vertical="top"/>
    </xf>
    <xf numFmtId="43"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0" fontId="101" fillId="0" borderId="0"/>
    <xf numFmtId="0" fontId="79" fillId="41" borderId="24" applyNumberFormat="0" applyFont="0" applyAlignment="0" applyProtection="0"/>
    <xf numFmtId="0" fontId="79" fillId="41" borderId="24" applyNumberFormat="0" applyFont="0" applyAlignment="0" applyProtection="0"/>
    <xf numFmtId="43" fontId="19" fillId="0" borderId="0" applyFont="0" applyFill="0" applyBorder="0" applyAlignment="0" applyProtection="0"/>
    <xf numFmtId="0" fontId="19"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2" fillId="41" borderId="24" applyNumberFormat="0" applyFont="0" applyAlignment="0" applyProtection="0"/>
    <xf numFmtId="0" fontId="2" fillId="41" borderId="24" applyNumberFormat="0" applyFont="0" applyAlignment="0" applyProtection="0"/>
    <xf numFmtId="169" fontId="191"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9"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3">
    <xf numFmtId="0" fontId="0" fillId="0" borderId="0" xfId="0"/>
    <xf numFmtId="0" fontId="0" fillId="0" borderId="0" xfId="0" applyAlignment="1">
      <alignment horizontal="center"/>
    </xf>
    <xf numFmtId="0" fontId="26" fillId="0" borderId="0" xfId="0" applyFont="1"/>
    <xf numFmtId="0" fontId="19" fillId="0" borderId="0" xfId="0" applyFont="1"/>
    <xf numFmtId="0" fontId="28" fillId="0" borderId="0" xfId="0" applyFont="1"/>
    <xf numFmtId="0" fontId="0" fillId="0" borderId="4" xfId="0" applyBorder="1"/>
    <xf numFmtId="0" fontId="28" fillId="0" borderId="0" xfId="0" applyFont="1" applyAlignment="1">
      <alignment horizontal="center"/>
    </xf>
    <xf numFmtId="0" fontId="19"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6" fillId="0" borderId="4" xfId="0" applyFont="1" applyBorder="1"/>
    <xf numFmtId="164" fontId="0" fillId="0" borderId="0" xfId="0" applyNumberFormat="1" applyAlignment="1">
      <alignment horizontal="right"/>
    </xf>
    <xf numFmtId="0" fontId="26" fillId="0" borderId="0" xfId="0" applyFont="1" applyAlignment="1">
      <alignment horizontal="center"/>
    </xf>
    <xf numFmtId="0" fontId="19" fillId="0" borderId="0" xfId="543"/>
    <xf numFmtId="0" fontId="28" fillId="0" borderId="0" xfId="0" applyFont="1" applyAlignment="1">
      <alignment horizontal="left" vertical="top" wrapText="1"/>
    </xf>
    <xf numFmtId="0" fontId="34" fillId="0" borderId="0" xfId="0" applyFont="1"/>
    <xf numFmtId="0" fontId="27" fillId="0" borderId="0" xfId="0" applyFont="1" applyAlignment="1">
      <alignment vertical="top"/>
    </xf>
    <xf numFmtId="0" fontId="27" fillId="0" borderId="0" xfId="0" applyFont="1" applyAlignment="1">
      <alignment vertical="top" wrapText="1"/>
    </xf>
    <xf numFmtId="0" fontId="28" fillId="0" borderId="0" xfId="0" applyFont="1" applyAlignment="1">
      <alignment horizontal="left" indent="4"/>
    </xf>
    <xf numFmtId="0" fontId="27" fillId="0" borderId="0" xfId="0" applyFont="1" applyAlignment="1">
      <alignment horizontal="left" vertical="top"/>
    </xf>
    <xf numFmtId="0" fontId="27" fillId="0" borderId="0" xfId="0" applyFont="1" applyAlignment="1">
      <alignment horizontal="left"/>
    </xf>
    <xf numFmtId="0" fontId="27" fillId="0" borderId="0" xfId="0" applyFont="1"/>
    <xf numFmtId="0" fontId="39" fillId="0" borderId="0" xfId="543" applyFont="1"/>
    <xf numFmtId="1" fontId="27" fillId="0" borderId="0" xfId="0" applyNumberFormat="1" applyFont="1" applyAlignment="1">
      <alignment horizontal="left"/>
    </xf>
    <xf numFmtId="0" fontId="29" fillId="0" borderId="0" xfId="0" applyFont="1"/>
    <xf numFmtId="1" fontId="27" fillId="0" borderId="0" xfId="0" applyNumberFormat="1" applyFont="1" applyAlignment="1">
      <alignment horizontal="right"/>
    </xf>
    <xf numFmtId="0" fontId="0" fillId="0" borderId="0" xfId="0" applyAlignment="1">
      <alignment horizontal="right"/>
    </xf>
    <xf numFmtId="0" fontId="38" fillId="0" borderId="0" xfId="0" applyFont="1"/>
    <xf numFmtId="0" fontId="31" fillId="0" borderId="0" xfId="0" applyFont="1"/>
    <xf numFmtId="172" fontId="19" fillId="0" borderId="0" xfId="543" applyNumberFormat="1"/>
    <xf numFmtId="9" fontId="19" fillId="0" borderId="0" xfId="543" applyNumberFormat="1" applyAlignment="1">
      <alignment horizontal="left"/>
    </xf>
    <xf numFmtId="168" fontId="19" fillId="0" borderId="0" xfId="543" applyNumberFormat="1"/>
    <xf numFmtId="0" fontId="28" fillId="0" borderId="0" xfId="0" applyFont="1" applyAlignment="1">
      <alignment horizontal="right"/>
    </xf>
    <xf numFmtId="0" fontId="42" fillId="0" borderId="0" xfId="0" applyFont="1"/>
    <xf numFmtId="0" fontId="28" fillId="0" borderId="0" xfId="0" applyFont="1" applyAlignment="1">
      <alignment horizontal="left"/>
    </xf>
    <xf numFmtId="0" fontId="30" fillId="0" borderId="0" xfId="0" applyFont="1"/>
    <xf numFmtId="0" fontId="32" fillId="0" borderId="0" xfId="0" applyFont="1"/>
    <xf numFmtId="0" fontId="26"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6" fillId="0" borderId="1" xfId="0" applyFont="1" applyBorder="1" applyAlignment="1">
      <alignment horizontal="center" wrapText="1"/>
    </xf>
    <xf numFmtId="0" fontId="26"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6" fillId="0" borderId="4" xfId="0" applyFont="1" applyBorder="1" applyAlignment="1">
      <alignment horizontal="center"/>
    </xf>
    <xf numFmtId="0" fontId="35" fillId="0" borderId="3" xfId="0" applyFont="1" applyBorder="1" applyAlignment="1">
      <alignment horizontal="left"/>
    </xf>
    <xf numFmtId="0" fontId="35" fillId="0" borderId="9" xfId="0" applyFont="1" applyBorder="1" applyAlignment="1">
      <alignment horizontal="left"/>
    </xf>
    <xf numFmtId="0" fontId="26" fillId="0" borderId="4" xfId="0" applyFont="1" applyBorder="1" applyAlignment="1">
      <alignment horizontal="right"/>
    </xf>
    <xf numFmtId="0" fontId="26" fillId="0" borderId="5" xfId="0" applyFont="1" applyBorder="1" applyAlignment="1">
      <alignment horizontal="right"/>
    </xf>
    <xf numFmtId="0" fontId="35" fillId="0" borderId="0" xfId="0" applyFont="1" applyAlignment="1">
      <alignment horizontal="left"/>
    </xf>
    <xf numFmtId="0" fontId="26" fillId="0" borderId="0" xfId="0" applyFont="1" applyAlignment="1">
      <alignment horizontal="right"/>
    </xf>
    <xf numFmtId="0" fontId="26"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8" fillId="0" borderId="11" xfId="0" applyFont="1" applyBorder="1" applyAlignment="1">
      <alignment horizontal="left"/>
    </xf>
    <xf numFmtId="0" fontId="26" fillId="0" borderId="9" xfId="0" applyFont="1" applyBorder="1"/>
    <xf numFmtId="164" fontId="0" fillId="0" borderId="0" xfId="0" applyNumberFormat="1" applyAlignment="1">
      <alignment horizontal="center"/>
    </xf>
    <xf numFmtId="0" fontId="0" fillId="0" borderId="12" xfId="0" applyBorder="1"/>
    <xf numFmtId="0" fontId="28" fillId="0" borderId="3" xfId="0" applyFont="1" applyBorder="1"/>
    <xf numFmtId="0" fontId="28" fillId="0" borderId="0" xfId="543" applyFont="1"/>
    <xf numFmtId="0" fontId="44" fillId="0" borderId="0" xfId="543" applyFont="1"/>
    <xf numFmtId="49" fontId="19" fillId="0" borderId="0" xfId="543" applyNumberFormat="1"/>
    <xf numFmtId="0" fontId="42" fillId="0" borderId="0" xfId="543" applyFont="1"/>
    <xf numFmtId="168" fontId="39" fillId="0" borderId="6" xfId="543" applyNumberFormat="1" applyFont="1" applyBorder="1" applyAlignment="1">
      <alignment horizontal="left"/>
    </xf>
    <xf numFmtId="168" fontId="39" fillId="0" borderId="6" xfId="543" applyNumberFormat="1" applyFont="1" applyBorder="1" applyAlignment="1">
      <alignment horizontal="center"/>
    </xf>
    <xf numFmtId="0" fontId="19" fillId="0" borderId="8" xfId="543" applyBorder="1"/>
    <xf numFmtId="0" fontId="39" fillId="0" borderId="0" xfId="543" applyFont="1" applyAlignment="1">
      <alignment horizontal="center"/>
    </xf>
    <xf numFmtId="0" fontId="38" fillId="0" borderId="9" xfId="543" applyFont="1" applyBorder="1" applyAlignment="1">
      <alignment horizontal="left" vertical="top" wrapText="1"/>
    </xf>
    <xf numFmtId="0" fontId="38" fillId="0" borderId="6" xfId="543" applyFont="1" applyBorder="1" applyAlignment="1">
      <alignment horizontal="center" vertical="top" wrapText="1"/>
    </xf>
    <xf numFmtId="0" fontId="19" fillId="0" borderId="9" xfId="543" applyBorder="1"/>
    <xf numFmtId="0" fontId="19" fillId="0" borderId="10" xfId="543" applyBorder="1"/>
    <xf numFmtId="0" fontId="19" fillId="0" borderId="1" xfId="543" applyBorder="1"/>
    <xf numFmtId="0" fontId="39" fillId="0" borderId="2" xfId="543" applyFont="1" applyBorder="1" applyAlignment="1">
      <alignment horizontal="center"/>
    </xf>
    <xf numFmtId="0" fontId="41" fillId="0" borderId="8" xfId="543" applyFont="1" applyBorder="1" applyAlignment="1">
      <alignment horizontal="left" vertical="top" wrapText="1"/>
    </xf>
    <xf numFmtId="0" fontId="38" fillId="0" borderId="0" xfId="543" applyFont="1" applyAlignment="1">
      <alignment horizontal="center" vertical="top" wrapText="1"/>
    </xf>
    <xf numFmtId="0" fontId="19" fillId="0" borderId="12" xfId="543" applyBorder="1"/>
    <xf numFmtId="0" fontId="41" fillId="0" borderId="0" xfId="543" applyFont="1" applyAlignment="1">
      <alignment horizontal="center" vertical="top" wrapText="1"/>
    </xf>
    <xf numFmtId="0" fontId="41" fillId="0" borderId="9" xfId="543" applyFont="1" applyBorder="1" applyAlignment="1">
      <alignment horizontal="left" vertical="top" wrapText="1"/>
    </xf>
    <xf numFmtId="0" fontId="19" fillId="0" borderId="2" xfId="543" applyBorder="1"/>
    <xf numFmtId="0" fontId="19" fillId="0" borderId="7" xfId="543" applyBorder="1"/>
    <xf numFmtId="0" fontId="38" fillId="0" borderId="0" xfId="543" applyFont="1"/>
    <xf numFmtId="0" fontId="19" fillId="0" borderId="0" xfId="543" applyAlignment="1">
      <alignment horizontal="center"/>
    </xf>
    <xf numFmtId="0" fontId="27" fillId="0" borderId="6" xfId="543" applyFont="1" applyBorder="1" applyAlignment="1">
      <alignment vertical="top" wrapText="1"/>
    </xf>
    <xf numFmtId="0" fontId="28" fillId="0" borderId="0" xfId="0" applyFont="1" applyAlignment="1">
      <alignment horizontal="left" vertical="top"/>
    </xf>
    <xf numFmtId="0" fontId="0" fillId="2" borderId="2" xfId="0" applyFill="1" applyBorder="1"/>
    <xf numFmtId="0" fontId="0" fillId="2" borderId="7" xfId="0" applyFill="1" applyBorder="1"/>
    <xf numFmtId="0" fontId="26" fillId="0" borderId="6" xfId="0" applyFont="1" applyBorder="1" applyAlignment="1">
      <alignment horizontal="right"/>
    </xf>
    <xf numFmtId="0" fontId="25" fillId="0" borderId="0" xfId="0" applyFont="1" applyAlignment="1">
      <alignment horizontal="center" vertical="center"/>
    </xf>
    <xf numFmtId="0" fontId="26" fillId="0" borderId="0" xfId="0" applyFont="1" applyAlignment="1">
      <alignment vertical="top"/>
    </xf>
    <xf numFmtId="166" fontId="0" fillId="0" borderId="0" xfId="0" applyNumberFormat="1" applyAlignment="1">
      <alignment horizontal="right"/>
    </xf>
    <xf numFmtId="0" fontId="49" fillId="0" borderId="0" xfId="0" applyFont="1"/>
    <xf numFmtId="0" fontId="36" fillId="0" borderId="0" xfId="0" applyFont="1"/>
    <xf numFmtId="0" fontId="20" fillId="0" borderId="0" xfId="244" applyBorder="1" applyProtection="1"/>
    <xf numFmtId="0" fontId="20" fillId="0" borderId="0" xfId="244" applyFill="1" applyBorder="1" applyAlignment="1">
      <alignment horizontal="center" vertical="center"/>
    </xf>
    <xf numFmtId="0" fontId="19" fillId="0" borderId="3" xfId="543" applyBorder="1"/>
    <xf numFmtId="0" fontId="41" fillId="0" borderId="4" xfId="543" applyFont="1" applyBorder="1" applyAlignment="1">
      <alignment horizontal="right" vertical="top" wrapText="1"/>
    </xf>
    <xf numFmtId="0" fontId="28" fillId="0" borderId="6" xfId="0" applyFont="1" applyBorder="1"/>
    <xf numFmtId="0" fontId="28" fillId="0" borderId="2" xfId="0" applyFont="1" applyBorder="1"/>
    <xf numFmtId="0" fontId="28" fillId="0" borderId="7" xfId="0" applyFont="1" applyBorder="1"/>
    <xf numFmtId="0" fontId="28" fillId="0" borderId="12" xfId="0" applyFont="1" applyBorder="1"/>
    <xf numFmtId="0" fontId="28" fillId="0" borderId="9" xfId="0" applyFont="1" applyBorder="1"/>
    <xf numFmtId="0" fontId="28" fillId="0" borderId="10" xfId="0" applyFont="1" applyBorder="1"/>
    <xf numFmtId="0" fontId="33" fillId="0" borderId="6" xfId="0" applyFont="1" applyBorder="1" applyAlignment="1">
      <alignment vertical="top" wrapText="1"/>
    </xf>
    <xf numFmtId="0" fontId="33" fillId="0" borderId="5" xfId="0" applyFont="1" applyBorder="1" applyAlignment="1">
      <alignment vertical="top" wrapText="1"/>
    </xf>
    <xf numFmtId="0" fontId="33" fillId="0" borderId="4" xfId="0" applyFont="1" applyBorder="1" applyAlignment="1">
      <alignment vertical="top" wrapText="1"/>
    </xf>
    <xf numFmtId="0" fontId="33" fillId="2" borderId="6" xfId="0" applyFont="1" applyFill="1" applyBorder="1" applyAlignment="1">
      <alignment vertical="top" wrapText="1"/>
    </xf>
    <xf numFmtId="0" fontId="0" fillId="0" borderId="8" xfId="0" applyBorder="1"/>
    <xf numFmtId="0" fontId="26" fillId="0" borderId="2" xfId="0" applyFont="1" applyBorder="1"/>
    <xf numFmtId="0" fontId="28" fillId="0" borderId="0" xfId="0" applyFont="1" applyAlignment="1">
      <alignment vertical="top"/>
    </xf>
    <xf numFmtId="0" fontId="28" fillId="0" borderId="0" xfId="0" applyFont="1" applyAlignment="1">
      <alignment vertical="top" wrapText="1"/>
    </xf>
    <xf numFmtId="0" fontId="19" fillId="0" borderId="0" xfId="0" applyFont="1" applyAlignment="1">
      <alignment horizontal="left"/>
    </xf>
    <xf numFmtId="0" fontId="19" fillId="0" borderId="0" xfId="0" applyFont="1" applyAlignment="1">
      <alignment vertical="top"/>
    </xf>
    <xf numFmtId="0" fontId="48" fillId="0" borderId="0" xfId="0" applyFont="1"/>
    <xf numFmtId="0" fontId="19" fillId="0" borderId="3" xfId="0" applyFont="1" applyBorder="1"/>
    <xf numFmtId="0" fontId="19"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3" fillId="3" borderId="4" xfId="0" applyFont="1" applyFill="1" applyBorder="1" applyAlignment="1">
      <alignment vertical="top" wrapText="1"/>
    </xf>
    <xf numFmtId="0" fontId="33" fillId="3" borderId="5" xfId="0" applyFont="1" applyFill="1" applyBorder="1" applyAlignment="1">
      <alignment vertical="top" wrapText="1"/>
    </xf>
    <xf numFmtId="0" fontId="51" fillId="0" borderId="0" xfId="0" applyFont="1"/>
    <xf numFmtId="0" fontId="28" fillId="0" borderId="4" xfId="0" applyFont="1" applyBorder="1"/>
    <xf numFmtId="0" fontId="26" fillId="0" borderId="2" xfId="0" applyFont="1" applyBorder="1" applyAlignment="1">
      <alignment horizontal="center"/>
    </xf>
    <xf numFmtId="0" fontId="26" fillId="0" borderId="0" xfId="0" applyFont="1" applyAlignment="1">
      <alignment horizontal="center" vertical="center" wrapText="1"/>
    </xf>
    <xf numFmtId="0" fontId="26" fillId="0" borderId="7" xfId="543" applyFont="1" applyBorder="1" applyAlignment="1">
      <alignment horizontal="right"/>
    </xf>
    <xf numFmtId="0" fontId="27" fillId="0" borderId="9" xfId="543" applyFont="1" applyBorder="1"/>
    <xf numFmtId="0" fontId="28" fillId="0" borderId="6" xfId="543" applyFont="1" applyBorder="1"/>
    <xf numFmtId="0" fontId="27" fillId="0" borderId="6" xfId="543" applyFont="1" applyBorder="1" applyAlignment="1">
      <alignment horizontal="right"/>
    </xf>
    <xf numFmtId="0" fontId="26" fillId="0" borderId="0" xfId="0" applyFont="1" applyAlignment="1">
      <alignment horizontal="center" vertical="center"/>
    </xf>
    <xf numFmtId="0" fontId="28" fillId="0" borderId="0" xfId="0" applyFont="1" applyAlignment="1">
      <alignment horizontal="left" vertical="center"/>
    </xf>
    <xf numFmtId="0" fontId="56" fillId="0" borderId="3" xfId="0" applyFont="1" applyBorder="1" applyAlignment="1">
      <alignment horizontal="left" vertical="top"/>
    </xf>
    <xf numFmtId="0" fontId="56" fillId="0" borderId="13" xfId="0" applyFont="1" applyBorder="1" applyAlignment="1">
      <alignment horizontal="center" wrapText="1"/>
    </xf>
    <xf numFmtId="0" fontId="56" fillId="0" borderId="13" xfId="0" applyFont="1" applyBorder="1" applyAlignment="1">
      <alignment horizontal="center" vertical="top" wrapText="1"/>
    </xf>
    <xf numFmtId="0" fontId="56" fillId="2" borderId="13" xfId="0" applyFont="1" applyFill="1" applyBorder="1" applyAlignment="1">
      <alignment horizontal="center" wrapText="1"/>
    </xf>
    <xf numFmtId="0" fontId="57" fillId="2" borderId="11" xfId="0" applyFont="1" applyFill="1" applyBorder="1" applyAlignment="1">
      <alignment horizontal="left" vertical="top" wrapText="1"/>
    </xf>
    <xf numFmtId="0" fontId="58" fillId="4" borderId="11" xfId="0" applyFont="1" applyFill="1" applyBorder="1" applyAlignment="1">
      <alignment vertical="top" wrapText="1"/>
    </xf>
    <xf numFmtId="0" fontId="58" fillId="2" borderId="11" xfId="0" applyFont="1" applyFill="1" applyBorder="1" applyAlignment="1">
      <alignment vertical="top" wrapText="1"/>
    </xf>
    <xf numFmtId="0" fontId="58" fillId="0" borderId="11" xfId="0" applyFont="1" applyBorder="1" applyAlignment="1">
      <alignment vertical="top" wrapText="1"/>
    </xf>
    <xf numFmtId="0" fontId="58" fillId="0" borderId="11" xfId="0" applyFont="1" applyBorder="1" applyAlignment="1">
      <alignment horizontal="right" vertical="top" wrapText="1"/>
    </xf>
    <xf numFmtId="168" fontId="58" fillId="0" borderId="11" xfId="0" applyNumberFormat="1" applyFont="1" applyBorder="1" applyAlignment="1">
      <alignment vertical="top" wrapText="1"/>
    </xf>
    <xf numFmtId="168" fontId="58" fillId="5" borderId="11" xfId="0" applyNumberFormat="1" applyFont="1" applyFill="1" applyBorder="1" applyAlignment="1" applyProtection="1">
      <alignment vertical="top" wrapText="1"/>
      <protection locked="0"/>
    </xf>
    <xf numFmtId="168" fontId="58" fillId="6" borderId="11" xfId="0" applyNumberFormat="1" applyFont="1" applyFill="1" applyBorder="1" applyAlignment="1">
      <alignment horizontal="center" vertical="top" wrapText="1"/>
    </xf>
    <xf numFmtId="0" fontId="56" fillId="0" borderId="11" xfId="0" applyFont="1" applyBorder="1" applyAlignment="1">
      <alignment horizontal="right" vertical="top" wrapText="1"/>
    </xf>
    <xf numFmtId="168" fontId="56" fillId="0" borderId="11" xfId="0" applyNumberFormat="1" applyFont="1" applyBorder="1" applyAlignment="1">
      <alignment vertical="top" wrapText="1"/>
    </xf>
    <xf numFmtId="168" fontId="58" fillId="4" borderId="11" xfId="0" applyNumberFormat="1" applyFont="1" applyFill="1" applyBorder="1" applyAlignment="1">
      <alignment vertical="top" wrapText="1"/>
    </xf>
    <xf numFmtId="0" fontId="56" fillId="2" borderId="11" xfId="0" applyFont="1" applyFill="1" applyBorder="1" applyAlignment="1">
      <alignment vertical="top" wrapText="1"/>
    </xf>
    <xf numFmtId="0" fontId="56" fillId="0" borderId="11" xfId="0" applyFont="1" applyBorder="1" applyAlignment="1">
      <alignment vertical="top" wrapText="1"/>
    </xf>
    <xf numFmtId="0" fontId="22" fillId="0" borderId="11" xfId="0" applyFont="1" applyBorder="1" applyAlignment="1">
      <alignment horizontal="right" vertical="top" wrapText="1"/>
    </xf>
    <xf numFmtId="0" fontId="58" fillId="0" borderId="11" xfId="0" applyFont="1" applyBorder="1" applyAlignment="1" applyProtection="1">
      <alignment horizontal="right" vertical="top" wrapText="1"/>
      <protection locked="0"/>
    </xf>
    <xf numFmtId="0" fontId="56" fillId="0" borderId="0" xfId="0" applyFont="1" applyAlignment="1">
      <alignment horizontal="left" vertical="top"/>
    </xf>
    <xf numFmtId="0" fontId="58" fillId="0" borderId="0" xfId="0" applyFont="1" applyAlignment="1">
      <alignment horizontal="left" vertical="top"/>
    </xf>
    <xf numFmtId="0" fontId="58" fillId="0" borderId="0" xfId="0" applyFont="1" applyAlignment="1">
      <alignment vertical="top" wrapText="1"/>
    </xf>
    <xf numFmtId="0" fontId="58" fillId="0" borderId="0" xfId="0" applyFont="1" applyAlignment="1">
      <alignment vertical="top"/>
    </xf>
    <xf numFmtId="0" fontId="56" fillId="0" borderId="0" xfId="0" applyFont="1" applyAlignment="1">
      <alignment horizontal="right" vertical="top"/>
    </xf>
    <xf numFmtId="0" fontId="58" fillId="2" borderId="0" xfId="0" applyFont="1" applyFill="1" applyAlignment="1">
      <alignment vertical="top" wrapText="1"/>
    </xf>
    <xf numFmtId="0" fontId="56" fillId="0" borderId="0" xfId="0" applyFont="1" applyAlignment="1">
      <alignment vertical="top"/>
    </xf>
    <xf numFmtId="166" fontId="28" fillId="0" borderId="0" xfId="0" applyNumberFormat="1" applyFont="1" applyAlignment="1">
      <alignment horizontal="left"/>
    </xf>
    <xf numFmtId="0" fontId="59" fillId="0" borderId="0" xfId="0" applyFont="1"/>
    <xf numFmtId="0" fontId="19" fillId="0" borderId="0" xfId="244" applyFont="1" applyFill="1" applyBorder="1" applyAlignment="1" applyProtection="1">
      <alignment horizontal="left"/>
    </xf>
    <xf numFmtId="0" fontId="50" fillId="0" borderId="0" xfId="0" applyFont="1"/>
    <xf numFmtId="0" fontId="50" fillId="0" borderId="0" xfId="244" applyFont="1" applyFill="1" applyBorder="1" applyAlignment="1" applyProtection="1">
      <alignment horizontal="left"/>
    </xf>
    <xf numFmtId="0" fontId="25" fillId="3" borderId="11" xfId="0" applyFont="1" applyFill="1" applyBorder="1" applyAlignment="1">
      <alignment vertical="top"/>
    </xf>
    <xf numFmtId="0" fontId="0" fillId="7" borderId="0" xfId="0" applyFill="1"/>
    <xf numFmtId="0" fontId="39" fillId="0" borderId="0" xfId="0" applyFont="1"/>
    <xf numFmtId="0" fontId="61" fillId="0" borderId="0" xfId="0" applyFont="1"/>
    <xf numFmtId="0" fontId="37" fillId="0" borderId="0" xfId="0" applyFont="1" applyAlignment="1">
      <alignment horizontal="center"/>
    </xf>
    <xf numFmtId="0" fontId="37" fillId="0" borderId="0" xfId="0" applyFont="1" applyAlignment="1">
      <alignment horizontal="left"/>
    </xf>
    <xf numFmtId="49" fontId="26" fillId="0" borderId="0" xfId="0" applyNumberFormat="1" applyFont="1" applyAlignment="1">
      <alignment horizontal="center"/>
    </xf>
    <xf numFmtId="0" fontId="53" fillId="0" borderId="0" xfId="0" applyFont="1" applyAlignment="1">
      <alignment horizontal="center"/>
    </xf>
    <xf numFmtId="168" fontId="28" fillId="0" borderId="0" xfId="0" applyNumberFormat="1" applyFont="1" applyAlignment="1">
      <alignment horizontal="center"/>
    </xf>
    <xf numFmtId="168" fontId="38" fillId="0" borderId="0" xfId="0" applyNumberFormat="1" applyFont="1" applyAlignment="1">
      <alignment horizontal="left" vertical="top" wrapText="1"/>
    </xf>
    <xf numFmtId="0" fontId="55" fillId="0" borderId="3" xfId="0" applyFont="1" applyBorder="1"/>
    <xf numFmtId="168" fontId="0" fillId="0" borderId="0" xfId="0" applyNumberFormat="1" applyAlignment="1">
      <alignment horizontal="center"/>
    </xf>
    <xf numFmtId="0" fontId="39" fillId="0" borderId="0" xfId="0" applyFont="1" applyAlignment="1">
      <alignment vertical="top" wrapText="1"/>
    </xf>
    <xf numFmtId="0" fontId="56" fillId="0" borderId="4" xfId="0" applyFont="1" applyBorder="1" applyAlignment="1">
      <alignment horizontal="right"/>
    </xf>
    <xf numFmtId="0" fontId="63" fillId="0" borderId="0" xfId="0" applyFont="1"/>
    <xf numFmtId="3" fontId="28" fillId="0" borderId="0" xfId="0" applyNumberFormat="1" applyFont="1" applyAlignment="1">
      <alignment horizontal="center"/>
    </xf>
    <xf numFmtId="168" fontId="19" fillId="0" borderId="0" xfId="0" applyNumberFormat="1" applyFont="1" applyAlignment="1">
      <alignment horizontal="left" vertical="top"/>
    </xf>
    <xf numFmtId="168" fontId="28" fillId="0" borderId="0" xfId="0" applyNumberFormat="1" applyFont="1" applyAlignment="1">
      <alignment horizontal="left" vertical="top"/>
    </xf>
    <xf numFmtId="0" fontId="58" fillId="0" borderId="11" xfId="0" applyFont="1" applyBorder="1" applyAlignment="1">
      <alignment horizontal="right" vertical="top"/>
    </xf>
    <xf numFmtId="0" fontId="58" fillId="0" borderId="0" xfId="0" applyFont="1" applyAlignment="1">
      <alignment horizontal="right" vertical="top" wrapText="1"/>
    </xf>
    <xf numFmtId="0" fontId="58" fillId="2" borderId="12" xfId="0" applyFont="1" applyFill="1" applyBorder="1" applyAlignment="1">
      <alignment vertical="top" wrapText="1"/>
    </xf>
    <xf numFmtId="0" fontId="58" fillId="0" borderId="14" xfId="0" applyFont="1" applyBorder="1" applyAlignment="1">
      <alignment vertical="top" wrapText="1"/>
    </xf>
    <xf numFmtId="168" fontId="58" fillId="5" borderId="11" xfId="0" applyNumberFormat="1" applyFont="1" applyFill="1" applyBorder="1" applyAlignment="1" applyProtection="1">
      <alignment vertical="top"/>
      <protection locked="0"/>
    </xf>
    <xf numFmtId="0" fontId="58" fillId="2" borderId="11" xfId="0" applyFont="1" applyFill="1" applyBorder="1" applyAlignment="1" applyProtection="1">
      <alignment vertical="top"/>
      <protection locked="0"/>
    </xf>
    <xf numFmtId="0" fontId="58" fillId="0" borderId="11" xfId="0" applyFont="1" applyBorder="1" applyAlignment="1" applyProtection="1">
      <alignment vertical="top"/>
      <protection locked="0"/>
    </xf>
    <xf numFmtId="168" fontId="58" fillId="0" borderId="11" xfId="0" applyNumberFormat="1" applyFont="1" applyBorder="1" applyAlignment="1">
      <alignment vertical="top"/>
    </xf>
    <xf numFmtId="168" fontId="58" fillId="6" borderId="11" xfId="0" applyNumberFormat="1" applyFont="1" applyFill="1" applyBorder="1" applyAlignment="1">
      <alignment horizontal="center" vertical="top"/>
    </xf>
    <xf numFmtId="0" fontId="26" fillId="0" borderId="0" xfId="542" applyFont="1" applyProtection="1">
      <protection locked="0"/>
    </xf>
    <xf numFmtId="0" fontId="19" fillId="0" borderId="0" xfId="539" applyProtection="1"/>
    <xf numFmtId="0" fontId="39" fillId="8" borderId="0" xfId="539" applyFont="1" applyFill="1" applyAlignment="1" applyProtection="1">
      <alignment horizontal="centerContinuous"/>
    </xf>
    <xf numFmtId="0" fontId="26" fillId="0" borderId="0" xfId="543" applyFont="1"/>
    <xf numFmtId="0" fontId="28" fillId="0" borderId="0" xfId="543" applyFont="1" applyAlignment="1">
      <alignment horizontal="left"/>
    </xf>
    <xf numFmtId="0" fontId="28" fillId="0" borderId="15" xfId="0" applyFont="1" applyBorder="1"/>
    <xf numFmtId="2" fontId="42" fillId="0" borderId="11" xfId="0" applyNumberFormat="1" applyFont="1" applyBorder="1"/>
    <xf numFmtId="0" fontId="19" fillId="0" borderId="0" xfId="0" applyFont="1" applyProtection="1">
      <protection locked="0"/>
    </xf>
    <xf numFmtId="0" fontId="66" fillId="0" borderId="0" xfId="0" applyFont="1" applyAlignment="1">
      <alignment horizontal="center"/>
    </xf>
    <xf numFmtId="0" fontId="28" fillId="0" borderId="0" xfId="271"/>
    <xf numFmtId="0" fontId="26" fillId="0" borderId="0" xfId="271" applyFont="1"/>
    <xf numFmtId="0" fontId="28" fillId="0" borderId="0" xfId="271" applyAlignment="1">
      <alignment horizontal="left"/>
    </xf>
    <xf numFmtId="168" fontId="26" fillId="0" borderId="2" xfId="543" applyNumberFormat="1" applyFont="1" applyBorder="1" applyAlignment="1">
      <alignment horizontal="center" vertical="center"/>
    </xf>
    <xf numFmtId="0" fontId="41" fillId="0" borderId="0" xfId="543" applyFont="1" applyAlignment="1">
      <alignment horizontal="right" vertical="top" wrapText="1"/>
    </xf>
    <xf numFmtId="0" fontId="39" fillId="0" borderId="2" xfId="543" applyFont="1" applyBorder="1" applyAlignment="1">
      <alignment horizontal="right" vertical="top" wrapText="1"/>
    </xf>
    <xf numFmtId="0" fontId="24" fillId="0" borderId="0" xfId="0" applyFont="1"/>
    <xf numFmtId="0" fontId="68" fillId="0" borderId="0" xfId="0" applyFont="1"/>
    <xf numFmtId="0" fontId="66" fillId="0" borderId="0" xfId="0" applyFont="1"/>
    <xf numFmtId="0" fontId="39"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6" fillId="0" borderId="0" xfId="0" applyNumberFormat="1" applyFont="1" applyAlignment="1">
      <alignment horizontal="center"/>
    </xf>
    <xf numFmtId="3" fontId="28" fillId="0" borderId="0" xfId="0" applyNumberFormat="1" applyFont="1"/>
    <xf numFmtId="0" fontId="67" fillId="0" borderId="0" xfId="0" applyFont="1"/>
    <xf numFmtId="168" fontId="24" fillId="0" borderId="0" xfId="0" applyNumberFormat="1" applyFont="1"/>
    <xf numFmtId="10" fontId="24" fillId="0" borderId="0" xfId="0" applyNumberFormat="1" applyFont="1" applyAlignment="1">
      <alignment horizontal="center"/>
    </xf>
    <xf numFmtId="3" fontId="70" fillId="0" borderId="0" xfId="0" applyNumberFormat="1" applyFont="1"/>
    <xf numFmtId="3" fontId="24" fillId="0" borderId="0" xfId="0" applyNumberFormat="1" applyFont="1"/>
    <xf numFmtId="168" fontId="67" fillId="0" borderId="0" xfId="0" applyNumberFormat="1" applyFont="1"/>
    <xf numFmtId="168" fontId="67" fillId="0" borderId="0" xfId="0" applyNumberFormat="1" applyFont="1" applyAlignment="1">
      <alignment horizontal="center"/>
    </xf>
    <xf numFmtId="0" fontId="24" fillId="5" borderId="0" xfId="0" applyFont="1" applyFill="1" applyAlignment="1">
      <alignment horizontal="left"/>
    </xf>
    <xf numFmtId="0" fontId="24" fillId="5" borderId="0" xfId="0" applyFont="1" applyFill="1"/>
    <xf numFmtId="10" fontId="24" fillId="0" borderId="0" xfId="0" applyNumberFormat="1" applyFont="1"/>
    <xf numFmtId="172" fontId="24" fillId="0" borderId="0" xfId="0" applyNumberFormat="1" applyFont="1"/>
    <xf numFmtId="172" fontId="24" fillId="0" borderId="0" xfId="0" applyNumberFormat="1" applyFont="1" applyAlignment="1">
      <alignment horizontal="center"/>
    </xf>
    <xf numFmtId="0" fontId="24" fillId="0" borderId="6" xfId="0" applyFont="1" applyBorder="1"/>
    <xf numFmtId="10" fontId="24" fillId="0" borderId="6" xfId="0" applyNumberFormat="1" applyFont="1" applyBorder="1" applyAlignment="1">
      <alignment horizontal="center"/>
    </xf>
    <xf numFmtId="3" fontId="24" fillId="0" borderId="6" xfId="0" applyNumberFormat="1" applyFont="1" applyBorder="1"/>
    <xf numFmtId="10" fontId="28" fillId="0" borderId="0" xfId="0" applyNumberFormat="1" applyFont="1" applyAlignment="1">
      <alignment horizontal="center"/>
    </xf>
    <xf numFmtId="3" fontId="28" fillId="0" borderId="0" xfId="0" applyNumberFormat="1" applyFont="1" applyAlignment="1">
      <alignment vertical="top"/>
    </xf>
    <xf numFmtId="10" fontId="26" fillId="0" borderId="0" xfId="0" applyNumberFormat="1" applyFont="1" applyAlignment="1">
      <alignment horizontal="center"/>
    </xf>
    <xf numFmtId="0" fontId="66" fillId="0" borderId="6" xfId="0" applyFont="1" applyBorder="1" applyAlignment="1">
      <alignment horizontal="center"/>
    </xf>
    <xf numFmtId="172" fontId="28" fillId="0" borderId="0" xfId="0" applyNumberFormat="1" applyFont="1" applyAlignment="1">
      <alignment horizontal="center"/>
    </xf>
    <xf numFmtId="10" fontId="71" fillId="0" borderId="0" xfId="0" applyNumberFormat="1" applyFont="1" applyAlignment="1">
      <alignment horizontal="center"/>
    </xf>
    <xf numFmtId="0" fontId="28" fillId="9" borderId="6" xfId="0" applyFont="1" applyFill="1" applyBorder="1"/>
    <xf numFmtId="0" fontId="28" fillId="0" borderId="4" xfId="271" applyBorder="1"/>
    <xf numFmtId="0" fontId="28" fillId="0" borderId="6" xfId="271" applyBorder="1"/>
    <xf numFmtId="0" fontId="28" fillId="0" borderId="1" xfId="0" applyFont="1" applyBorder="1"/>
    <xf numFmtId="168" fontId="28" fillId="0" borderId="3" xfId="0" applyNumberFormat="1" applyFont="1" applyBorder="1" applyAlignment="1">
      <alignment vertical="top"/>
    </xf>
    <xf numFmtId="168" fontId="28" fillId="0" borderId="4" xfId="0" applyNumberFormat="1" applyFont="1" applyBorder="1" applyAlignment="1">
      <alignment vertical="top"/>
    </xf>
    <xf numFmtId="168" fontId="28" fillId="0" borderId="5" xfId="0" applyNumberFormat="1" applyFont="1" applyBorder="1" applyAlignment="1">
      <alignment vertical="top"/>
    </xf>
    <xf numFmtId="168" fontId="28" fillId="0" borderId="8" xfId="0" applyNumberFormat="1" applyFont="1" applyBorder="1" applyAlignment="1">
      <alignment vertical="top"/>
    </xf>
    <xf numFmtId="168" fontId="28" fillId="0" borderId="0" xfId="0" applyNumberFormat="1" applyFont="1" applyAlignment="1">
      <alignment vertical="top"/>
    </xf>
    <xf numFmtId="0" fontId="28" fillId="0" borderId="0" xfId="0" applyFont="1" applyAlignment="1">
      <alignment horizontal="right" vertical="top"/>
    </xf>
    <xf numFmtId="0" fontId="28"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8" fillId="5" borderId="4" xfId="0" applyFont="1" applyFill="1" applyBorder="1" applyAlignment="1" applyProtection="1">
      <alignment horizontal="left" vertical="top"/>
      <protection locked="0"/>
    </xf>
    <xf numFmtId="0" fontId="28" fillId="5" borderId="5" xfId="0" applyFont="1" applyFill="1" applyBorder="1" applyAlignment="1" applyProtection="1">
      <alignment horizontal="left" vertical="top"/>
      <protection locked="0"/>
    </xf>
    <xf numFmtId="4" fontId="53" fillId="0" borderId="0" xfId="0" applyNumberFormat="1" applyFont="1" applyAlignment="1">
      <alignment horizontal="center"/>
    </xf>
    <xf numFmtId="0" fontId="38" fillId="0" borderId="1" xfId="543" applyFont="1" applyBorder="1" applyAlignment="1">
      <alignment horizontal="left" vertical="top" wrapText="1"/>
    </xf>
    <xf numFmtId="0" fontId="38" fillId="0" borderId="12" xfId="543" applyFont="1" applyBorder="1" applyAlignment="1">
      <alignment horizontal="center" vertical="top" wrapText="1"/>
    </xf>
    <xf numFmtId="0" fontId="38" fillId="0" borderId="8" xfId="543" applyFont="1" applyBorder="1" applyAlignment="1">
      <alignment horizontal="left" vertical="top" wrapText="1"/>
    </xf>
    <xf numFmtId="0" fontId="33" fillId="3" borderId="4" xfId="271" applyFont="1" applyFill="1" applyBorder="1" applyAlignment="1">
      <alignment vertical="top" wrapText="1"/>
    </xf>
    <xf numFmtId="0" fontId="25" fillId="3" borderId="11" xfId="271" applyFont="1" applyFill="1" applyBorder="1" applyAlignment="1">
      <alignment vertical="top"/>
    </xf>
    <xf numFmtId="0" fontId="26" fillId="0" borderId="9" xfId="271" applyFont="1" applyBorder="1" applyAlignment="1">
      <alignment horizontal="center" wrapText="1"/>
    </xf>
    <xf numFmtId="0" fontId="33" fillId="3" borderId="4" xfId="271" applyFont="1" applyFill="1" applyBorder="1" applyAlignment="1" applyProtection="1">
      <alignment vertical="top" wrapText="1"/>
      <protection locked="0"/>
    </xf>
    <xf numFmtId="0" fontId="33" fillId="3" borderId="5" xfId="271" applyFont="1" applyFill="1" applyBorder="1" applyAlignment="1" applyProtection="1">
      <alignment vertical="top" wrapText="1"/>
      <protection locked="0"/>
    </xf>
    <xf numFmtId="0" fontId="26" fillId="0" borderId="13" xfId="271" applyFont="1" applyBorder="1" applyAlignment="1">
      <alignment horizontal="center" wrapText="1"/>
    </xf>
    <xf numFmtId="0" fontId="51" fillId="2" borderId="11" xfId="271" applyFont="1" applyFill="1" applyBorder="1" applyAlignment="1">
      <alignment horizontal="left" vertical="top" wrapText="1"/>
    </xf>
    <xf numFmtId="0" fontId="28" fillId="0" borderId="11" xfId="271" applyBorder="1" applyAlignment="1" applyProtection="1">
      <alignment vertical="top" wrapText="1"/>
      <protection locked="0"/>
    </xf>
    <xf numFmtId="168" fontId="28" fillId="5" borderId="11" xfId="271" applyNumberFormat="1" applyFill="1" applyBorder="1" applyAlignment="1" applyProtection="1">
      <alignment vertical="top" wrapText="1"/>
      <protection locked="0"/>
    </xf>
    <xf numFmtId="0" fontId="28" fillId="5" borderId="3" xfId="271" applyFill="1" applyBorder="1" applyAlignment="1" applyProtection="1">
      <alignment vertical="top" wrapText="1"/>
      <protection locked="0"/>
    </xf>
    <xf numFmtId="0" fontId="28" fillId="5" borderId="11" xfId="271" applyFill="1" applyBorder="1" applyAlignment="1" applyProtection="1">
      <alignment vertical="top" wrapText="1"/>
      <protection locked="0"/>
    </xf>
    <xf numFmtId="0" fontId="28" fillId="0" borderId="11" xfId="271" applyBorder="1" applyAlignment="1">
      <alignment horizontal="right" vertical="top" wrapText="1"/>
    </xf>
    <xf numFmtId="168" fontId="28" fillId="0" borderId="11" xfId="271" applyNumberFormat="1" applyBorder="1" applyAlignment="1">
      <alignment vertical="top" wrapText="1"/>
    </xf>
    <xf numFmtId="0" fontId="26" fillId="0" borderId="11" xfId="271" applyFont="1" applyBorder="1" applyAlignment="1">
      <alignment horizontal="right" vertical="top" wrapText="1"/>
    </xf>
    <xf numFmtId="0" fontId="28" fillId="5" borderId="11" xfId="271" applyFill="1" applyBorder="1" applyAlignment="1" applyProtection="1">
      <alignment horizontal="right" vertical="top" wrapText="1"/>
      <protection locked="0"/>
    </xf>
    <xf numFmtId="168" fontId="26" fillId="0" borderId="11" xfId="271" applyNumberFormat="1" applyFont="1" applyBorder="1" applyAlignment="1">
      <alignment vertical="top" wrapText="1"/>
    </xf>
    <xf numFmtId="0" fontId="36" fillId="0" borderId="11" xfId="271" applyFont="1" applyBorder="1" applyAlignment="1">
      <alignment horizontal="right" vertical="top" wrapText="1"/>
    </xf>
    <xf numFmtId="0" fontId="33" fillId="0" borderId="0" xfId="271" applyFont="1" applyAlignment="1" applyProtection="1">
      <alignment vertical="top" wrapText="1"/>
      <protection locked="0"/>
    </xf>
    <xf numFmtId="0" fontId="28" fillId="0" borderId="5" xfId="271" applyBorder="1" applyAlignment="1" applyProtection="1">
      <alignment vertical="top" wrapText="1"/>
      <protection locked="0"/>
    </xf>
    <xf numFmtId="0" fontId="26" fillId="0" borderId="3" xfId="271" applyFont="1" applyBorder="1" applyAlignment="1">
      <alignment horizontal="left" vertical="top"/>
    </xf>
    <xf numFmtId="0" fontId="28" fillId="0" borderId="4" xfId="271" applyBorder="1" applyAlignment="1" applyProtection="1">
      <alignment horizontal="left" vertical="top"/>
      <protection locked="0"/>
    </xf>
    <xf numFmtId="0" fontId="28" fillId="0" borderId="4" xfId="271" applyBorder="1" applyAlignment="1" applyProtection="1">
      <alignment vertical="top" wrapText="1"/>
      <protection locked="0"/>
    </xf>
    <xf numFmtId="0" fontId="33" fillId="0" borderId="0" xfId="271" applyFont="1" applyAlignment="1">
      <alignment vertical="top" wrapText="1"/>
    </xf>
    <xf numFmtId="0" fontId="28" fillId="0" borderId="4" xfId="271" applyBorder="1" applyAlignment="1">
      <alignment vertical="top" wrapText="1"/>
    </xf>
    <xf numFmtId="0" fontId="51" fillId="2" borderId="11" xfId="271" applyFont="1" applyFill="1" applyBorder="1" applyAlignment="1" applyProtection="1">
      <alignment horizontal="left" vertical="top" wrapText="1"/>
      <protection locked="0"/>
    </xf>
    <xf numFmtId="0" fontId="55" fillId="0" borderId="11" xfId="0" applyFont="1" applyBorder="1" applyAlignment="1">
      <alignment horizontal="right" vertical="top" wrapText="1"/>
    </xf>
    <xf numFmtId="0" fontId="28" fillId="8" borderId="0" xfId="542" quotePrefix="1" applyFont="1" applyFill="1" applyAlignment="1">
      <alignment horizontal="left"/>
    </xf>
    <xf numFmtId="0" fontId="28" fillId="8" borderId="0" xfId="542" applyFont="1" applyFill="1"/>
    <xf numFmtId="0" fontId="36" fillId="8" borderId="0" xfId="542" applyFont="1" applyFill="1"/>
    <xf numFmtId="0" fontId="55" fillId="0" borderId="11" xfId="271" applyFont="1" applyBorder="1" applyAlignment="1">
      <alignment horizontal="right" vertical="top"/>
    </xf>
    <xf numFmtId="0" fontId="55" fillId="0" borderId="11" xfId="271" applyFont="1" applyBorder="1" applyAlignment="1">
      <alignment horizontal="right" vertical="top" wrapText="1"/>
    </xf>
    <xf numFmtId="0" fontId="28" fillId="0" borderId="0" xfId="271" applyAlignment="1">
      <alignment horizontal="left" vertical="top"/>
    </xf>
    <xf numFmtId="0" fontId="26" fillId="0" borderId="0" xfId="271" applyFont="1" applyAlignment="1">
      <alignment horizontal="right"/>
    </xf>
    <xf numFmtId="0" fontId="27" fillId="0" borderId="0" xfId="271" applyFont="1" applyAlignment="1">
      <alignment horizontal="center"/>
    </xf>
    <xf numFmtId="5" fontId="28" fillId="0" borderId="0" xfId="542" applyNumberFormat="1" applyFont="1"/>
    <xf numFmtId="1" fontId="28" fillId="0" borderId="15" xfId="271" applyNumberFormat="1" applyBorder="1"/>
    <xf numFmtId="1" fontId="28" fillId="0" borderId="14" xfId="271" applyNumberFormat="1" applyBorder="1"/>
    <xf numFmtId="0" fontId="27" fillId="0" borderId="6" xfId="271" applyFont="1" applyBorder="1" applyAlignment="1">
      <alignment horizontal="left"/>
    </xf>
    <xf numFmtId="0" fontId="27" fillId="0" borderId="6" xfId="271" applyFont="1" applyBorder="1" applyAlignment="1">
      <alignment horizontal="right"/>
    </xf>
    <xf numFmtId="165" fontId="28" fillId="0" borderId="0" xfId="271" applyNumberFormat="1"/>
    <xf numFmtId="170" fontId="28" fillId="0" borderId="14" xfId="271" applyNumberFormat="1" applyBorder="1"/>
    <xf numFmtId="1" fontId="26" fillId="0" borderId="11" xfId="271" applyNumberFormat="1" applyFont="1" applyBorder="1"/>
    <xf numFmtId="165" fontId="26" fillId="0" borderId="11" xfId="271" applyNumberFormat="1" applyFont="1" applyBorder="1"/>
    <xf numFmtId="3" fontId="58" fillId="0" borderId="11" xfId="0" applyNumberFormat="1" applyFont="1" applyBorder="1" applyAlignment="1">
      <alignment vertical="top" wrapText="1"/>
    </xf>
    <xf numFmtId="166" fontId="28" fillId="0" borderId="0" xfId="0" applyNumberFormat="1" applyFont="1"/>
    <xf numFmtId="0" fontId="0" fillId="0" borderId="0" xfId="0" applyProtection="1">
      <protection locked="0"/>
    </xf>
    <xf numFmtId="0" fontId="24" fillId="0" borderId="0" xfId="0" applyFont="1" applyProtection="1">
      <protection locked="0"/>
    </xf>
    <xf numFmtId="0" fontId="24" fillId="0" borderId="0" xfId="271" applyFont="1" applyProtection="1">
      <protection locked="0"/>
    </xf>
    <xf numFmtId="168" fontId="24" fillId="0" borderId="0" xfId="271" applyNumberFormat="1" applyFont="1" applyProtection="1">
      <protection locked="0"/>
    </xf>
    <xf numFmtId="0" fontId="32" fillId="0" borderId="1" xfId="0" applyFont="1" applyBorder="1"/>
    <xf numFmtId="0" fontId="19" fillId="0" borderId="2" xfId="0" applyFont="1" applyBorder="1" applyAlignment="1">
      <alignment horizontal="left"/>
    </xf>
    <xf numFmtId="0" fontId="19" fillId="0" borderId="2" xfId="0" applyFont="1" applyBorder="1"/>
    <xf numFmtId="0" fontId="32" fillId="0" borderId="8" xfId="0" applyFont="1" applyBorder="1"/>
    <xf numFmtId="0" fontId="32" fillId="0" borderId="9" xfId="0" applyFont="1" applyBorder="1"/>
    <xf numFmtId="0" fontId="26" fillId="0" borderId="0" xfId="0" applyFont="1" applyAlignment="1">
      <alignment horizontal="left" vertical="top"/>
    </xf>
    <xf numFmtId="0" fontId="76" fillId="0" borderId="0" xfId="0" applyFont="1" applyAlignment="1">
      <alignment vertical="center" wrapText="1"/>
    </xf>
    <xf numFmtId="0" fontId="76" fillId="0" borderId="0" xfId="0" applyFont="1" applyAlignment="1">
      <alignment vertical="center"/>
    </xf>
    <xf numFmtId="0" fontId="76" fillId="0" borderId="0" xfId="0" applyFont="1" applyAlignment="1">
      <alignment horizontal="left" vertical="center" indent="1"/>
    </xf>
    <xf numFmtId="172" fontId="28" fillId="5" borderId="0" xfId="0" applyNumberFormat="1" applyFont="1" applyFill="1" applyAlignment="1">
      <alignment horizontal="center"/>
    </xf>
    <xf numFmtId="0" fontId="77" fillId="0" borderId="0" xfId="0" applyFont="1" applyAlignment="1">
      <alignment horizontal="left" vertical="center"/>
    </xf>
    <xf numFmtId="0" fontId="38" fillId="0" borderId="2" xfId="543" applyFont="1" applyBorder="1" applyAlignment="1">
      <alignment horizontal="center" vertical="top" wrapText="1"/>
    </xf>
    <xf numFmtId="49" fontId="49" fillId="0" borderId="0" xfId="0" applyNumberFormat="1" applyFont="1" applyAlignment="1">
      <alignment horizontal="center"/>
    </xf>
    <xf numFmtId="0" fontId="55" fillId="0" borderId="0" xfId="0" applyFont="1"/>
    <xf numFmtId="5" fontId="81" fillId="0" borderId="11" xfId="541" applyNumberFormat="1" applyFont="1" applyBorder="1" applyAlignment="1" applyProtection="1">
      <alignment horizontal="center"/>
    </xf>
    <xf numFmtId="5" fontId="81" fillId="42" borderId="11" xfId="541" applyNumberFormat="1" applyFont="1" applyFill="1" applyBorder="1" applyAlignment="1" applyProtection="1">
      <alignment horizontal="center"/>
    </xf>
    <xf numFmtId="5" fontId="81" fillId="2" borderId="11" xfId="541" applyNumberFormat="1" applyFont="1" applyFill="1" applyBorder="1" applyAlignment="1" applyProtection="1">
      <alignment horizontal="center"/>
    </xf>
    <xf numFmtId="0" fontId="55" fillId="0" borderId="0" xfId="0" applyFont="1" applyAlignment="1">
      <alignment vertical="top" wrapText="1"/>
    </xf>
    <xf numFmtId="0" fontId="55" fillId="0" borderId="0" xfId="0" applyFont="1" applyAlignment="1">
      <alignment vertical="top"/>
    </xf>
    <xf numFmtId="0" fontId="55" fillId="2" borderId="0" xfId="0" applyFont="1" applyFill="1" applyAlignment="1">
      <alignment vertical="top" wrapText="1"/>
    </xf>
    <xf numFmtId="0" fontId="83" fillId="0" borderId="13" xfId="0" applyFont="1" applyBorder="1" applyAlignment="1">
      <alignment vertical="top" wrapText="1"/>
    </xf>
    <xf numFmtId="0" fontId="33" fillId="0" borderId="0" xfId="0" applyFont="1" applyAlignment="1">
      <alignment vertical="top" wrapText="1"/>
    </xf>
    <xf numFmtId="0" fontId="83" fillId="2" borderId="13" xfId="0" applyFont="1" applyFill="1" applyBorder="1" applyAlignment="1">
      <alignment vertical="top" wrapText="1"/>
    </xf>
    <xf numFmtId="0" fontId="83" fillId="0" borderId="0" xfId="0" applyFont="1" applyAlignment="1">
      <alignment vertical="top" wrapText="1"/>
    </xf>
    <xf numFmtId="0" fontId="83" fillId="2" borderId="0" xfId="0" applyFont="1" applyFill="1" applyAlignment="1">
      <alignment vertical="top" wrapText="1"/>
    </xf>
    <xf numFmtId="0" fontId="55" fillId="0" borderId="0" xfId="0" applyFont="1" applyAlignment="1">
      <alignment horizontal="right" vertical="top" wrapText="1"/>
    </xf>
    <xf numFmtId="168" fontId="55" fillId="5" borderId="6" xfId="0" applyNumberFormat="1" applyFont="1" applyFill="1" applyBorder="1" applyAlignment="1" applyProtection="1">
      <alignment horizontal="right" vertical="top" wrapText="1"/>
      <protection locked="0"/>
    </xf>
    <xf numFmtId="168" fontId="55" fillId="0" borderId="6" xfId="0" applyNumberFormat="1" applyFont="1" applyBorder="1" applyAlignment="1">
      <alignment horizontal="right" vertical="top" wrapText="1"/>
    </xf>
    <xf numFmtId="0" fontId="26" fillId="0" borderId="0" xfId="0" applyFont="1" applyAlignment="1">
      <alignment horizontal="left" vertical="top" wrapText="1"/>
    </xf>
    <xf numFmtId="0" fontId="28" fillId="0" borderId="0" xfId="0" applyFont="1" applyAlignment="1">
      <alignment horizontal="right" vertical="top" wrapText="1"/>
    </xf>
    <xf numFmtId="10" fontId="28" fillId="5" borderId="6" xfId="0" applyNumberFormat="1" applyFont="1" applyFill="1" applyBorder="1" applyAlignment="1" applyProtection="1">
      <alignment horizontal="center" vertical="top" wrapText="1"/>
      <protection locked="0"/>
    </xf>
    <xf numFmtId="0" fontId="66" fillId="0" borderId="0" xfId="0" applyFont="1" applyAlignment="1">
      <alignment horizontal="left" vertical="center"/>
    </xf>
    <xf numFmtId="0" fontId="26" fillId="0" borderId="2" xfId="543" applyFont="1" applyBorder="1" applyAlignment="1">
      <alignment horizontal="center"/>
    </xf>
    <xf numFmtId="0" fontId="0" fillId="0" borderId="0" xfId="543" applyFont="1"/>
    <xf numFmtId="0" fontId="20" fillId="0" borderId="0" xfId="244" quotePrefix="1" applyAlignment="1" applyProtection="1">
      <alignment horizontal="left"/>
    </xf>
    <xf numFmtId="168" fontId="55"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107" fillId="0" borderId="0" xfId="0" applyFont="1" applyAlignment="1">
      <alignment horizontal="left" vertical="top"/>
    </xf>
    <xf numFmtId="0" fontId="108" fillId="0" borderId="0" xfId="0" applyFont="1" applyAlignment="1">
      <alignment horizontal="left" vertical="top"/>
    </xf>
    <xf numFmtId="0" fontId="76" fillId="0" borderId="0" xfId="0" applyFont="1"/>
    <xf numFmtId="0" fontId="26" fillId="8" borderId="11" xfId="542" applyFont="1" applyFill="1" applyBorder="1" applyAlignment="1">
      <alignment horizontal="left"/>
    </xf>
    <xf numFmtId="0" fontId="26" fillId="8" borderId="11" xfId="542" applyFont="1" applyFill="1" applyBorder="1" applyAlignment="1">
      <alignment horizontal="center"/>
    </xf>
    <xf numFmtId="0" fontId="65" fillId="8" borderId="11" xfId="542" applyFont="1" applyFill="1" applyBorder="1" applyAlignment="1">
      <alignment horizontal="left"/>
    </xf>
    <xf numFmtId="0" fontId="65" fillId="0" borderId="11" xfId="542" applyFont="1" applyBorder="1" applyAlignment="1">
      <alignment horizontal="left"/>
    </xf>
    <xf numFmtId="0" fontId="26" fillId="0" borderId="0" xfId="271" applyFont="1" applyAlignment="1" applyProtection="1">
      <alignment horizontal="center" wrapText="1"/>
      <protection locked="0"/>
    </xf>
    <xf numFmtId="0" fontId="28" fillId="0" borderId="0" xfId="271" applyAlignment="1" applyProtection="1">
      <alignment vertical="top" wrapText="1"/>
      <protection locked="0"/>
    </xf>
    <xf numFmtId="0" fontId="26" fillId="0" borderId="0" xfId="271" applyFont="1" applyAlignment="1" applyProtection="1">
      <alignment vertical="top" wrapText="1"/>
      <protection locked="0"/>
    </xf>
    <xf numFmtId="0" fontId="19" fillId="0" borderId="0" xfId="0" applyFont="1" applyAlignment="1">
      <alignment horizontal="center"/>
    </xf>
    <xf numFmtId="0" fontId="33" fillId="0" borderId="8" xfId="569" applyFont="1" applyBorder="1" applyAlignment="1">
      <alignment vertical="top" wrapText="1"/>
    </xf>
    <xf numFmtId="0" fontId="33" fillId="0" borderId="0" xfId="569" applyFont="1" applyAlignment="1">
      <alignment vertical="top" wrapText="1"/>
    </xf>
    <xf numFmtId="0" fontId="57" fillId="2" borderId="11" xfId="569" applyFont="1" applyFill="1" applyBorder="1" applyAlignment="1">
      <alignment horizontal="left" vertical="top" wrapText="1"/>
    </xf>
    <xf numFmtId="6" fontId="55" fillId="4" borderId="11" xfId="569" applyNumberFormat="1" applyFont="1" applyFill="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6" fontId="55" fillId="0" borderId="11" xfId="569" applyNumberFormat="1" applyFont="1" applyBorder="1" applyAlignment="1">
      <alignment vertical="top" wrapText="1"/>
    </xf>
    <xf numFmtId="6" fontId="55" fillId="5" borderId="11" xfId="569" applyNumberFormat="1" applyFont="1" applyFill="1" applyBorder="1" applyAlignment="1" applyProtection="1">
      <alignment vertical="top" wrapText="1"/>
      <protection locked="0"/>
    </xf>
    <xf numFmtId="6" fontId="55" fillId="6" borderId="11" xfId="569" applyNumberFormat="1" applyFont="1" applyFill="1" applyBorder="1" applyAlignment="1">
      <alignment horizontal="center" vertical="top" wrapText="1"/>
    </xf>
    <xf numFmtId="0" fontId="55" fillId="0" borderId="11" xfId="569" applyFont="1" applyBorder="1" applyAlignment="1">
      <alignment horizontal="right" vertical="top" wrapText="1"/>
    </xf>
    <xf numFmtId="0" fontId="56" fillId="0" borderId="11" xfId="569" applyFont="1" applyBorder="1" applyAlignment="1">
      <alignment horizontal="right" vertical="top" wrapText="1"/>
    </xf>
    <xf numFmtId="0" fontId="55" fillId="0" borderId="11" xfId="569" applyFont="1" applyBorder="1" applyAlignment="1">
      <alignment horizontal="right" vertical="top"/>
    </xf>
    <xf numFmtId="6" fontId="56" fillId="0" borderId="11" xfId="569" applyNumberFormat="1" applyFont="1" applyBorder="1" applyAlignment="1">
      <alignment vertical="top" wrapText="1"/>
    </xf>
    <xf numFmtId="0" fontId="56" fillId="0" borderId="8" xfId="569" applyFont="1" applyBorder="1" applyAlignment="1">
      <alignment vertical="top" wrapText="1"/>
    </xf>
    <xf numFmtId="0" fontId="56" fillId="0" borderId="0" xfId="569" applyFont="1" applyAlignment="1">
      <alignment vertical="top" wrapText="1"/>
    </xf>
    <xf numFmtId="0" fontId="22" fillId="0" borderId="11" xfId="569" applyFont="1" applyBorder="1" applyAlignment="1">
      <alignment horizontal="right" vertical="top" wrapText="1"/>
    </xf>
    <xf numFmtId="0" fontId="56" fillId="0" borderId="0" xfId="569" applyFont="1" applyAlignment="1">
      <alignment horizontal="left" vertical="top"/>
    </xf>
    <xf numFmtId="6" fontId="55" fillId="0" borderId="0" xfId="569" applyNumberFormat="1" applyFont="1" applyAlignment="1">
      <alignment horizontal="left" vertical="top"/>
    </xf>
    <xf numFmtId="0" fontId="108" fillId="0" borderId="0" xfId="569" applyFont="1" applyAlignment="1">
      <alignment horizontal="left" vertical="top"/>
    </xf>
    <xf numFmtId="6" fontId="55" fillId="0" borderId="0" xfId="569" applyNumberFormat="1" applyFont="1" applyAlignment="1">
      <alignment vertical="top" wrapText="1"/>
    </xf>
    <xf numFmtId="0" fontId="55" fillId="0" borderId="0" xfId="569" applyFont="1" applyAlignment="1">
      <alignment horizontal="left" vertical="top"/>
    </xf>
    <xf numFmtId="0" fontId="55" fillId="0" borderId="12" xfId="569" applyFont="1" applyBorder="1" applyAlignment="1">
      <alignment vertical="top" wrapText="1"/>
    </xf>
    <xf numFmtId="0" fontId="26" fillId="0" borderId="0" xfId="569" applyFont="1" applyAlignment="1">
      <alignment horizontal="left" vertical="top"/>
    </xf>
    <xf numFmtId="0" fontId="111" fillId="0" borderId="0" xfId="569" applyFont="1" applyAlignment="1">
      <alignment horizontal="left" vertical="top"/>
    </xf>
    <xf numFmtId="0" fontId="66" fillId="0" borderId="0" xfId="569" applyFont="1" applyAlignment="1">
      <alignment horizontal="left" vertical="center"/>
    </xf>
    <xf numFmtId="0" fontId="34" fillId="0" borderId="0" xfId="569" applyFont="1" applyAlignment="1">
      <alignment vertical="top" wrapText="1"/>
    </xf>
    <xf numFmtId="0" fontId="34" fillId="0" borderId="12" xfId="569" applyFont="1" applyBorder="1" applyAlignment="1">
      <alignment vertical="top" wrapText="1"/>
    </xf>
    <xf numFmtId="0" fontId="34" fillId="0" borderId="8" xfId="569" applyFont="1" applyBorder="1" applyAlignment="1">
      <alignment vertical="top" wrapText="1"/>
    </xf>
    <xf numFmtId="0" fontId="55" fillId="0" borderId="0" xfId="569" applyFont="1" applyAlignment="1">
      <alignment vertical="top"/>
    </xf>
    <xf numFmtId="168" fontId="55" fillId="0" borderId="0" xfId="569" applyNumberFormat="1" applyFont="1" applyAlignment="1" applyProtection="1">
      <alignment horizontal="right" vertical="top" wrapText="1"/>
      <protection locked="0"/>
    </xf>
    <xf numFmtId="0" fontId="19" fillId="0" borderId="0" xfId="569" applyAlignment="1">
      <alignment vertical="top" wrapText="1"/>
    </xf>
    <xf numFmtId="0" fontId="19" fillId="0" borderId="0" xfId="569" applyAlignment="1">
      <alignment vertical="top"/>
    </xf>
    <xf numFmtId="0" fontId="55" fillId="0" borderId="0" xfId="569" applyFont="1" applyAlignment="1">
      <alignment horizontal="right" vertical="top" wrapText="1"/>
    </xf>
    <xf numFmtId="0" fontId="26" fillId="0" borderId="0" xfId="569" applyFont="1" applyAlignment="1">
      <alignment horizontal="left" vertical="top" wrapText="1"/>
    </xf>
    <xf numFmtId="168" fontId="55" fillId="0" borderId="0" xfId="569" applyNumberFormat="1" applyFont="1" applyAlignment="1">
      <alignment horizontal="right" vertical="top" wrapText="1"/>
    </xf>
    <xf numFmtId="0" fontId="19" fillId="0" borderId="0" xfId="569" applyAlignment="1" applyProtection="1">
      <alignment horizontal="left" vertical="top" wrapText="1"/>
      <protection locked="0"/>
    </xf>
    <xf numFmtId="0" fontId="19" fillId="0" borderId="0" xfId="569" applyAlignment="1">
      <alignment horizontal="right" vertical="top" wrapText="1"/>
    </xf>
    <xf numFmtId="0" fontId="19" fillId="0" borderId="0" xfId="569" applyAlignment="1">
      <alignment horizontal="left" vertical="top"/>
    </xf>
    <xf numFmtId="0" fontId="83" fillId="0" borderId="0" xfId="569" applyFont="1" applyAlignment="1">
      <alignment vertical="top" wrapText="1"/>
    </xf>
    <xf numFmtId="0" fontId="83" fillId="0" borderId="12" xfId="569" applyFont="1" applyBorder="1" applyAlignment="1">
      <alignment vertical="top" wrapText="1"/>
    </xf>
    <xf numFmtId="0" fontId="83" fillId="0" borderId="8" xfId="569" applyFont="1" applyBorder="1" applyAlignment="1">
      <alignment vertical="top" wrapText="1"/>
    </xf>
    <xf numFmtId="0" fontId="33" fillId="0" borderId="0" xfId="569" applyFont="1" applyAlignment="1">
      <alignment horizontal="right" vertical="top" wrapText="1"/>
    </xf>
    <xf numFmtId="0" fontId="83" fillId="0" borderId="0" xfId="569" applyFont="1" applyAlignment="1">
      <alignment horizontal="right" vertical="top" wrapText="1"/>
    </xf>
    <xf numFmtId="0" fontId="56" fillId="0" borderId="3" xfId="569" applyFont="1" applyBorder="1" applyAlignment="1">
      <alignment horizontal="left"/>
    </xf>
    <xf numFmtId="0" fontId="56" fillId="0" borderId="13" xfId="569" applyFont="1" applyBorder="1" applyAlignment="1">
      <alignment horizontal="center" wrapText="1"/>
    </xf>
    <xf numFmtId="0" fontId="56" fillId="0" borderId="8" xfId="569" applyFont="1" applyBorder="1" applyAlignment="1">
      <alignment horizontal="center" wrapText="1"/>
    </xf>
    <xf numFmtId="0" fontId="56" fillId="0" borderId="0" xfId="569" applyFont="1" applyAlignment="1">
      <alignment horizontal="center" wrapText="1"/>
    </xf>
    <xf numFmtId="0" fontId="19" fillId="0" borderId="0" xfId="569"/>
    <xf numFmtId="0" fontId="25" fillId="0" borderId="0" xfId="569" applyFont="1" applyAlignment="1">
      <alignment horizontal="center" vertical="center"/>
    </xf>
    <xf numFmtId="0" fontId="26" fillId="0" borderId="0" xfId="569" applyFont="1"/>
    <xf numFmtId="0" fontId="19" fillId="0" borderId="1" xfId="569" applyBorder="1"/>
    <xf numFmtId="0" fontId="19" fillId="0" borderId="2" xfId="569" applyBorder="1"/>
    <xf numFmtId="0" fontId="19" fillId="0" borderId="8" xfId="569" applyBorder="1"/>
    <xf numFmtId="0" fontId="19" fillId="0" borderId="9" xfId="569" applyBorder="1"/>
    <xf numFmtId="0" fontId="19" fillId="0" borderId="6" xfId="569" applyBorder="1"/>
    <xf numFmtId="0" fontId="27" fillId="0" borderId="0" xfId="569" applyFont="1"/>
    <xf numFmtId="0" fontId="19" fillId="0" borderId="7" xfId="569" applyBorder="1"/>
    <xf numFmtId="0" fontId="19" fillId="0" borderId="12" xfId="569" applyBorder="1"/>
    <xf numFmtId="0" fontId="19" fillId="0" borderId="10" xfId="569" applyBorder="1"/>
    <xf numFmtId="0" fontId="27" fillId="0" borderId="0" xfId="569" applyFont="1" applyAlignment="1">
      <alignment vertical="top" wrapText="1"/>
    </xf>
    <xf numFmtId="0" fontId="19" fillId="0" borderId="0" xfId="569" applyAlignment="1">
      <alignment horizontal="right"/>
    </xf>
    <xf numFmtId="0" fontId="19" fillId="0" borderId="0" xfId="569" applyAlignment="1">
      <alignment wrapText="1"/>
    </xf>
    <xf numFmtId="0" fontId="19" fillId="0" borderId="0" xfId="569" applyAlignment="1">
      <alignment vertical="center"/>
    </xf>
    <xf numFmtId="0" fontId="43" fillId="0" borderId="0" xfId="569" applyFont="1" applyAlignment="1">
      <alignment vertical="center" wrapText="1"/>
    </xf>
    <xf numFmtId="0" fontId="37" fillId="0" borderId="0" xfId="569" applyFont="1" applyAlignment="1">
      <alignment vertical="top" wrapText="1"/>
    </xf>
    <xf numFmtId="0" fontId="26" fillId="0" borderId="0" xfId="569" applyFont="1" applyAlignment="1">
      <alignment vertical="top" wrapText="1"/>
    </xf>
    <xf numFmtId="0" fontId="27" fillId="0" borderId="0" xfId="569" applyFont="1" applyAlignment="1">
      <alignment horizontal="left" vertical="top" wrapText="1"/>
    </xf>
    <xf numFmtId="164" fontId="19" fillId="0" borderId="0" xfId="569" applyNumberFormat="1" applyAlignment="1">
      <alignment horizontal="right"/>
    </xf>
    <xf numFmtId="168" fontId="19" fillId="0" borderId="0" xfId="569" applyNumberFormat="1" applyAlignment="1">
      <alignment horizontal="right"/>
    </xf>
    <xf numFmtId="0" fontId="109" fillId="0" borderId="0" xfId="569" applyFont="1" applyAlignment="1">
      <alignment horizontal="left" vertical="top" wrapText="1"/>
    </xf>
    <xf numFmtId="168" fontId="19" fillId="0" borderId="0" xfId="569" applyNumberFormat="1" applyAlignment="1">
      <alignment wrapText="1"/>
    </xf>
    <xf numFmtId="0" fontId="24" fillId="0" borderId="11" xfId="253" applyFont="1" applyBorder="1" applyAlignment="1">
      <alignment horizontal="center" wrapText="1"/>
    </xf>
    <xf numFmtId="0" fontId="24" fillId="0" borderId="0" xfId="253" applyFont="1" applyAlignment="1">
      <alignment horizontal="center" wrapText="1"/>
    </xf>
    <xf numFmtId="3" fontId="24" fillId="0" borderId="11" xfId="271" applyNumberFormat="1" applyFont="1" applyBorder="1"/>
    <xf numFmtId="3" fontId="24" fillId="0" borderId="0" xfId="271" applyNumberFormat="1" applyFont="1"/>
    <xf numFmtId="0" fontId="67" fillId="0" borderId="0" xfId="271" applyFont="1" applyAlignment="1">
      <alignment horizontal="left"/>
    </xf>
    <xf numFmtId="0" fontId="67" fillId="0" borderId="0" xfId="271" applyFont="1" applyAlignment="1">
      <alignment horizontal="right"/>
    </xf>
    <xf numFmtId="168" fontId="24" fillId="0" borderId="11" xfId="271" applyNumberFormat="1" applyFont="1" applyBorder="1"/>
    <xf numFmtId="168" fontId="24" fillId="0" borderId="0" xfId="271" applyNumberFormat="1" applyFont="1"/>
    <xf numFmtId="0" fontId="55" fillId="0" borderId="0" xfId="569" applyFont="1" applyAlignment="1">
      <alignment horizontal="left"/>
    </xf>
    <xf numFmtId="0" fontId="19" fillId="0" borderId="3" xfId="569" applyBorder="1"/>
    <xf numFmtId="0" fontId="110" fillId="0" borderId="0" xfId="1834"/>
    <xf numFmtId="0" fontId="0" fillId="0" borderId="0" xfId="0" applyAlignment="1">
      <alignment horizontal="left" vertical="top"/>
    </xf>
    <xf numFmtId="0" fontId="109" fillId="0" borderId="0" xfId="0" applyFont="1" applyAlignment="1">
      <alignment vertical="top" wrapText="1"/>
    </xf>
    <xf numFmtId="0" fontId="55" fillId="0" borderId="0" xfId="271" applyFont="1" applyAlignment="1">
      <alignment vertical="top" wrapText="1"/>
    </xf>
    <xf numFmtId="4" fontId="19" fillId="0" borderId="0" xfId="1192" applyNumberFormat="1" applyAlignment="1">
      <alignment horizontal="left" vertical="top" wrapText="1"/>
    </xf>
    <xf numFmtId="0" fontId="19" fillId="0" borderId="0" xfId="0" applyFont="1" applyAlignment="1">
      <alignment horizontal="left" vertical="top" wrapText="1"/>
    </xf>
    <xf numFmtId="0" fontId="26" fillId="0" borderId="12" xfId="543" applyFont="1" applyBorder="1" applyAlignment="1">
      <alignment horizontal="right"/>
    </xf>
    <xf numFmtId="0" fontId="38" fillId="0" borderId="0" xfId="543" applyFont="1" applyAlignment="1">
      <alignment horizontal="center"/>
    </xf>
    <xf numFmtId="4" fontId="19" fillId="0" borderId="0" xfId="569" applyNumberFormat="1" applyAlignment="1">
      <alignment horizontal="left"/>
    </xf>
    <xf numFmtId="0" fontId="19" fillId="0" borderId="0" xfId="569" applyAlignment="1">
      <alignment horizontal="left" vertical="top" wrapText="1"/>
    </xf>
    <xf numFmtId="0" fontId="19" fillId="0" borderId="0" xfId="569" applyAlignment="1">
      <alignment horizontal="left"/>
    </xf>
    <xf numFmtId="0" fontId="19" fillId="0" borderId="0" xfId="1192" applyAlignment="1">
      <alignment horizontal="left"/>
    </xf>
    <xf numFmtId="0" fontId="26" fillId="0" borderId="0" xfId="569" applyFont="1" applyAlignment="1">
      <alignment horizontal="left"/>
    </xf>
    <xf numFmtId="0" fontId="48" fillId="0" borderId="0" xfId="1192" applyFont="1"/>
    <xf numFmtId="0" fontId="55" fillId="0" borderId="11" xfId="0" applyFont="1" applyBorder="1" applyAlignment="1">
      <alignment horizontal="right" vertical="center"/>
    </xf>
    <xf numFmtId="0" fontId="19" fillId="0" borderId="0" xfId="1192" applyAlignment="1">
      <alignment horizontal="left" vertical="top" wrapText="1"/>
    </xf>
    <xf numFmtId="0" fontId="48" fillId="0" borderId="0" xfId="0" applyFont="1" applyAlignment="1">
      <alignment vertical="top" wrapText="1"/>
    </xf>
    <xf numFmtId="0" fontId="48" fillId="0" borderId="0" xfId="0" applyFont="1" applyAlignment="1">
      <alignment horizontal="left" vertical="top" wrapText="1"/>
    </xf>
    <xf numFmtId="6" fontId="56" fillId="0" borderId="0" xfId="569" applyNumberFormat="1" applyFont="1" applyAlignment="1">
      <alignment horizontal="right" vertical="top"/>
    </xf>
    <xf numFmtId="0" fontId="19" fillId="0" borderId="0" xfId="0" applyFont="1" applyAlignment="1">
      <alignment vertical="top" wrapText="1"/>
    </xf>
    <xf numFmtId="168" fontId="28" fillId="0" borderId="0" xfId="0" applyNumberFormat="1" applyFont="1" applyAlignment="1">
      <alignment horizontal="right"/>
    </xf>
    <xf numFmtId="168" fontId="28" fillId="0" borderId="28" xfId="540" applyNumberFormat="1" applyBorder="1" applyAlignment="1" applyProtection="1">
      <alignment horizontal="center"/>
    </xf>
    <xf numFmtId="168" fontId="28" fillId="0" borderId="29" xfId="540" applyNumberFormat="1" applyBorder="1" applyAlignment="1" applyProtection="1">
      <alignment horizontal="center"/>
    </xf>
    <xf numFmtId="168" fontId="28" fillId="0" borderId="30" xfId="540" applyNumberFormat="1" applyBorder="1" applyAlignment="1" applyProtection="1">
      <alignment horizontal="center"/>
    </xf>
    <xf numFmtId="168" fontId="28" fillId="0" borderId="31" xfId="540" applyNumberFormat="1" applyBorder="1" applyAlignment="1" applyProtection="1">
      <alignment horizontal="center"/>
    </xf>
    <xf numFmtId="168" fontId="28" fillId="0" borderId="32" xfId="540" applyNumberFormat="1" applyBorder="1" applyAlignment="1" applyProtection="1">
      <alignment horizontal="center"/>
    </xf>
    <xf numFmtId="168" fontId="28" fillId="0" borderId="33" xfId="540" applyNumberFormat="1" applyBorder="1" applyAlignment="1" applyProtection="1">
      <alignment horizontal="center"/>
    </xf>
    <xf numFmtId="168" fontId="28" fillId="0" borderId="34" xfId="540" applyNumberFormat="1" applyBorder="1" applyAlignment="1" applyProtection="1">
      <alignment horizontal="center"/>
    </xf>
    <xf numFmtId="168" fontId="28" fillId="0" borderId="35" xfId="540" applyNumberFormat="1" applyBorder="1" applyAlignment="1" applyProtection="1">
      <alignment horizontal="center"/>
    </xf>
    <xf numFmtId="168" fontId="28" fillId="0" borderId="36" xfId="540" applyNumberFormat="1" applyBorder="1" applyAlignment="1" applyProtection="1">
      <alignment horizontal="center"/>
    </xf>
    <xf numFmtId="168" fontId="28" fillId="0" borderId="37" xfId="540" applyNumberFormat="1" applyBorder="1" applyAlignment="1" applyProtection="1">
      <alignment horizontal="center"/>
    </xf>
    <xf numFmtId="168" fontId="28" fillId="0" borderId="38" xfId="540" applyNumberFormat="1" applyBorder="1" applyAlignment="1" applyProtection="1">
      <alignment horizontal="center"/>
    </xf>
    <xf numFmtId="168" fontId="28" fillId="0" borderId="39" xfId="540" applyNumberFormat="1" applyBorder="1" applyAlignment="1" applyProtection="1">
      <alignment horizontal="center"/>
    </xf>
    <xf numFmtId="168" fontId="28" fillId="0" borderId="40" xfId="540" applyNumberFormat="1" applyBorder="1" applyAlignment="1" applyProtection="1">
      <alignment horizontal="center"/>
    </xf>
    <xf numFmtId="168" fontId="28" fillId="0" borderId="0" xfId="540" applyNumberFormat="1" applyAlignment="1" applyProtection="1">
      <alignment horizontal="center"/>
    </xf>
    <xf numFmtId="168" fontId="28" fillId="0" borderId="14" xfId="540" applyNumberFormat="1" applyBorder="1" applyAlignment="1" applyProtection="1">
      <alignment horizontal="center"/>
    </xf>
    <xf numFmtId="168" fontId="28" fillId="0" borderId="41" xfId="540" applyNumberFormat="1" applyBorder="1" applyAlignment="1" applyProtection="1">
      <alignment horizontal="center"/>
    </xf>
    <xf numFmtId="168" fontId="28" fillId="0" borderId="42" xfId="540" applyNumberFormat="1" applyBorder="1" applyAlignment="1" applyProtection="1">
      <alignment horizontal="center"/>
    </xf>
    <xf numFmtId="168" fontId="28" fillId="0" borderId="43" xfId="540" applyNumberFormat="1" applyBorder="1" applyAlignment="1" applyProtection="1">
      <alignment horizontal="center"/>
    </xf>
    <xf numFmtId="168" fontId="28" fillId="0" borderId="44" xfId="540" applyNumberFormat="1" applyBorder="1" applyAlignment="1" applyProtection="1">
      <alignment horizontal="center"/>
    </xf>
    <xf numFmtId="0" fontId="19" fillId="0" borderId="0" xfId="1192"/>
    <xf numFmtId="0" fontId="19" fillId="0" borderId="0" xfId="0" applyFont="1" applyAlignment="1">
      <alignment wrapText="1"/>
    </xf>
    <xf numFmtId="0" fontId="48" fillId="0" borderId="0" xfId="0" applyFont="1" applyAlignment="1">
      <alignment horizontal="left" vertical="top"/>
    </xf>
    <xf numFmtId="0" fontId="48" fillId="0" borderId="0" xfId="0" applyFont="1" applyAlignment="1">
      <alignment vertical="top"/>
    </xf>
    <xf numFmtId="0" fontId="19" fillId="0" borderId="0" xfId="569" applyAlignment="1">
      <alignment horizontal="center"/>
    </xf>
    <xf numFmtId="0" fontId="37" fillId="0" borderId="0" xfId="569" applyFont="1" applyAlignment="1">
      <alignment horizontal="left"/>
    </xf>
    <xf numFmtId="0" fontId="37" fillId="0" borderId="0" xfId="569" applyFont="1" applyAlignment="1">
      <alignment horizontal="center"/>
    </xf>
    <xf numFmtId="49" fontId="26" fillId="0" borderId="0" xfId="569" applyNumberFormat="1" applyFont="1" applyAlignment="1">
      <alignment horizontal="center"/>
    </xf>
    <xf numFmtId="0" fontId="53" fillId="0" borderId="0" xfId="569" applyFont="1" applyAlignment="1">
      <alignment horizontal="center"/>
    </xf>
    <xf numFmtId="0" fontId="19" fillId="5" borderId="6" xfId="569" applyFill="1" applyBorder="1" applyProtection="1">
      <protection locked="0"/>
    </xf>
    <xf numFmtId="0" fontId="20" fillId="0" borderId="0" xfId="244" applyAlignment="1" applyProtection="1">
      <alignment horizontal="center"/>
    </xf>
    <xf numFmtId="49" fontId="19" fillId="0" borderId="0" xfId="569" applyNumberFormat="1" applyAlignment="1">
      <alignment horizontal="center"/>
    </xf>
    <xf numFmtId="0" fontId="19" fillId="0" borderId="0" xfId="569" applyAlignment="1">
      <alignment horizontal="center" vertical="center"/>
    </xf>
    <xf numFmtId="0" fontId="19" fillId="0" borderId="0" xfId="1192" applyAlignment="1">
      <alignment horizontal="center"/>
    </xf>
    <xf numFmtId="0" fontId="26" fillId="0" borderId="0" xfId="569" applyFont="1" applyAlignment="1">
      <alignment horizontal="center"/>
    </xf>
    <xf numFmtId="0" fontId="19" fillId="0" borderId="0" xfId="569" applyAlignment="1">
      <alignment horizontal="left" indent="4"/>
    </xf>
    <xf numFmtId="0" fontId="19" fillId="0" borderId="0" xfId="569" quotePrefix="1" applyAlignment="1">
      <alignment horizontal="left"/>
    </xf>
    <xf numFmtId="0" fontId="37" fillId="0" borderId="0" xfId="569" applyFont="1"/>
    <xf numFmtId="0" fontId="19" fillId="0" borderId="0" xfId="1192" applyAlignment="1" applyProtection="1">
      <alignment horizontal="left"/>
      <protection locked="0"/>
    </xf>
    <xf numFmtId="0" fontId="19" fillId="0" borderId="0" xfId="569" applyAlignment="1" applyProtection="1">
      <alignment horizontal="left"/>
      <protection locked="0"/>
    </xf>
    <xf numFmtId="49" fontId="19" fillId="0" borderId="0" xfId="1192" applyNumberFormat="1" applyAlignment="1">
      <alignment horizontal="center"/>
    </xf>
    <xf numFmtId="0" fontId="53" fillId="0" borderId="0" xfId="1192" applyFont="1" applyAlignment="1">
      <alignment horizontal="center"/>
    </xf>
    <xf numFmtId="0" fontId="26" fillId="0" borderId="0" xfId="1192" applyFont="1" applyAlignment="1">
      <alignment horizontal="left"/>
    </xf>
    <xf numFmtId="4" fontId="19" fillId="0" borderId="0" xfId="1192" applyNumberFormat="1" applyAlignment="1">
      <alignment horizontal="left"/>
    </xf>
    <xf numFmtId="0" fontId="26" fillId="0" borderId="0" xfId="569" quotePrefix="1" applyFont="1" applyAlignment="1">
      <alignment horizontal="center"/>
    </xf>
    <xf numFmtId="49" fontId="19" fillId="0" borderId="0" xfId="569" applyNumberFormat="1"/>
    <xf numFmtId="0" fontId="51" fillId="0" borderId="0" xfId="569" applyFont="1" applyAlignment="1">
      <alignment horizontal="left"/>
    </xf>
    <xf numFmtId="4" fontId="53" fillId="0" borderId="0" xfId="569" applyNumberFormat="1" applyFont="1" applyAlignment="1">
      <alignment horizontal="center"/>
    </xf>
    <xf numFmtId="4" fontId="19" fillId="0" borderId="0" xfId="569" applyNumberFormat="1" applyAlignment="1">
      <alignment horizontal="center"/>
    </xf>
    <xf numFmtId="4" fontId="19" fillId="0" borderId="0" xfId="569" applyNumberFormat="1"/>
    <xf numFmtId="0" fontId="49" fillId="0" borderId="0" xfId="569" applyFont="1" applyAlignment="1">
      <alignment horizontal="left"/>
    </xf>
    <xf numFmtId="0" fontId="20" fillId="0" borderId="0" xfId="244" applyNumberFormat="1" applyFill="1" applyAlignment="1" applyProtection="1">
      <alignment horizontal="left"/>
      <protection locked="0"/>
    </xf>
    <xf numFmtId="0" fontId="55" fillId="0" borderId="11" xfId="0" applyFont="1" applyBorder="1" applyAlignment="1" applyProtection="1">
      <alignment horizontal="right" vertical="top" wrapText="1"/>
      <protection locked="0"/>
    </xf>
    <xf numFmtId="168" fontId="58" fillId="44" borderId="11" xfId="0" applyNumberFormat="1" applyFont="1" applyFill="1" applyBorder="1" applyAlignment="1">
      <alignment vertical="top" wrapText="1"/>
    </xf>
    <xf numFmtId="0" fontId="19" fillId="0" borderId="11" xfId="271" applyFont="1" applyBorder="1" applyAlignment="1">
      <alignment horizontal="right" vertical="top" wrapText="1"/>
    </xf>
    <xf numFmtId="0" fontId="27" fillId="0" borderId="0" xfId="569" applyFont="1" applyAlignment="1">
      <alignment horizontal="left"/>
    </xf>
    <xf numFmtId="0" fontId="107" fillId="0" borderId="0" xfId="0" applyFont="1"/>
    <xf numFmtId="0" fontId="118" fillId="0" borderId="0" xfId="0" applyFont="1" applyAlignment="1">
      <alignment horizontal="left" vertical="top"/>
    </xf>
    <xf numFmtId="0" fontId="119" fillId="0" borderId="0" xfId="0" applyFont="1" applyAlignment="1">
      <alignment horizontal="left" vertical="top"/>
    </xf>
    <xf numFmtId="168" fontId="27" fillId="0" borderId="0" xfId="0" applyNumberFormat="1" applyFont="1" applyAlignment="1">
      <alignment horizontal="left" vertical="top" wrapText="1"/>
    </xf>
    <xf numFmtId="168" fontId="55" fillId="5" borderId="11" xfId="0" applyNumberFormat="1" applyFont="1" applyFill="1" applyBorder="1" applyAlignment="1">
      <alignment vertical="top" wrapText="1"/>
    </xf>
    <xf numFmtId="0" fontId="19" fillId="0" borderId="0" xfId="271" applyFont="1" applyAlignment="1">
      <alignment horizontal="left" vertical="top"/>
    </xf>
    <xf numFmtId="0" fontId="55" fillId="0" borderId="0" xfId="569" applyFont="1"/>
    <xf numFmtId="0" fontId="19" fillId="0" borderId="0" xfId="0" applyFont="1" applyAlignment="1">
      <alignment horizontal="left" vertical="top"/>
    </xf>
    <xf numFmtId="4" fontId="19" fillId="0" borderId="0" xfId="1192" applyNumberFormat="1" applyAlignment="1">
      <alignment vertical="top" wrapText="1"/>
    </xf>
    <xf numFmtId="0" fontId="26" fillId="0" borderId="16" xfId="271" applyFont="1" applyBorder="1"/>
    <xf numFmtId="0" fontId="62" fillId="0" borderId="0" xfId="569" applyFont="1"/>
    <xf numFmtId="0" fontId="43" fillId="0" borderId="0" xfId="569" applyFont="1"/>
    <xf numFmtId="0" fontId="19" fillId="0" borderId="0" xfId="1192" applyAlignment="1">
      <alignment vertical="top" wrapText="1"/>
    </xf>
    <xf numFmtId="49" fontId="19" fillId="0" borderId="0" xfId="1192" applyNumberFormat="1" applyAlignment="1">
      <alignment vertical="top" wrapText="1"/>
    </xf>
    <xf numFmtId="0" fontId="57" fillId="0" borderId="9" xfId="543" applyFont="1" applyBorder="1" applyAlignment="1">
      <alignment vertical="top"/>
    </xf>
    <xf numFmtId="0" fontId="19" fillId="0" borderId="0" xfId="0" applyFont="1" applyAlignment="1">
      <alignment vertical="center"/>
    </xf>
    <xf numFmtId="0" fontId="120" fillId="0" borderId="0" xfId="0" applyFont="1"/>
    <xf numFmtId="3" fontId="107" fillId="0" borderId="0" xfId="0" applyNumberFormat="1" applyFont="1"/>
    <xf numFmtId="0" fontId="107" fillId="0" borderId="0" xfId="0" applyFont="1" applyAlignment="1">
      <alignment horizontal="left"/>
    </xf>
    <xf numFmtId="168" fontId="121" fillId="0" borderId="0" xfId="0" applyNumberFormat="1" applyFont="1" applyAlignment="1">
      <alignment horizontal="left" vertical="top"/>
    </xf>
    <xf numFmtId="0" fontId="107" fillId="0" borderId="0" xfId="0" applyFont="1" applyAlignment="1">
      <alignment horizontal="left" vertical="center"/>
    </xf>
    <xf numFmtId="0" fontId="123" fillId="0" borderId="0" xfId="0" applyFont="1"/>
    <xf numFmtId="172" fontId="19" fillId="0" borderId="8" xfId="543" applyNumberFormat="1" applyBorder="1"/>
    <xf numFmtId="0" fontId="19" fillId="0" borderId="8" xfId="4495" applyFont="1" applyBorder="1"/>
    <xf numFmtId="0" fontId="19" fillId="0" borderId="0" xfId="4495" applyFont="1"/>
    <xf numFmtId="0" fontId="25" fillId="0" borderId="0" xfId="4495" applyFont="1" applyAlignment="1">
      <alignment horizontal="center" vertical="center"/>
    </xf>
    <xf numFmtId="0" fontId="26" fillId="0" borderId="0" xfId="4495" applyFont="1" applyAlignment="1">
      <alignment horizontal="left"/>
    </xf>
    <xf numFmtId="0" fontId="26" fillId="0" borderId="0" xfId="4495" applyFont="1"/>
    <xf numFmtId="0" fontId="29" fillId="0" borderId="0" xfId="4495" applyFont="1" applyAlignment="1">
      <alignment horizontal="center" vertical="center"/>
    </xf>
    <xf numFmtId="0" fontId="29" fillId="0" borderId="27" xfId="4495" applyFont="1" applyBorder="1" applyAlignment="1">
      <alignment horizontal="center" vertical="center"/>
    </xf>
    <xf numFmtId="0" fontId="29" fillId="0" borderId="46" xfId="4495" applyFont="1" applyBorder="1" applyAlignment="1">
      <alignment horizontal="center" vertical="center"/>
    </xf>
    <xf numFmtId="0" fontId="26" fillId="0" borderId="0" xfId="4495" applyFont="1" applyAlignment="1">
      <alignment horizontal="right"/>
    </xf>
    <xf numFmtId="0" fontId="19" fillId="0" borderId="0" xfId="1192" quotePrefix="1" applyAlignment="1">
      <alignment horizontal="center"/>
    </xf>
    <xf numFmtId="0" fontId="49" fillId="0" borderId="0" xfId="4495" applyFont="1" applyAlignment="1">
      <alignment horizontal="left" vertical="center"/>
    </xf>
    <xf numFmtId="49" fontId="27" fillId="0" borderId="0" xfId="4495" applyNumberFormat="1" applyFont="1" applyAlignment="1">
      <alignment horizontal="left" vertical="top"/>
    </xf>
    <xf numFmtId="0" fontId="19" fillId="0" borderId="47" xfId="4495" applyFont="1" applyBorder="1" applyAlignment="1">
      <alignment horizontal="left" vertical="center"/>
    </xf>
    <xf numFmtId="0" fontId="29" fillId="0" borderId="48" xfId="4495" applyFont="1" applyBorder="1" applyAlignment="1">
      <alignment horizontal="center" vertical="center"/>
    </xf>
    <xf numFmtId="0" fontId="27" fillId="0" borderId="0" xfId="4495" applyFont="1"/>
    <xf numFmtId="0" fontId="27" fillId="0" borderId="0" xfId="4495" applyFont="1" applyAlignment="1">
      <alignment horizontal="left" vertical="top"/>
    </xf>
    <xf numFmtId="0" fontId="124" fillId="0" borderId="0" xfId="4496" applyFont="1" applyAlignment="1">
      <alignment horizontal="left" vertical="top" wrapText="1"/>
    </xf>
    <xf numFmtId="0" fontId="124" fillId="0" borderId="54" xfId="4496" applyFont="1" applyBorder="1" applyAlignment="1">
      <alignment horizontal="left" vertical="top" wrapText="1"/>
    </xf>
    <xf numFmtId="0" fontId="19" fillId="0" borderId="0" xfId="4495" applyFont="1" applyAlignment="1">
      <alignment horizontal="left" vertical="center"/>
    </xf>
    <xf numFmtId="0" fontId="125" fillId="0" borderId="0" xfId="4496" applyFont="1" applyAlignment="1">
      <alignment vertical="center"/>
    </xf>
    <xf numFmtId="0" fontId="124" fillId="0" borderId="0" xfId="4496" applyFont="1"/>
    <xf numFmtId="0" fontId="124" fillId="0" borderId="0" xfId="4496" applyFont="1" applyAlignment="1">
      <alignment vertical="center"/>
    </xf>
    <xf numFmtId="0" fontId="126" fillId="0" borderId="0" xfId="4496" applyFont="1" applyAlignment="1">
      <alignment vertical="center"/>
    </xf>
    <xf numFmtId="0" fontId="19" fillId="0" borderId="0" xfId="4496" applyFont="1" applyAlignment="1">
      <alignment vertical="center"/>
    </xf>
    <xf numFmtId="0" fontId="27" fillId="0" borderId="3" xfId="4495" applyFont="1" applyBorder="1" applyAlignment="1">
      <alignment vertical="top" wrapText="1"/>
    </xf>
    <xf numFmtId="0" fontId="27" fillId="0" borderId="4" xfId="4495" applyFont="1" applyBorder="1" applyAlignment="1">
      <alignment vertical="top" wrapText="1"/>
    </xf>
    <xf numFmtId="164" fontId="122" fillId="0" borderId="4" xfId="4495" applyNumberFormat="1" applyBorder="1" applyAlignment="1">
      <alignment horizontal="right"/>
    </xf>
    <xf numFmtId="0" fontId="27" fillId="0" borderId="4" xfId="4495" applyFont="1" applyBorder="1"/>
    <xf numFmtId="0" fontId="26" fillId="0" borderId="5" xfId="4495" applyFont="1" applyBorder="1" applyAlignment="1">
      <alignment horizontal="right"/>
    </xf>
    <xf numFmtId="0" fontId="19" fillId="0" borderId="16" xfId="4495" applyFont="1" applyBorder="1"/>
    <xf numFmtId="0" fontId="19" fillId="0" borderId="16" xfId="4495" applyFont="1" applyBorder="1" applyAlignment="1">
      <alignment horizontal="left" vertical="top"/>
    </xf>
    <xf numFmtId="0" fontId="27" fillId="0" borderId="16" xfId="4495" applyFont="1" applyBorder="1" applyAlignment="1">
      <alignment horizontal="left" vertical="top" wrapText="1"/>
    </xf>
    <xf numFmtId="0" fontId="27" fillId="0" borderId="45" xfId="4495" applyFont="1" applyBorder="1" applyAlignment="1">
      <alignment horizontal="left" vertical="top" wrapText="1"/>
    </xf>
    <xf numFmtId="0" fontId="122" fillId="0" borderId="0" xfId="4495"/>
    <xf numFmtId="0" fontId="20" fillId="0" borderId="0" xfId="244" applyFill="1" applyBorder="1" applyAlignment="1" applyProtection="1">
      <alignment horizontal="left" vertical="top"/>
    </xf>
    <xf numFmtId="0" fontId="20" fillId="0" borderId="0" xfId="244" applyFill="1" applyBorder="1" applyAlignment="1" applyProtection="1">
      <alignment horizontal="left" vertical="top" wrapText="1"/>
    </xf>
    <xf numFmtId="0" fontId="27" fillId="0" borderId="0" xfId="4495" applyFont="1" applyAlignment="1">
      <alignment horizontal="left" vertical="top" wrapText="1"/>
    </xf>
    <xf numFmtId="0" fontId="27" fillId="0" borderId="0" xfId="4495" applyFont="1" applyAlignment="1">
      <alignment horizontal="right" vertical="top"/>
    </xf>
    <xf numFmtId="0" fontId="19" fillId="0" borderId="0" xfId="4495" applyFont="1" applyAlignment="1">
      <alignment vertical="center" wrapText="1"/>
    </xf>
    <xf numFmtId="0" fontId="124" fillId="0" borderId="53" xfId="4496" applyFont="1" applyBorder="1" applyAlignment="1">
      <alignment vertical="top" wrapText="1"/>
    </xf>
    <xf numFmtId="0" fontId="124" fillId="0" borderId="0" xfId="4496" applyFont="1" applyAlignment="1">
      <alignment vertical="top" wrapText="1"/>
    </xf>
    <xf numFmtId="10" fontId="124" fillId="0" borderId="0" xfId="4496" applyNumberFormat="1" applyFont="1" applyAlignment="1">
      <alignment vertical="top" wrapText="1"/>
    </xf>
    <xf numFmtId="0" fontId="124" fillId="0" borderId="54" xfId="4496" applyFont="1" applyBorder="1" applyAlignment="1">
      <alignment vertical="top" wrapText="1"/>
    </xf>
    <xf numFmtId="0" fontId="124" fillId="0" borderId="0" xfId="4496" applyFont="1" applyAlignment="1">
      <alignment vertical="top"/>
    </xf>
    <xf numFmtId="165" fontId="124" fillId="0" borderId="0" xfId="4496" applyNumberFormat="1" applyFont="1" applyAlignment="1">
      <alignment vertical="top" wrapText="1"/>
    </xf>
    <xf numFmtId="0" fontId="26" fillId="0" borderId="57" xfId="4495" applyFont="1" applyBorder="1"/>
    <xf numFmtId="0" fontId="26" fillId="0" borderId="58" xfId="4495" applyFont="1" applyBorder="1"/>
    <xf numFmtId="0" fontId="26" fillId="0" borderId="58" xfId="4495" applyFont="1" applyBorder="1" applyAlignment="1">
      <alignment horizontal="right"/>
    </xf>
    <xf numFmtId="0" fontId="26" fillId="0" borderId="59" xfId="4495" applyFont="1" applyBorder="1" applyAlignment="1">
      <alignment horizontal="right"/>
    </xf>
    <xf numFmtId="0" fontId="124" fillId="0" borderId="53" xfId="4496" applyFont="1" applyBorder="1" applyAlignment="1">
      <alignment horizontal="left" vertical="top" wrapText="1"/>
    </xf>
    <xf numFmtId="0" fontId="124" fillId="0" borderId="0" xfId="4496" applyFont="1" applyAlignment="1">
      <alignment horizontal="left" vertical="top"/>
    </xf>
    <xf numFmtId="0" fontId="29" fillId="0" borderId="57" xfId="4495" applyFont="1" applyBorder="1" applyAlignment="1">
      <alignment horizontal="center" vertical="center"/>
    </xf>
    <xf numFmtId="0" fontId="29" fillId="0" borderId="58" xfId="4495" applyFont="1" applyBorder="1" applyAlignment="1">
      <alignment horizontal="center" vertical="center"/>
    </xf>
    <xf numFmtId="0" fontId="29" fillId="0" borderId="59" xfId="4495" applyFont="1" applyBorder="1" applyAlignment="1">
      <alignment horizontal="center" vertical="center"/>
    </xf>
    <xf numFmtId="0" fontId="26" fillId="0" borderId="0" xfId="4495" applyFont="1" applyAlignment="1">
      <alignment horizontal="center"/>
    </xf>
    <xf numFmtId="0" fontId="26" fillId="0" borderId="8" xfId="4495" applyFont="1" applyBorder="1"/>
    <xf numFmtId="0" fontId="27" fillId="0" borderId="0" xfId="4495" applyFont="1" applyAlignment="1">
      <alignment horizontal="left"/>
    </xf>
    <xf numFmtId="0" fontId="26" fillId="0" borderId="0" xfId="4495" applyFont="1" applyAlignment="1">
      <alignment horizontal="center" vertical="top"/>
    </xf>
    <xf numFmtId="0" fontId="19" fillId="0" borderId="0" xfId="4495" applyFont="1" applyAlignment="1">
      <alignment horizontal="center"/>
    </xf>
    <xf numFmtId="0" fontId="35" fillId="0" borderId="0" xfId="4495" applyFont="1"/>
    <xf numFmtId="0" fontId="27" fillId="0" borderId="8" xfId="4495" applyFont="1" applyBorder="1"/>
    <xf numFmtId="0" fontId="55" fillId="0" borderId="8" xfId="4495" applyFont="1" applyBorder="1"/>
    <xf numFmtId="1" fontId="19" fillId="0" borderId="0" xfId="1192" applyNumberFormat="1"/>
    <xf numFmtId="0" fontId="19" fillId="0" borderId="3" xfId="4495" applyFont="1" applyBorder="1"/>
    <xf numFmtId="0" fontId="19" fillId="0" borderId="4" xfId="4495" applyFont="1" applyBorder="1"/>
    <xf numFmtId="0" fontId="19" fillId="0" borderId="0" xfId="1192" applyAlignment="1">
      <alignment wrapText="1"/>
    </xf>
    <xf numFmtId="0" fontId="27" fillId="0" borderId="0" xfId="4495" applyFont="1" applyAlignment="1">
      <alignment vertical="top" wrapText="1"/>
    </xf>
    <xf numFmtId="0" fontId="27" fillId="0" borderId="0" xfId="1192" applyFont="1"/>
    <xf numFmtId="0" fontId="19" fillId="0" borderId="0" xfId="4495" applyFont="1" applyAlignment="1">
      <alignment horizontal="left"/>
    </xf>
    <xf numFmtId="0" fontId="27" fillId="0" borderId="3" xfId="4495" applyFont="1" applyBorder="1"/>
    <xf numFmtId="0" fontId="19" fillId="0" borderId="4" xfId="4495" applyFont="1" applyBorder="1" applyAlignment="1">
      <alignment horizontal="right"/>
    </xf>
    <xf numFmtId="1" fontId="19" fillId="0" borderId="0" xfId="4495" applyNumberFormat="1" applyFont="1" applyAlignment="1">
      <alignment horizontal="center"/>
    </xf>
    <xf numFmtId="0" fontId="55" fillId="0" borderId="0" xfId="4495" applyFont="1"/>
    <xf numFmtId="0" fontId="19" fillId="0" borderId="0" xfId="4495" applyFont="1" applyAlignment="1">
      <alignment horizontal="right"/>
    </xf>
    <xf numFmtId="0" fontId="27" fillId="0" borderId="0" xfId="4495" applyFont="1" applyAlignment="1">
      <alignment vertical="top"/>
    </xf>
    <xf numFmtId="0" fontId="27" fillId="0" borderId="27" xfId="4495" applyFont="1" applyBorder="1"/>
    <xf numFmtId="0" fontId="26" fillId="0" borderId="0" xfId="4495" applyFont="1" applyAlignment="1">
      <alignment vertical="top"/>
    </xf>
    <xf numFmtId="0" fontId="37" fillId="0" borderId="0" xfId="4495" applyFont="1" applyAlignment="1">
      <alignment vertical="top" wrapText="1"/>
    </xf>
    <xf numFmtId="0" fontId="26" fillId="0" borderId="0" xfId="4495" applyFont="1" applyAlignment="1">
      <alignment horizontal="left" vertical="top" wrapText="1"/>
    </xf>
    <xf numFmtId="0" fontId="19" fillId="0" borderId="0" xfId="4495" applyFont="1" applyAlignment="1">
      <alignment horizontal="left" vertical="top"/>
    </xf>
    <xf numFmtId="0" fontId="37" fillId="0" borderId="0" xfId="4495" applyFont="1" applyAlignment="1">
      <alignment vertical="top"/>
    </xf>
    <xf numFmtId="0" fontId="19" fillId="0" borderId="10" xfId="4495" applyFont="1" applyBorder="1" applyAlignment="1">
      <alignment horizontal="center"/>
    </xf>
    <xf numFmtId="0" fontId="19" fillId="0" borderId="16" xfId="4495" applyFont="1" applyBorder="1" applyAlignment="1">
      <alignment horizontal="center"/>
    </xf>
    <xf numFmtId="0" fontId="35" fillId="0" borderId="16" xfId="4495" applyFont="1" applyBorder="1"/>
    <xf numFmtId="0" fontId="27" fillId="0" borderId="16" xfId="4495" applyFont="1" applyBorder="1"/>
    <xf numFmtId="0" fontId="19" fillId="0" borderId="0" xfId="4496" applyFont="1" applyAlignment="1">
      <alignment vertical="top" wrapText="1"/>
    </xf>
    <xf numFmtId="0" fontId="26" fillId="0" borderId="0" xfId="1192" applyFont="1" applyAlignment="1">
      <alignment horizontal="right"/>
    </xf>
    <xf numFmtId="0" fontId="19" fillId="0" borderId="0" xfId="4496" applyFont="1"/>
    <xf numFmtId="0" fontId="19" fillId="0" borderId="0" xfId="4496" applyFont="1" applyAlignment="1">
      <alignment horizontal="left"/>
    </xf>
    <xf numFmtId="0" fontId="19" fillId="0" borderId="0" xfId="4496" applyFont="1" applyAlignment="1">
      <alignment horizontal="right"/>
    </xf>
    <xf numFmtId="0" fontId="27" fillId="0" borderId="0" xfId="4496" applyFont="1" applyAlignment="1">
      <alignment vertical="top" wrapText="1"/>
    </xf>
    <xf numFmtId="0" fontId="19" fillId="0" borderId="4" xfId="4496" applyFont="1" applyBorder="1"/>
    <xf numFmtId="0" fontId="26" fillId="0" borderId="4" xfId="4496" applyFont="1" applyBorder="1" applyAlignment="1">
      <alignment horizontal="right"/>
    </xf>
    <xf numFmtId="0" fontId="27" fillId="0" borderId="27" xfId="4495" applyFont="1" applyBorder="1" applyAlignment="1">
      <alignment horizontal="left" vertical="top"/>
    </xf>
    <xf numFmtId="0" fontId="19" fillId="0" borderId="27" xfId="4495" applyFont="1" applyBorder="1" applyAlignment="1">
      <alignment horizontal="left" vertical="top"/>
    </xf>
    <xf numFmtId="0" fontId="26" fillId="0" borderId="27" xfId="4495" applyFont="1" applyBorder="1" applyAlignment="1">
      <alignment horizontal="right"/>
    </xf>
    <xf numFmtId="0" fontId="19" fillId="0" borderId="27" xfId="4495" applyFont="1" applyBorder="1" applyAlignment="1">
      <alignment horizontal="center"/>
    </xf>
    <xf numFmtId="0" fontId="19" fillId="0" borderId="46" xfId="4495" applyFont="1" applyBorder="1" applyAlignment="1">
      <alignment horizontal="center"/>
    </xf>
    <xf numFmtId="164" fontId="27" fillId="0" borderId="0" xfId="4495" applyNumberFormat="1" applyFont="1" applyAlignment="1">
      <alignment horizontal="left" vertical="top" wrapText="1"/>
    </xf>
    <xf numFmtId="0" fontId="30" fillId="0" borderId="0" xfId="4495" applyFont="1"/>
    <xf numFmtId="0" fontId="27" fillId="0" borderId="0" xfId="4495" applyFont="1" applyAlignment="1">
      <alignment horizontal="right"/>
    </xf>
    <xf numFmtId="0" fontId="19" fillId="0" borderId="27" xfId="543" applyBorder="1"/>
    <xf numFmtId="0" fontId="19" fillId="0" borderId="46" xfId="543" applyBorder="1"/>
    <xf numFmtId="0" fontId="26" fillId="0" borderId="0" xfId="4495" applyFont="1" applyAlignment="1">
      <alignment horizontal="left" vertical="top"/>
    </xf>
    <xf numFmtId="1" fontId="122" fillId="0" borderId="0" xfId="4495" applyNumberFormat="1"/>
    <xf numFmtId="0" fontId="19" fillId="0" borderId="0" xfId="4495" applyFont="1" applyAlignment="1">
      <alignment vertical="top" wrapText="1"/>
    </xf>
    <xf numFmtId="0" fontId="19" fillId="0" borderId="0" xfId="4495" applyFont="1" applyAlignment="1">
      <alignment horizontal="left" vertical="top" wrapText="1"/>
    </xf>
    <xf numFmtId="0" fontId="19" fillId="0" borderId="50" xfId="4495" applyFont="1" applyBorder="1" applyAlignment="1">
      <alignment vertical="top"/>
    </xf>
    <xf numFmtId="1" fontId="27" fillId="0" borderId="8" xfId="4495" applyNumberFormat="1" applyFont="1" applyBorder="1"/>
    <xf numFmtId="0" fontId="19" fillId="0" borderId="0" xfId="543" applyAlignment="1">
      <alignment vertical="top"/>
    </xf>
    <xf numFmtId="0" fontId="27" fillId="0" borderId="51" xfId="4495" applyFont="1" applyBorder="1" applyAlignment="1">
      <alignment horizontal="left" vertical="top"/>
    </xf>
    <xf numFmtId="0" fontId="27" fillId="0" borderId="52" xfId="4495" applyFont="1" applyBorder="1" applyAlignment="1">
      <alignment horizontal="left" vertical="top"/>
    </xf>
    <xf numFmtId="0" fontId="122" fillId="0" borderId="0" xfId="4495" applyAlignment="1" applyProtection="1">
      <alignment horizontal="center"/>
      <protection locked="0"/>
    </xf>
    <xf numFmtId="0" fontId="19" fillId="0" borderId="53" xfId="4495" applyFont="1" applyBorder="1" applyAlignment="1">
      <alignment vertical="top"/>
    </xf>
    <xf numFmtId="0" fontId="19" fillId="0" borderId="54" xfId="4495" applyFont="1" applyBorder="1" applyAlignment="1">
      <alignment vertical="top" wrapText="1"/>
    </xf>
    <xf numFmtId="0" fontId="63" fillId="0" borderId="53" xfId="4495" applyFont="1" applyBorder="1"/>
    <xf numFmtId="0" fontId="27" fillId="0" borderId="54" xfId="4495" applyFont="1" applyBorder="1" applyAlignment="1">
      <alignment horizontal="left" vertical="top"/>
    </xf>
    <xf numFmtId="0" fontId="19" fillId="0" borderId="53" xfId="4495" applyFont="1" applyBorder="1" applyAlignment="1">
      <alignment vertical="center" wrapText="1"/>
    </xf>
    <xf numFmtId="0" fontId="63" fillId="0" borderId="57" xfId="4495" applyFont="1" applyBorder="1"/>
    <xf numFmtId="0" fontId="27" fillId="0" borderId="58" xfId="4495" applyFont="1" applyBorder="1" applyAlignment="1">
      <alignment horizontal="left" vertical="top"/>
    </xf>
    <xf numFmtId="0" fontId="27" fillId="0" borderId="12" xfId="4495" applyFont="1" applyBorder="1"/>
    <xf numFmtId="0" fontId="19" fillId="0" borderId="57" xfId="4495" applyFont="1" applyBorder="1" applyAlignment="1">
      <alignment vertical="center"/>
    </xf>
    <xf numFmtId="0" fontId="19" fillId="0" borderId="58" xfId="4495" applyFont="1" applyBorder="1" applyAlignment="1">
      <alignment vertical="top"/>
    </xf>
    <xf numFmtId="0" fontId="19" fillId="0" borderId="59" xfId="4495" applyFont="1" applyBorder="1" applyAlignment="1">
      <alignment vertical="top"/>
    </xf>
    <xf numFmtId="0" fontId="19" fillId="0" borderId="0" xfId="4495" applyFont="1" applyAlignment="1">
      <alignment vertical="top"/>
    </xf>
    <xf numFmtId="0" fontId="27" fillId="0" borderId="4" xfId="4495" applyFont="1" applyBorder="1" applyAlignment="1">
      <alignment horizontal="left" vertical="top"/>
    </xf>
    <xf numFmtId="0" fontId="19" fillId="0" borderId="4" xfId="4495" applyFont="1" applyBorder="1" applyAlignment="1">
      <alignment horizontal="left" vertical="top"/>
    </xf>
    <xf numFmtId="0" fontId="19" fillId="0" borderId="2" xfId="4495" applyFont="1" applyBorder="1"/>
    <xf numFmtId="0" fontId="27" fillId="0" borderId="2" xfId="4495" applyFont="1" applyBorder="1"/>
    <xf numFmtId="0" fontId="19" fillId="0" borderId="2" xfId="4495" applyFont="1" applyBorder="1" applyAlignment="1">
      <alignment horizontal="center"/>
    </xf>
    <xf numFmtId="0" fontId="27" fillId="0" borderId="7" xfId="4495" applyFont="1" applyBorder="1"/>
    <xf numFmtId="0" fontId="35" fillId="0" borderId="0" xfId="4495" applyFont="1" applyAlignment="1">
      <alignment horizontal="right"/>
    </xf>
    <xf numFmtId="0" fontId="127" fillId="0" borderId="0" xfId="4495" applyFont="1" applyAlignment="1">
      <alignment horizontal="left" vertical="top" wrapText="1"/>
    </xf>
    <xf numFmtId="0" fontId="35" fillId="0" borderId="0" xfId="4495" applyFont="1" applyAlignment="1">
      <alignment horizontal="left" vertical="top"/>
    </xf>
    <xf numFmtId="0" fontId="27" fillId="0" borderId="0" xfId="4495" quotePrefix="1" applyFont="1" applyAlignment="1">
      <alignment horizontal="right"/>
    </xf>
    <xf numFmtId="0" fontId="19" fillId="0" borderId="0" xfId="4497"/>
    <xf numFmtId="0" fontId="27" fillId="0" borderId="0" xfId="4495" applyFont="1" applyAlignment="1">
      <alignment horizontal="left" vertical="top" wrapText="1" shrinkToFit="1"/>
    </xf>
    <xf numFmtId="0" fontId="122" fillId="0" borderId="0" xfId="4495" applyAlignment="1">
      <alignment vertical="top" wrapText="1"/>
    </xf>
    <xf numFmtId="0" fontId="27" fillId="0" borderId="4" xfId="4495" applyFont="1" applyBorder="1" applyAlignment="1">
      <alignment horizontal="left" vertical="top" wrapText="1" shrinkToFit="1"/>
    </xf>
    <xf numFmtId="0" fontId="35" fillId="0" borderId="8" xfId="4495" applyFont="1" applyBorder="1"/>
    <xf numFmtId="0" fontId="27" fillId="0" borderId="0" xfId="4495" applyFont="1" applyAlignment="1">
      <alignment horizontal="center"/>
    </xf>
    <xf numFmtId="0" fontId="27" fillId="0" borderId="0" xfId="4495" quotePrefix="1" applyFont="1"/>
    <xf numFmtId="0" fontId="27" fillId="0" borderId="0" xfId="4495" applyFont="1" applyAlignment="1">
      <alignment horizontal="left" vertical="top" shrinkToFit="1"/>
    </xf>
    <xf numFmtId="0" fontId="49" fillId="0" borderId="0" xfId="4495" applyFont="1"/>
    <xf numFmtId="0" fontId="27" fillId="0" borderId="3" xfId="4495" applyFont="1" applyBorder="1" applyAlignment="1">
      <alignment horizontal="center"/>
    </xf>
    <xf numFmtId="0" fontId="122" fillId="0" borderId="8" xfId="4495" applyBorder="1"/>
    <xf numFmtId="0" fontId="26" fillId="0" borderId="8" xfId="4495" applyFont="1" applyBorder="1" applyAlignment="1">
      <alignment vertical="top"/>
    </xf>
    <xf numFmtId="0" fontId="122" fillId="0" borderId="0" xfId="4495" applyAlignment="1">
      <alignment vertical="top"/>
    </xf>
    <xf numFmtId="0" fontId="26" fillId="0" borderId="4" xfId="4495" applyFont="1" applyBorder="1" applyAlignment="1">
      <alignment horizontal="center" vertical="top"/>
    </xf>
    <xf numFmtId="0" fontId="127" fillId="0" borderId="0" xfId="4495" applyFont="1" applyAlignment="1">
      <alignment horizontal="left" vertical="top"/>
    </xf>
    <xf numFmtId="0" fontId="127" fillId="0" borderId="4" xfId="4495" applyFont="1" applyBorder="1" applyAlignment="1">
      <alignment horizontal="left" vertical="top"/>
    </xf>
    <xf numFmtId="168" fontId="19" fillId="0" borderId="0" xfId="4497" applyNumberFormat="1"/>
    <xf numFmtId="1" fontId="27" fillId="0" borderId="0" xfId="4495" applyNumberFormat="1" applyFont="1" applyAlignment="1">
      <alignment horizontal="center" vertical="top"/>
    </xf>
    <xf numFmtId="0" fontId="131" fillId="0" borderId="0" xfId="4495" applyFont="1" applyAlignment="1">
      <alignment vertical="top" wrapText="1"/>
    </xf>
    <xf numFmtId="0" fontId="131" fillId="0" borderId="0" xfId="4495" applyFont="1" applyAlignment="1">
      <alignment horizontal="left" vertical="top" wrapText="1"/>
    </xf>
    <xf numFmtId="0" fontId="27" fillId="0" borderId="6" xfId="4495" applyFont="1" applyBorder="1"/>
    <xf numFmtId="1" fontId="27" fillId="0" borderId="8" xfId="4495" applyNumberFormat="1" applyFont="1" applyBorder="1" applyAlignment="1">
      <alignment horizontal="center" vertical="top"/>
    </xf>
    <xf numFmtId="0" fontId="122" fillId="0" borderId="12" xfId="4495" applyBorder="1"/>
    <xf numFmtId="0" fontId="27" fillId="0" borderId="9" xfId="4495" applyFont="1" applyBorder="1"/>
    <xf numFmtId="0" fontId="122" fillId="0" borderId="10" xfId="4495" applyBorder="1"/>
    <xf numFmtId="0" fontId="35" fillId="0" borderId="3" xfId="4495" applyFont="1" applyBorder="1"/>
    <xf numFmtId="0" fontId="26" fillId="0" borderId="4" xfId="4495" applyFont="1" applyBorder="1"/>
    <xf numFmtId="0" fontId="122" fillId="0" borderId="12" xfId="4495" applyBorder="1" applyAlignment="1">
      <alignment vertical="top"/>
    </xf>
    <xf numFmtId="0" fontId="35" fillId="0" borderId="1" xfId="4495" applyFont="1" applyBorder="1"/>
    <xf numFmtId="0" fontId="131" fillId="0" borderId="2" xfId="4495" applyFont="1" applyBorder="1" applyAlignment="1">
      <alignment horizontal="left" wrapText="1"/>
    </xf>
    <xf numFmtId="0" fontId="131" fillId="0" borderId="2" xfId="4495" applyFont="1" applyBorder="1" applyAlignment="1">
      <alignment horizontal="left"/>
    </xf>
    <xf numFmtId="0" fontId="131" fillId="0" borderId="7" xfId="4495" applyFont="1" applyBorder="1" applyAlignment="1">
      <alignment horizontal="left" wrapText="1"/>
    </xf>
    <xf numFmtId="0" fontId="131" fillId="0" borderId="0" xfId="4495" applyFont="1" applyAlignment="1">
      <alignment horizontal="left" wrapText="1"/>
    </xf>
    <xf numFmtId="0" fontId="35" fillId="0" borderId="9" xfId="4495" applyFont="1" applyBorder="1"/>
    <xf numFmtId="0" fontId="27" fillId="0" borderId="10" xfId="4495" applyFont="1" applyBorder="1"/>
    <xf numFmtId="0" fontId="131" fillId="0" borderId="0" xfId="4495" applyFont="1" applyAlignment="1">
      <alignment wrapText="1"/>
    </xf>
    <xf numFmtId="0" fontId="35" fillId="0" borderId="9" xfId="4495" applyFont="1" applyBorder="1" applyAlignment="1">
      <alignment horizontal="center"/>
    </xf>
    <xf numFmtId="0" fontId="26" fillId="0" borderId="10" xfId="4495" applyFont="1" applyBorder="1"/>
    <xf numFmtId="0" fontId="37" fillId="0" borderId="0" xfId="4495" applyFont="1"/>
    <xf numFmtId="0" fontId="27" fillId="0" borderId="50" xfId="4495" applyFont="1" applyBorder="1"/>
    <xf numFmtId="0" fontId="27" fillId="0" borderId="51" xfId="4495" applyFont="1" applyBorder="1"/>
    <xf numFmtId="1" fontId="27" fillId="0" borderId="51" xfId="4495" quotePrefix="1" applyNumberFormat="1" applyFont="1" applyBorder="1" applyAlignment="1">
      <alignment horizontal="center" vertical="top"/>
    </xf>
    <xf numFmtId="0" fontId="26" fillId="0" borderId="51" xfId="4495" applyFont="1" applyBorder="1"/>
    <xf numFmtId="0" fontId="26" fillId="0" borderId="52" xfId="4495" applyFont="1" applyBorder="1" applyAlignment="1">
      <alignment horizontal="center"/>
    </xf>
    <xf numFmtId="0" fontId="19" fillId="0" borderId="53" xfId="4495" applyFont="1" applyBorder="1"/>
    <xf numFmtId="1" fontId="27" fillId="0" borderId="0" xfId="4495" quotePrefix="1" applyNumberFormat="1" applyFont="1" applyAlignment="1">
      <alignment horizontal="center" vertical="top"/>
    </xf>
    <xf numFmtId="0" fontId="26" fillId="0" borderId="54" xfId="4495" applyFont="1" applyBorder="1" applyAlignment="1">
      <alignment horizontal="center"/>
    </xf>
    <xf numFmtId="0" fontId="35" fillId="0" borderId="0" xfId="4495" applyFont="1" applyAlignment="1">
      <alignment vertical="top"/>
    </xf>
    <xf numFmtId="0" fontId="27" fillId="0" borderId="61" xfId="4495" applyFont="1" applyBorder="1"/>
    <xf numFmtId="0" fontId="122" fillId="0" borderId="58" xfId="4495" applyBorder="1" applyAlignment="1">
      <alignment horizontal="center"/>
    </xf>
    <xf numFmtId="1" fontId="27" fillId="0" borderId="58" xfId="4495" quotePrefix="1" applyNumberFormat="1" applyFont="1" applyBorder="1" applyAlignment="1">
      <alignment horizontal="center" vertical="top"/>
    </xf>
    <xf numFmtId="0" fontId="35" fillId="0" borderId="58" xfId="4495" applyFont="1" applyBorder="1" applyAlignment="1">
      <alignment vertical="top"/>
    </xf>
    <xf numFmtId="0" fontId="27" fillId="0" borderId="58" xfId="4495" applyFont="1" applyBorder="1" applyAlignment="1">
      <alignment vertical="top" wrapText="1"/>
    </xf>
    <xf numFmtId="0" fontId="27" fillId="0" borderId="58" xfId="4495" applyFont="1" applyBorder="1"/>
    <xf numFmtId="0" fontId="26" fillId="0" borderId="58" xfId="4495" applyFont="1" applyBorder="1" applyAlignment="1">
      <alignment horizontal="center"/>
    </xf>
    <xf numFmtId="0" fontId="122" fillId="0" borderId="61" xfId="4495" applyBorder="1"/>
    <xf numFmtId="0" fontId="122" fillId="0" borderId="0" xfId="4495" applyAlignment="1">
      <alignment horizontal="center"/>
    </xf>
    <xf numFmtId="0" fontId="19" fillId="0" borderId="53" xfId="543" applyBorder="1"/>
    <xf numFmtId="0" fontId="27" fillId="0" borderId="54" xfId="4495" applyFont="1" applyBorder="1"/>
    <xf numFmtId="0" fontId="19" fillId="0" borderId="58" xfId="543" applyBorder="1"/>
    <xf numFmtId="1" fontId="27" fillId="0" borderId="58" xfId="4495" applyNumberFormat="1" applyFont="1" applyBorder="1" applyAlignment="1">
      <alignment horizontal="center" vertical="top"/>
    </xf>
    <xf numFmtId="0" fontId="35" fillId="0" borderId="58" xfId="4495" applyFont="1" applyBorder="1" applyAlignment="1">
      <alignment vertical="center"/>
    </xf>
    <xf numFmtId="0" fontId="122" fillId="0" borderId="58" xfId="4495" applyBorder="1" applyAlignment="1">
      <alignment vertical="top" wrapText="1"/>
    </xf>
    <xf numFmtId="0" fontId="19" fillId="0" borderId="58" xfId="4495" applyFont="1" applyBorder="1"/>
    <xf numFmtId="0" fontId="35" fillId="0" borderId="0" xfId="4495" applyFont="1" applyAlignment="1">
      <alignment vertical="center"/>
    </xf>
    <xf numFmtId="0" fontId="27" fillId="0" borderId="53" xfId="4495" applyFont="1" applyBorder="1"/>
    <xf numFmtId="0" fontId="19" fillId="0" borderId="57" xfId="543" applyBorder="1"/>
    <xf numFmtId="0" fontId="27" fillId="0" borderId="58" xfId="4495" applyFont="1" applyBorder="1" applyAlignment="1">
      <alignment vertical="top"/>
    </xf>
    <xf numFmtId="0" fontId="27" fillId="0" borderId="59" xfId="4495" applyFont="1" applyBorder="1"/>
    <xf numFmtId="0" fontId="27" fillId="0" borderId="57" xfId="4495" applyFont="1" applyBorder="1"/>
    <xf numFmtId="0" fontId="19" fillId="0" borderId="51" xfId="4495" applyFont="1" applyBorder="1"/>
    <xf numFmtId="0" fontId="27" fillId="0" borderId="52" xfId="4495" applyFont="1" applyBorder="1"/>
    <xf numFmtId="0" fontId="19" fillId="0" borderId="50" xfId="543" applyBorder="1"/>
    <xf numFmtId="0" fontId="19" fillId="0" borderId="51" xfId="543" applyBorder="1"/>
    <xf numFmtId="0" fontId="19" fillId="0" borderId="52" xfId="543" applyBorder="1"/>
    <xf numFmtId="0" fontId="27" fillId="0" borderId="0" xfId="4495" applyFont="1" applyAlignment="1">
      <alignment wrapText="1"/>
    </xf>
    <xf numFmtId="0" fontId="26" fillId="0" borderId="54" xfId="4495" applyFont="1" applyBorder="1" applyAlignment="1">
      <alignment horizontal="center" vertical="top"/>
    </xf>
    <xf numFmtId="0" fontId="122" fillId="0" borderId="53" xfId="4495" applyBorder="1" applyAlignment="1">
      <alignment horizontal="center"/>
    </xf>
    <xf numFmtId="2" fontId="27" fillId="0" borderId="0" xfId="4495" applyNumberFormat="1" applyFont="1" applyAlignment="1">
      <alignment horizontal="right"/>
    </xf>
    <xf numFmtId="2" fontId="27" fillId="0" borderId="8" xfId="4495" applyNumberFormat="1" applyFont="1" applyBorder="1" applyAlignment="1">
      <alignment horizontal="left"/>
    </xf>
    <xf numFmtId="0" fontId="27" fillId="0" borderId="8" xfId="4495" applyFont="1" applyBorder="1" applyAlignment="1">
      <alignment horizontal="right"/>
    </xf>
    <xf numFmtId="0" fontId="130" fillId="0" borderId="0" xfId="4495" applyFont="1"/>
    <xf numFmtId="0" fontId="122" fillId="0" borderId="57" xfId="4495" applyBorder="1" applyAlignment="1">
      <alignment horizontal="center"/>
    </xf>
    <xf numFmtId="0" fontId="26" fillId="0" borderId="59" xfId="4495" applyFont="1" applyBorder="1" applyAlignment="1">
      <alignment horizontal="center"/>
    </xf>
    <xf numFmtId="9" fontId="27" fillId="0" borderId="0" xfId="4495" applyNumberFormat="1" applyFont="1" applyAlignment="1">
      <alignment horizontal="left"/>
    </xf>
    <xf numFmtId="0" fontId="19" fillId="0" borderId="17" xfId="543" applyBorder="1"/>
    <xf numFmtId="0" fontId="19" fillId="0" borderId="16" xfId="543" applyBorder="1"/>
    <xf numFmtId="0" fontId="19" fillId="0" borderId="51" xfId="4495" quotePrefix="1" applyFont="1" applyBorder="1" applyAlignment="1">
      <alignment horizontal="center" vertical="top"/>
    </xf>
    <xf numFmtId="0" fontId="27" fillId="0" borderId="53" xfId="4495" applyFont="1" applyBorder="1" applyAlignment="1">
      <alignment horizontal="left" vertical="top"/>
    </xf>
    <xf numFmtId="0" fontId="27" fillId="0" borderId="0" xfId="4495" applyFont="1" applyAlignment="1">
      <alignment horizontal="center" vertical="top"/>
    </xf>
    <xf numFmtId="0" fontId="27" fillId="0" borderId="57" xfId="4495" applyFont="1" applyBorder="1" applyAlignment="1">
      <alignment horizontal="left" vertical="top"/>
    </xf>
    <xf numFmtId="0" fontId="27" fillId="0" borderId="58" xfId="4495" applyFont="1" applyBorder="1" applyAlignment="1">
      <alignment horizontal="center" vertical="top"/>
    </xf>
    <xf numFmtId="0" fontId="122" fillId="0" borderId="58" xfId="4495" applyBorder="1"/>
    <xf numFmtId="0" fontId="26" fillId="0" borderId="58" xfId="4495" applyFont="1" applyBorder="1" applyAlignment="1">
      <alignment vertical="top"/>
    </xf>
    <xf numFmtId="0" fontId="26" fillId="0" borderId="58" xfId="4495" applyFont="1" applyBorder="1" applyAlignment="1">
      <alignment horizontal="left" vertical="top"/>
    </xf>
    <xf numFmtId="0" fontId="26" fillId="0" borderId="51" xfId="4495" applyFont="1" applyBorder="1" applyAlignment="1">
      <alignment horizontal="left" vertical="top"/>
    </xf>
    <xf numFmtId="0" fontId="26" fillId="0" borderId="53" xfId="4495" applyFont="1" applyBorder="1" applyAlignment="1">
      <alignment horizontal="left" vertical="top"/>
    </xf>
    <xf numFmtId="0" fontId="55" fillId="0" borderId="0" xfId="4495" applyFont="1" applyAlignment="1">
      <alignment horizontal="left" vertical="top"/>
    </xf>
    <xf numFmtId="0" fontId="27" fillId="0" borderId="0" xfId="4495" quotePrefix="1" applyFont="1" applyAlignment="1">
      <alignment horizontal="center" vertical="top"/>
    </xf>
    <xf numFmtId="0" fontId="56" fillId="0" borderId="0" xfId="4495" applyFont="1" applyAlignment="1">
      <alignment horizontal="center"/>
    </xf>
    <xf numFmtId="0" fontId="56" fillId="0" borderId="0" xfId="4495" applyFont="1" applyAlignment="1">
      <alignment vertical="top"/>
    </xf>
    <xf numFmtId="0" fontId="109" fillId="0" borderId="0" xfId="4495" applyFont="1"/>
    <xf numFmtId="0" fontId="55" fillId="0" borderId="0" xfId="4495" applyFont="1" applyAlignment="1">
      <alignment vertical="top"/>
    </xf>
    <xf numFmtId="0" fontId="35" fillId="0" borderId="53" xfId="4495" applyFont="1" applyBorder="1"/>
    <xf numFmtId="2" fontId="27" fillId="0" borderId="8" xfId="4495" applyNumberFormat="1" applyFont="1" applyBorder="1" applyAlignment="1">
      <alignment horizontal="right"/>
    </xf>
    <xf numFmtId="0" fontId="26" fillId="0" borderId="50" xfId="4495" applyFont="1" applyBorder="1" applyAlignment="1">
      <alignment horizontal="left" vertical="top"/>
    </xf>
    <xf numFmtId="0" fontId="55" fillId="0" borderId="51" xfId="4495" applyFont="1" applyBorder="1" applyAlignment="1">
      <alignment horizontal="left" vertical="top"/>
    </xf>
    <xf numFmtId="0" fontId="122" fillId="0" borderId="53" xfId="4495" applyBorder="1"/>
    <xf numFmtId="0" fontId="109" fillId="0" borderId="0" xfId="4495" applyFont="1" applyAlignment="1">
      <alignment horizontal="left" vertical="top"/>
    </xf>
    <xf numFmtId="1" fontId="26" fillId="0" borderId="58" xfId="4495" applyNumberFormat="1" applyFont="1" applyBorder="1" applyAlignment="1">
      <alignment vertical="top"/>
    </xf>
    <xf numFmtId="172" fontId="26" fillId="0" borderId="8" xfId="543" applyNumberFormat="1" applyFont="1" applyBorder="1"/>
    <xf numFmtId="172" fontId="26" fillId="0" borderId="0" xfId="543" applyNumberFormat="1" applyFont="1"/>
    <xf numFmtId="0" fontId="35" fillId="0" borderId="0" xfId="4495" applyFont="1" applyAlignment="1">
      <alignment wrapText="1"/>
    </xf>
    <xf numFmtId="0" fontId="35" fillId="0" borderId="0" xfId="4495" applyFont="1" applyAlignment="1">
      <alignment horizontal="center"/>
    </xf>
    <xf numFmtId="0" fontId="35" fillId="0" borderId="0" xfId="4495" applyFont="1" applyAlignment="1">
      <alignment vertical="center" wrapText="1"/>
    </xf>
    <xf numFmtId="180" fontId="27" fillId="0" borderId="0" xfId="4495" applyNumberFormat="1" applyFont="1" applyAlignment="1">
      <alignment horizontal="center"/>
    </xf>
    <xf numFmtId="1" fontId="27" fillId="0" borderId="0" xfId="4495" applyNumberFormat="1" applyFont="1" applyAlignment="1">
      <alignment horizontal="center"/>
    </xf>
    <xf numFmtId="0" fontId="26" fillId="0" borderId="51" xfId="4495" applyFont="1" applyBorder="1" applyAlignment="1">
      <alignment horizontal="center"/>
    </xf>
    <xf numFmtId="0" fontId="26" fillId="0" borderId="51" xfId="4495" applyFont="1" applyBorder="1" applyAlignment="1">
      <alignment vertical="top"/>
    </xf>
    <xf numFmtId="0" fontId="26" fillId="0" borderId="53" xfId="4495" applyFont="1" applyBorder="1"/>
    <xf numFmtId="0" fontId="19" fillId="0" borderId="54" xfId="543" applyBorder="1"/>
    <xf numFmtId="49" fontId="27" fillId="0" borderId="0" xfId="4495" applyNumberFormat="1" applyFont="1" applyAlignment="1">
      <alignment horizontal="left" vertical="center" wrapText="1"/>
    </xf>
    <xf numFmtId="0" fontId="19" fillId="0" borderId="57" xfId="4495" applyFont="1" applyBorder="1"/>
    <xf numFmtId="1" fontId="19" fillId="0" borderId="0" xfId="4495" applyNumberFormat="1" applyFont="1" applyAlignment="1">
      <alignment vertical="center"/>
    </xf>
    <xf numFmtId="0" fontId="37" fillId="0" borderId="50" xfId="4495" applyFont="1" applyBorder="1"/>
    <xf numFmtId="0" fontId="27" fillId="0" borderId="51" xfId="4495" applyFont="1" applyBorder="1" applyAlignment="1">
      <alignment horizontal="center" vertical="top"/>
    </xf>
    <xf numFmtId="0" fontId="27" fillId="0" borderId="51" xfId="4495" applyFont="1" applyBorder="1" applyAlignment="1">
      <alignment vertical="top" wrapText="1"/>
    </xf>
    <xf numFmtId="0" fontId="27" fillId="0" borderId="51" xfId="4495" applyFont="1" applyBorder="1" applyAlignment="1">
      <alignment horizontal="left" vertical="top" wrapText="1"/>
    </xf>
    <xf numFmtId="0" fontId="19" fillId="0" borderId="0" xfId="4495" quotePrefix="1" applyFont="1" applyAlignment="1">
      <alignment horizontal="center" vertical="top"/>
    </xf>
    <xf numFmtId="1" fontId="27" fillId="0" borderId="0" xfId="4495" quotePrefix="1" applyNumberFormat="1" applyFont="1" applyAlignment="1">
      <alignment wrapText="1"/>
    </xf>
    <xf numFmtId="0" fontId="27" fillId="0" borderId="6" xfId="4495" applyFont="1" applyBorder="1" applyAlignment="1">
      <alignment horizontal="right"/>
    </xf>
    <xf numFmtId="0" fontId="124" fillId="0" borderId="0" xfId="4496" applyFont="1" applyAlignment="1">
      <alignment wrapText="1"/>
    </xf>
    <xf numFmtId="0" fontId="19" fillId="0" borderId="0" xfId="4496" applyFont="1" applyAlignment="1">
      <alignment wrapText="1"/>
    </xf>
    <xf numFmtId="0" fontId="35" fillId="0" borderId="51" xfId="4495" applyFont="1" applyBorder="1" applyAlignment="1">
      <alignment vertical="top"/>
    </xf>
    <xf numFmtId="0" fontId="19" fillId="0" borderId="51" xfId="4496" applyFont="1" applyBorder="1" applyAlignment="1">
      <alignment wrapText="1"/>
    </xf>
    <xf numFmtId="0" fontId="26" fillId="0" borderId="51" xfId="4495" applyFont="1" applyBorder="1" applyAlignment="1">
      <alignment horizontal="right"/>
    </xf>
    <xf numFmtId="0" fontId="19" fillId="0" borderId="52" xfId="4495" applyFont="1" applyBorder="1" applyAlignment="1">
      <alignment horizontal="center"/>
    </xf>
    <xf numFmtId="0" fontId="19" fillId="0" borderId="53" xfId="4495" applyFont="1" applyBorder="1" applyAlignment="1">
      <alignment horizontal="left" vertical="top"/>
    </xf>
    <xf numFmtId="0" fontId="19" fillId="0" borderId="54" xfId="4495" applyFont="1" applyBorder="1" applyAlignment="1">
      <alignment horizontal="left" vertical="top"/>
    </xf>
    <xf numFmtId="0" fontId="19" fillId="0" borderId="54" xfId="4495" applyFont="1" applyBorder="1" applyAlignment="1">
      <alignment horizontal="center"/>
    </xf>
    <xf numFmtId="0" fontId="19" fillId="0" borderId="59" xfId="4495" applyFont="1" applyBorder="1" applyAlignment="1">
      <alignment horizontal="center"/>
    </xf>
    <xf numFmtId="9" fontId="19" fillId="0" borderId="0" xfId="4496" applyNumberFormat="1" applyFont="1" applyAlignment="1">
      <alignment horizontal="center"/>
    </xf>
    <xf numFmtId="1" fontId="19" fillId="0" borderId="0" xfId="543" applyNumberFormat="1"/>
    <xf numFmtId="0" fontId="27" fillId="0" borderId="1" xfId="4495" applyFont="1" applyBorder="1"/>
    <xf numFmtId="0" fontId="26" fillId="0" borderId="0" xfId="4495" applyFont="1" applyAlignment="1">
      <alignment horizontal="center" wrapText="1"/>
    </xf>
    <xf numFmtId="0" fontId="26" fillId="0" borderId="9" xfId="4495" applyFont="1" applyBorder="1" applyAlignment="1">
      <alignment horizontal="left"/>
    </xf>
    <xf numFmtId="0" fontId="26" fillId="0" borderId="3" xfId="4495" applyFont="1" applyBorder="1" applyAlignment="1">
      <alignment horizontal="left"/>
    </xf>
    <xf numFmtId="0" fontId="26" fillId="0" borderId="4" xfId="4495" applyFont="1" applyBorder="1" applyAlignment="1">
      <alignment horizontal="left"/>
    </xf>
    <xf numFmtId="0" fontId="19" fillId="0" borderId="2" xfId="4495" applyFont="1" applyBorder="1" applyAlignment="1">
      <alignment horizontal="left"/>
    </xf>
    <xf numFmtId="0" fontId="26" fillId="0" borderId="2" xfId="4495" applyFont="1" applyBorder="1" applyAlignment="1">
      <alignment horizontal="left"/>
    </xf>
    <xf numFmtId="0" fontId="26" fillId="0" borderId="5" xfId="4495" applyFont="1" applyBorder="1" applyAlignment="1">
      <alignment horizontal="left"/>
    </xf>
    <xf numFmtId="180" fontId="66" fillId="0" borderId="0" xfId="4495" applyNumberFormat="1" applyFont="1" applyAlignment="1">
      <alignment horizontal="center" vertical="center"/>
    </xf>
    <xf numFmtId="0" fontId="19" fillId="0" borderId="12" xfId="4495" applyFont="1" applyBorder="1" applyAlignment="1">
      <alignment vertical="top"/>
    </xf>
    <xf numFmtId="0" fontId="49" fillId="0" borderId="0" xfId="4495" applyFont="1" applyAlignment="1">
      <alignment vertical="top" wrapText="1"/>
    </xf>
    <xf numFmtId="0" fontId="19" fillId="0" borderId="51" xfId="4495" applyFont="1" applyBorder="1" applyAlignment="1">
      <alignment horizontal="left" vertical="top" wrapText="1"/>
    </xf>
    <xf numFmtId="0" fontId="19" fillId="0" borderId="51" xfId="4495" applyFont="1" applyBorder="1" applyAlignment="1">
      <alignment horizontal="right"/>
    </xf>
    <xf numFmtId="0" fontId="19" fillId="0" borderId="52" xfId="4495" applyFont="1" applyBorder="1" applyAlignment="1">
      <alignment horizontal="right"/>
    </xf>
    <xf numFmtId="0" fontId="19" fillId="0" borderId="54" xfId="4495" applyFont="1" applyBorder="1" applyAlignment="1">
      <alignment horizontal="right"/>
    </xf>
    <xf numFmtId="0" fontId="19" fillId="0" borderId="58" xfId="4495" applyFont="1" applyBorder="1" applyAlignment="1">
      <alignment horizontal="left" vertical="top" wrapText="1"/>
    </xf>
    <xf numFmtId="0" fontId="19" fillId="0" borderId="58" xfId="4495" applyFont="1" applyBorder="1" applyAlignment="1">
      <alignment horizontal="right"/>
    </xf>
    <xf numFmtId="0" fontId="19" fillId="0" borderId="59" xfId="4495" applyFont="1" applyBorder="1" applyAlignment="1">
      <alignment horizontal="right"/>
    </xf>
    <xf numFmtId="0" fontId="49" fillId="0" borderId="0" xfId="4495" applyFont="1" applyAlignment="1">
      <alignment horizontal="left" vertical="top" wrapText="1"/>
    </xf>
    <xf numFmtId="0" fontId="19" fillId="0" borderId="0" xfId="1192" applyAlignment="1">
      <alignment horizontal="left" vertical="top"/>
    </xf>
    <xf numFmtId="0" fontId="37" fillId="0" borderId="0" xfId="1192" applyFont="1" applyAlignment="1">
      <alignment horizontal="left" vertical="top"/>
    </xf>
    <xf numFmtId="0" fontId="19" fillId="0" borderId="0" xfId="1192" applyAlignment="1">
      <alignment vertical="top"/>
    </xf>
    <xf numFmtId="168" fontId="19" fillId="0" borderId="0" xfId="1192" applyNumberFormat="1"/>
    <xf numFmtId="165" fontId="19" fillId="0" borderId="0" xfId="1192" applyNumberFormat="1"/>
    <xf numFmtId="165" fontId="19" fillId="0" borderId="0" xfId="1192" applyNumberFormat="1" applyAlignment="1">
      <alignment horizontal="right"/>
    </xf>
    <xf numFmtId="2" fontId="19" fillId="0" borderId="0" xfId="1192" applyNumberFormat="1"/>
    <xf numFmtId="6" fontId="19" fillId="0" borderId="0" xfId="1192" applyNumberFormat="1"/>
    <xf numFmtId="0" fontId="26" fillId="0" borderId="0" xfId="1192" applyFont="1"/>
    <xf numFmtId="0" fontId="49" fillId="0" borderId="0" xfId="1192" applyFont="1"/>
    <xf numFmtId="168" fontId="19" fillId="0" borderId="0" xfId="4495" applyNumberFormat="1" applyFont="1"/>
    <xf numFmtId="0" fontId="26" fillId="0" borderId="0" xfId="1192" applyFont="1" applyAlignment="1">
      <alignment vertical="center"/>
    </xf>
    <xf numFmtId="0" fontId="120" fillId="0" borderId="0" xfId="1192" applyFont="1" applyAlignment="1">
      <alignment horizontal="left"/>
    </xf>
    <xf numFmtId="0" fontId="117" fillId="0" borderId="0" xfId="1192" applyFont="1" applyAlignment="1">
      <alignment horizontal="left"/>
    </xf>
    <xf numFmtId="0" fontId="117" fillId="0" borderId="0" xfId="1192" applyFont="1" applyAlignment="1">
      <alignment horizontal="center"/>
    </xf>
    <xf numFmtId="168" fontId="19" fillId="0" borderId="0" xfId="1192" applyNumberFormat="1" applyAlignment="1">
      <alignment horizontal="center"/>
    </xf>
    <xf numFmtId="9" fontId="19" fillId="0" borderId="0" xfId="1192" applyNumberFormat="1"/>
    <xf numFmtId="0" fontId="19" fillId="0" borderId="0" xfId="1192" applyAlignment="1">
      <alignment horizontal="right"/>
    </xf>
    <xf numFmtId="0" fontId="19" fillId="0" borderId="53" xfId="4495" applyFont="1" applyBorder="1" applyAlignment="1">
      <alignment horizontal="left"/>
    </xf>
    <xf numFmtId="6" fontId="26" fillId="0" borderId="0" xfId="1192" applyNumberFormat="1" applyFont="1" applyAlignment="1">
      <alignment horizontal="right"/>
    </xf>
    <xf numFmtId="165" fontId="19" fillId="0" borderId="0" xfId="4495" applyNumberFormat="1" applyFont="1"/>
    <xf numFmtId="0" fontId="56" fillId="0" borderId="4" xfId="4495" applyFont="1" applyBorder="1"/>
    <xf numFmtId="0" fontId="39" fillId="0" borderId="0" xfId="543" applyFont="1" applyAlignment="1">
      <alignment vertical="center" wrapText="1"/>
    </xf>
    <xf numFmtId="1" fontId="26" fillId="0" borderId="13" xfId="271" applyNumberFormat="1" applyFont="1" applyBorder="1"/>
    <xf numFmtId="1" fontId="28" fillId="0" borderId="13" xfId="271" applyNumberFormat="1" applyBorder="1"/>
    <xf numFmtId="0" fontId="19" fillId="0" borderId="11" xfId="0" applyFont="1" applyBorder="1"/>
    <xf numFmtId="9" fontId="19" fillId="0" borderId="0" xfId="4495" applyNumberFormat="1" applyFont="1"/>
    <xf numFmtId="165" fontId="124" fillId="0" borderId="0" xfId="4496" applyNumberFormat="1" applyFont="1" applyAlignment="1">
      <alignment horizontal="center" vertical="top" wrapText="1"/>
    </xf>
    <xf numFmtId="168" fontId="124" fillId="0" borderId="0" xfId="4496" applyNumberFormat="1" applyFont="1" applyAlignment="1">
      <alignment vertical="top" wrapText="1"/>
    </xf>
    <xf numFmtId="165" fontId="124" fillId="0" borderId="64" xfId="4496" applyNumberFormat="1" applyFont="1" applyBorder="1" applyAlignment="1">
      <alignment horizontal="center" vertical="top" wrapText="1"/>
    </xf>
    <xf numFmtId="165" fontId="124" fillId="0" borderId="53" xfId="4496" applyNumberFormat="1" applyFont="1" applyBorder="1" applyAlignment="1">
      <alignment horizontal="left" vertical="top"/>
    </xf>
    <xf numFmtId="165" fontId="124" fillId="0" borderId="53" xfId="4496" applyNumberFormat="1" applyFont="1" applyBorder="1" applyAlignment="1">
      <alignment horizontal="center" vertical="top" wrapText="1"/>
    </xf>
    <xf numFmtId="168" fontId="124" fillId="0" borderId="0" xfId="4496" applyNumberFormat="1" applyFont="1" applyAlignment="1">
      <alignment vertical="top"/>
    </xf>
    <xf numFmtId="1" fontId="124" fillId="0" borderId="0" xfId="4496" applyNumberFormat="1" applyFont="1" applyAlignment="1">
      <alignment vertical="top" wrapText="1"/>
    </xf>
    <xf numFmtId="164" fontId="27" fillId="0" borderId="0" xfId="4495" applyNumberFormat="1" applyFont="1"/>
    <xf numFmtId="0" fontId="26" fillId="0" borderId="8" xfId="0" applyFont="1" applyBorder="1" applyAlignment="1">
      <alignment horizontal="center" vertical="center" wrapText="1"/>
    </xf>
    <xf numFmtId="0" fontId="26"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2" fillId="0" borderId="50" xfId="1192" applyFont="1" applyBorder="1" applyAlignment="1">
      <alignment horizontal="left"/>
    </xf>
    <xf numFmtId="0" fontId="143" fillId="0" borderId="51" xfId="4495" applyFont="1" applyBorder="1" applyAlignment="1">
      <alignment vertical="top"/>
    </xf>
    <xf numFmtId="0" fontId="142" fillId="0" borderId="51" xfId="4495" applyFont="1" applyBorder="1" applyAlignment="1">
      <alignment vertical="top" wrapText="1"/>
    </xf>
    <xf numFmtId="0" fontId="143" fillId="0" borderId="51" xfId="4495" applyFont="1" applyBorder="1"/>
    <xf numFmtId="0" fontId="143" fillId="0" borderId="53" xfId="1192" applyFont="1" applyBorder="1" applyAlignment="1">
      <alignment horizontal="left"/>
    </xf>
    <xf numFmtId="0" fontId="143" fillId="0" borderId="0" xfId="4495" applyFont="1" applyAlignment="1">
      <alignment vertical="top"/>
    </xf>
    <xf numFmtId="0" fontId="142" fillId="0" borderId="0" xfId="4495" applyFont="1" applyAlignment="1">
      <alignment vertical="top" wrapText="1"/>
    </xf>
    <xf numFmtId="0" fontId="143" fillId="0" borderId="0" xfId="4495" applyFont="1"/>
    <xf numFmtId="0" fontId="142" fillId="0" borderId="53" xfId="1192" applyFont="1" applyBorder="1" applyAlignment="1">
      <alignment horizontal="left"/>
    </xf>
    <xf numFmtId="0" fontId="142" fillId="0" borderId="57" xfId="1192" applyFont="1" applyBorder="1" applyAlignment="1">
      <alignment horizontal="left"/>
    </xf>
    <xf numFmtId="0" fontId="143" fillId="0" borderId="58" xfId="4495" applyFont="1" applyBorder="1" applyAlignment="1">
      <alignment vertical="top"/>
    </xf>
    <xf numFmtId="0" fontId="142" fillId="0" borderId="58" xfId="4495" applyFont="1" applyBorder="1" applyAlignment="1">
      <alignment vertical="top" wrapText="1"/>
    </xf>
    <xf numFmtId="0" fontId="143" fillId="0" borderId="58" xfId="4495" applyFont="1" applyBorder="1"/>
    <xf numFmtId="0" fontId="28" fillId="0" borderId="3" xfId="0" applyFont="1" applyBorder="1" applyAlignment="1">
      <alignment horizontal="center"/>
    </xf>
    <xf numFmtId="0" fontId="28" fillId="0" borderId="4" xfId="0" applyFont="1" applyBorder="1" applyAlignment="1">
      <alignment horizontal="center"/>
    </xf>
    <xf numFmtId="0" fontId="28" fillId="0" borderId="5" xfId="0" applyFont="1" applyBorder="1" applyAlignment="1">
      <alignment horizontal="center"/>
    </xf>
    <xf numFmtId="0" fontId="26" fillId="0" borderId="7" xfId="0" applyFont="1" applyBorder="1" applyAlignment="1">
      <alignment horizontal="right"/>
    </xf>
    <xf numFmtId="0" fontId="0" fillId="0" borderId="0" xfId="0" applyAlignment="1" applyProtection="1">
      <alignment horizontal="left" vertical="top" wrapText="1"/>
      <protection locked="0"/>
    </xf>
    <xf numFmtId="0" fontId="19" fillId="0" borderId="9" xfId="0" applyFont="1" applyBorder="1" applyAlignment="1">
      <alignment horizontal="left"/>
    </xf>
    <xf numFmtId="0" fontId="19" fillId="0" borderId="6" xfId="0" applyFont="1" applyBorder="1"/>
    <xf numFmtId="0" fontId="19" fillId="0" borderId="9" xfId="0" applyFont="1" applyBorder="1"/>
    <xf numFmtId="0" fontId="52" fillId="0" borderId="0" xfId="0" applyFont="1" applyAlignment="1">
      <alignment horizontal="center"/>
    </xf>
    <xf numFmtId="0" fontId="25" fillId="0" borderId="0" xfId="0" applyFont="1" applyAlignment="1">
      <alignment horizontal="center" vertical="center" wrapText="1"/>
    </xf>
    <xf numFmtId="0" fontId="34" fillId="0" borderId="0" xfId="0" applyFont="1" applyAlignment="1">
      <alignment horizontal="center"/>
    </xf>
    <xf numFmtId="0" fontId="27" fillId="0" borderId="0" xfId="0" applyFont="1" applyAlignment="1">
      <alignment horizontal="center"/>
    </xf>
    <xf numFmtId="0" fontId="26" fillId="0" borderId="3" xfId="0" applyFont="1" applyBorder="1"/>
    <xf numFmtId="0" fontId="26" fillId="0" borderId="4" xfId="271" applyFont="1" applyBorder="1"/>
    <xf numFmtId="0" fontId="26" fillId="0" borderId="3" xfId="271" applyFont="1" applyBorder="1"/>
    <xf numFmtId="0" fontId="26" fillId="0" borderId="5" xfId="271" applyFont="1" applyBorder="1"/>
    <xf numFmtId="0" fontId="19" fillId="0" borderId="58" xfId="4495" applyFont="1" applyBorder="1" applyAlignment="1">
      <alignment vertical="center" wrapText="1"/>
    </xf>
    <xf numFmtId="0" fontId="19" fillId="0" borderId="59" xfId="4495" applyFont="1" applyBorder="1" applyAlignment="1">
      <alignment vertical="center" wrapText="1"/>
    </xf>
    <xf numFmtId="0" fontId="19" fillId="0" borderId="0" xfId="4495" applyFont="1" applyAlignment="1">
      <alignment horizontal="left" vertical="center" wrapText="1"/>
    </xf>
    <xf numFmtId="0" fontId="26" fillId="0" borderId="5" xfId="0" applyFont="1" applyBorder="1"/>
    <xf numFmtId="168" fontId="24" fillId="43" borderId="0" xfId="0" applyNumberFormat="1" applyFont="1" applyFill="1"/>
    <xf numFmtId="9" fontId="27" fillId="0" borderId="0" xfId="543" applyNumberFormat="1" applyFont="1" applyAlignment="1">
      <alignment horizontal="center"/>
    </xf>
    <xf numFmtId="171" fontId="19" fillId="0" borderId="0" xfId="543" applyNumberFormat="1"/>
    <xf numFmtId="171" fontId="19" fillId="0" borderId="11" xfId="543" applyNumberFormat="1" applyBorder="1"/>
    <xf numFmtId="1" fontId="19" fillId="0" borderId="11" xfId="543" applyNumberFormat="1" applyBorder="1" applyAlignment="1">
      <alignment horizontal="center"/>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46" fillId="0" borderId="8" xfId="543" applyFont="1" applyBorder="1" applyAlignment="1">
      <alignment vertical="center" wrapText="1"/>
    </xf>
    <xf numFmtId="0" fontId="46" fillId="0" borderId="0" xfId="543" applyFont="1" applyAlignment="1">
      <alignment vertical="center" wrapText="1"/>
    </xf>
    <xf numFmtId="0" fontId="46" fillId="0" borderId="12" xfId="543" applyFont="1" applyBorder="1" applyAlignment="1">
      <alignment vertical="center" wrapText="1"/>
    </xf>
    <xf numFmtId="0" fontId="46" fillId="0" borderId="9" xfId="543" applyFont="1" applyBorder="1" applyAlignment="1">
      <alignment vertical="center" wrapText="1"/>
    </xf>
    <xf numFmtId="0" fontId="46" fillId="0" borderId="6" xfId="543" applyFont="1" applyBorder="1" applyAlignment="1">
      <alignment vertical="center" wrapText="1"/>
    </xf>
    <xf numFmtId="0" fontId="46" fillId="0" borderId="10" xfId="543" applyFont="1" applyBorder="1" applyAlignment="1">
      <alignment vertical="center" wrapText="1"/>
    </xf>
    <xf numFmtId="0" fontId="39" fillId="0" borderId="12" xfId="543" applyFont="1" applyBorder="1" applyAlignment="1">
      <alignment horizontal="center" vertical="top"/>
    </xf>
    <xf numFmtId="0" fontId="40" fillId="0" borderId="7" xfId="543" applyFont="1" applyBorder="1"/>
    <xf numFmtId="0" fontId="19" fillId="0" borderId="12" xfId="543" quotePrefix="1" applyBorder="1"/>
    <xf numFmtId="0" fontId="55" fillId="0" borderId="2" xfId="569" applyFont="1" applyBorder="1" applyAlignment="1">
      <alignment vertical="top"/>
    </xf>
    <xf numFmtId="0" fontId="29" fillId="0" borderId="0" xfId="4495" applyFont="1"/>
    <xf numFmtId="0" fontId="19" fillId="0" borderId="0" xfId="4495" applyFont="1" applyAlignment="1">
      <alignment vertical="top" wrapText="1" shrinkToFit="1"/>
    </xf>
    <xf numFmtId="0" fontId="147" fillId="0" borderId="0" xfId="4495" applyFont="1"/>
    <xf numFmtId="164" fontId="19" fillId="0" borderId="0" xfId="1192" applyNumberFormat="1" applyAlignment="1">
      <alignment horizontal="right"/>
    </xf>
    <xf numFmtId="164" fontId="19" fillId="0" borderId="0" xfId="4495" applyNumberFormat="1" applyFont="1" applyAlignment="1">
      <alignment horizontal="right"/>
    </xf>
    <xf numFmtId="0" fontId="19" fillId="0" borderId="0" xfId="4495" applyFont="1" applyAlignment="1">
      <alignment horizontal="left" vertical="top" wrapText="1" shrinkToFit="1"/>
    </xf>
    <xf numFmtId="0" fontId="19" fillId="0" borderId="6" xfId="4495" applyFont="1" applyBorder="1" applyAlignment="1">
      <alignment vertical="top" wrapText="1"/>
    </xf>
    <xf numFmtId="0" fontId="147" fillId="0" borderId="4" xfId="4495" applyFont="1" applyBorder="1"/>
    <xf numFmtId="0" fontId="19" fillId="0" borderId="4" xfId="4495" applyFont="1" applyBorder="1" applyAlignment="1">
      <alignment horizontal="left" vertical="top" wrapText="1" shrinkToFit="1"/>
    </xf>
    <xf numFmtId="0" fontId="29" fillId="0" borderId="0" xfId="4495" applyFont="1" applyAlignment="1">
      <alignment horizontal="left" vertical="top"/>
    </xf>
    <xf numFmtId="0" fontId="19" fillId="0" borderId="0" xfId="4495" applyFont="1" applyAlignment="1">
      <alignment vertical="center" wrapText="1" shrinkToFit="1"/>
    </xf>
    <xf numFmtId="0" fontId="19" fillId="0" borderId="0" xfId="4495" applyFont="1" applyAlignment="1">
      <alignment horizontal="left" vertical="top" shrinkToFit="1"/>
    </xf>
    <xf numFmtId="0" fontId="19" fillId="0" borderId="0" xfId="4495" applyFont="1" applyAlignment="1">
      <alignment horizontal="left" vertical="center" shrinkToFit="1"/>
    </xf>
    <xf numFmtId="0" fontId="29" fillId="0" borderId="4" xfId="4495" applyFont="1" applyBorder="1"/>
    <xf numFmtId="0" fontId="19" fillId="0" borderId="4" xfId="4495" applyFont="1" applyBorder="1" applyAlignment="1">
      <alignment horizontal="left" vertical="top" shrinkToFit="1"/>
    </xf>
    <xf numFmtId="0" fontId="19" fillId="0" borderId="0" xfId="4495" applyFont="1" applyAlignment="1">
      <alignment vertical="center"/>
    </xf>
    <xf numFmtId="0" fontId="25" fillId="0" borderId="0" xfId="4495" applyFont="1"/>
    <xf numFmtId="0" fontId="29" fillId="0" borderId="0" xfId="4495" applyFont="1" applyAlignment="1">
      <alignment horizontal="center"/>
    </xf>
    <xf numFmtId="0" fontId="19" fillId="0" borderId="4" xfId="4495" applyFont="1" applyBorder="1" applyAlignment="1">
      <alignment horizontal="left" vertical="top" wrapText="1"/>
    </xf>
    <xf numFmtId="44" fontId="19" fillId="0" borderId="0" xfId="707" applyFont="1" applyFill="1" applyBorder="1" applyAlignment="1" applyProtection="1">
      <alignment horizontal="left" vertical="top" wrapText="1"/>
    </xf>
    <xf numFmtId="44" fontId="19" fillId="0" borderId="4" xfId="707" applyFont="1" applyFill="1" applyBorder="1" applyAlignment="1" applyProtection="1">
      <alignment horizontal="left" vertical="top" wrapText="1"/>
    </xf>
    <xf numFmtId="164" fontId="37" fillId="0" borderId="0" xfId="4495" applyNumberFormat="1" applyFont="1" applyAlignment="1">
      <alignment horizontal="left"/>
    </xf>
    <xf numFmtId="0" fontId="29" fillId="0" borderId="0" xfId="4495" applyFont="1" applyAlignment="1">
      <alignment horizontal="left"/>
    </xf>
    <xf numFmtId="0" fontId="19" fillId="0" borderId="4" xfId="4495" applyFont="1" applyBorder="1" applyAlignment="1">
      <alignment vertical="top" wrapText="1"/>
    </xf>
    <xf numFmtId="0" fontId="29" fillId="0" borderId="4" xfId="4495" applyFont="1" applyBorder="1" applyAlignment="1">
      <alignment horizontal="left" vertical="top"/>
    </xf>
    <xf numFmtId="0" fontId="19" fillId="0" borderId="0" xfId="4495" applyFont="1" applyAlignment="1">
      <alignment horizontal="left" vertical="center" wrapText="1" shrinkToFit="1"/>
    </xf>
    <xf numFmtId="0" fontId="19" fillId="0" borderId="6" xfId="4495" applyFont="1" applyBorder="1" applyAlignment="1">
      <alignment horizontal="left" vertical="top" wrapText="1"/>
    </xf>
    <xf numFmtId="2" fontId="120" fillId="0" borderId="0" xfId="0" applyNumberFormat="1" applyFont="1" applyAlignment="1">
      <alignment horizontal="center"/>
    </xf>
    <xf numFmtId="9" fontId="19" fillId="0" borderId="0" xfId="4494" applyFont="1" applyAlignment="1">
      <alignment horizontal="center"/>
    </xf>
    <xf numFmtId="3" fontId="19" fillId="0" borderId="0" xfId="0" applyNumberFormat="1" applyFont="1"/>
    <xf numFmtId="10" fontId="19" fillId="0" borderId="0" xfId="0" applyNumberFormat="1" applyFont="1" applyAlignment="1">
      <alignment horizontal="center"/>
    </xf>
    <xf numFmtId="168" fontId="19" fillId="0" borderId="0" xfId="0" applyNumberFormat="1" applyFont="1"/>
    <xf numFmtId="172" fontId="19" fillId="0" borderId="11" xfId="0" applyNumberFormat="1" applyFont="1" applyBorder="1" applyAlignment="1">
      <alignment horizontal="center"/>
    </xf>
    <xf numFmtId="168" fontId="19" fillId="5" borderId="0" xfId="0" applyNumberFormat="1" applyFont="1" applyFill="1"/>
    <xf numFmtId="3" fontId="19" fillId="5" borderId="0" xfId="0" applyNumberFormat="1" applyFont="1" applyFill="1"/>
    <xf numFmtId="0" fontId="19" fillId="5" borderId="0" xfId="0" applyFont="1" applyFill="1"/>
    <xf numFmtId="3" fontId="19" fillId="5" borderId="6" xfId="0" applyNumberFormat="1" applyFont="1" applyFill="1" applyBorder="1"/>
    <xf numFmtId="3" fontId="19" fillId="0" borderId="6" xfId="0" applyNumberFormat="1" applyFont="1" applyBorder="1"/>
    <xf numFmtId="168" fontId="19" fillId="0" borderId="0" xfId="0" applyNumberFormat="1" applyFont="1" applyAlignment="1">
      <alignment horizontal="center"/>
    </xf>
    <xf numFmtId="3" fontId="19" fillId="0" borderId="0" xfId="0" applyNumberFormat="1" applyFont="1" applyAlignment="1">
      <alignment horizontal="center"/>
    </xf>
    <xf numFmtId="0" fontId="19" fillId="0" borderId="50" xfId="4495" applyFont="1" applyBorder="1" applyAlignment="1">
      <alignment vertical="center"/>
    </xf>
    <xf numFmtId="0" fontId="19" fillId="0" borderId="51" xfId="4495" applyFont="1" applyBorder="1" applyAlignment="1">
      <alignment vertical="center"/>
    </xf>
    <xf numFmtId="0" fontId="19" fillId="0" borderId="52" xfId="4495" applyFont="1" applyBorder="1" applyAlignment="1">
      <alignment vertical="center"/>
    </xf>
    <xf numFmtId="0" fontId="19" fillId="0" borderId="54" xfId="4495" applyFont="1" applyBorder="1" applyAlignment="1">
      <alignment vertical="center" wrapText="1"/>
    </xf>
    <xf numFmtId="0" fontId="19" fillId="0" borderId="53" xfId="4495" applyFont="1" applyBorder="1" applyAlignment="1">
      <alignment vertical="top" wrapText="1"/>
    </xf>
    <xf numFmtId="9" fontId="19" fillId="0" borderId="0" xfId="543" applyNumberFormat="1" applyAlignment="1">
      <alignment horizontal="center"/>
    </xf>
    <xf numFmtId="0" fontId="51" fillId="0" borderId="0" xfId="4496" applyFont="1"/>
    <xf numFmtId="168" fontId="55" fillId="5" borderId="11" xfId="0" applyNumberFormat="1" applyFont="1" applyFill="1" applyBorder="1" applyAlignment="1" applyProtection="1">
      <alignment vertical="top" wrapText="1"/>
      <protection locked="0"/>
    </xf>
    <xf numFmtId="0" fontId="19" fillId="0" borderId="0" xfId="0" applyFont="1" applyAlignment="1">
      <alignment horizontal="left" wrapText="1"/>
    </xf>
    <xf numFmtId="4" fontId="37" fillId="0" borderId="0" xfId="0" applyNumberFormat="1" applyFont="1" applyAlignment="1">
      <alignment horizontal="left"/>
    </xf>
    <xf numFmtId="4" fontId="19" fillId="0" borderId="0" xfId="0" applyNumberFormat="1" applyFont="1" applyAlignment="1">
      <alignment horizontal="left" vertical="top" wrapText="1"/>
    </xf>
    <xf numFmtId="0" fontId="26" fillId="0" borderId="4" xfId="0" applyFont="1" applyBorder="1" applyAlignment="1">
      <alignment horizontal="left"/>
    </xf>
    <xf numFmtId="4" fontId="19" fillId="0" borderId="0" xfId="0" applyNumberFormat="1" applyFont="1" applyAlignment="1">
      <alignment horizontal="left"/>
    </xf>
    <xf numFmtId="43" fontId="53" fillId="0" borderId="0" xfId="4503" applyFont="1" applyAlignment="1" applyProtection="1">
      <alignment horizontal="center"/>
    </xf>
    <xf numFmtId="43" fontId="19" fillId="0" borderId="0" xfId="4503" applyFont="1" applyAlignment="1" applyProtection="1">
      <alignment horizontal="center"/>
    </xf>
    <xf numFmtId="43" fontId="19" fillId="0" borderId="0" xfId="4503" applyFont="1" applyProtection="1"/>
    <xf numFmtId="49" fontId="19" fillId="0" borderId="0" xfId="0" applyNumberFormat="1" applyFont="1"/>
    <xf numFmtId="49" fontId="19" fillId="0" borderId="0" xfId="0" applyNumberFormat="1" applyFont="1" applyAlignment="1">
      <alignment horizontal="center"/>
    </xf>
    <xf numFmtId="4" fontId="19" fillId="0" borderId="0" xfId="0" applyNumberFormat="1" applyFont="1" applyAlignment="1">
      <alignment vertical="top" wrapText="1"/>
    </xf>
    <xf numFmtId="0" fontId="19" fillId="0" borderId="0" xfId="0" quotePrefix="1" applyFont="1"/>
    <xf numFmtId="0" fontId="49" fillId="0" borderId="0" xfId="0" applyFont="1" applyAlignment="1">
      <alignment horizontal="left"/>
    </xf>
    <xf numFmtId="0" fontId="19" fillId="0" borderId="4" xfId="0" applyFont="1" applyBorder="1" applyAlignment="1">
      <alignment horizontal="left"/>
    </xf>
    <xf numFmtId="0" fontId="19" fillId="0" borderId="0" xfId="0" quotePrefix="1" applyFont="1" applyAlignment="1">
      <alignment horizontal="left"/>
    </xf>
    <xf numFmtId="0" fontId="19" fillId="0" borderId="0" xfId="0" quotePrefix="1" applyFont="1" applyAlignment="1">
      <alignment horizontal="left" vertical="top"/>
    </xf>
    <xf numFmtId="0" fontId="49" fillId="0" borderId="0" xfId="1192" applyFont="1" applyAlignment="1">
      <alignment horizontal="left"/>
    </xf>
    <xf numFmtId="0" fontId="53" fillId="0" borderId="0" xfId="0" applyFont="1" applyAlignment="1">
      <alignment horizontal="center" vertical="center"/>
    </xf>
    <xf numFmtId="49" fontId="26" fillId="0" borderId="0" xfId="0" applyNumberFormat="1" applyFont="1" applyAlignment="1">
      <alignment horizontal="center" vertical="center"/>
    </xf>
    <xf numFmtId="49" fontId="19" fillId="0" borderId="0" xfId="0" applyNumberFormat="1" applyFont="1" applyAlignment="1">
      <alignment vertical="center"/>
    </xf>
    <xf numFmtId="4" fontId="19" fillId="0" borderId="0" xfId="0" applyNumberFormat="1" applyFont="1" applyAlignment="1">
      <alignment horizontal="center"/>
    </xf>
    <xf numFmtId="4" fontId="19" fillId="0" borderId="0" xfId="0" applyNumberFormat="1" applyFont="1"/>
    <xf numFmtId="10" fontId="19" fillId="0" borderId="0" xfId="4495" applyNumberFormat="1" applyFont="1"/>
    <xf numFmtId="10" fontId="124" fillId="0" borderId="0" xfId="4496" applyNumberFormat="1" applyFont="1" applyAlignment="1">
      <alignment horizontal="center" vertical="top" wrapText="1"/>
    </xf>
    <xf numFmtId="10" fontId="124" fillId="0" borderId="64" xfId="4496" applyNumberFormat="1" applyFont="1" applyBorder="1" applyAlignment="1">
      <alignment horizontal="center" vertical="top" wrapText="1"/>
    </xf>
    <xf numFmtId="10" fontId="124"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9" fillId="0" borderId="0" xfId="1192" quotePrefix="1" applyNumberFormat="1" applyAlignment="1">
      <alignment horizontal="center"/>
    </xf>
    <xf numFmtId="0" fontId="124" fillId="0" borderId="0" xfId="4495" applyFont="1"/>
    <xf numFmtId="10" fontId="124" fillId="0" borderId="0" xfId="4495" applyNumberFormat="1" applyFont="1"/>
    <xf numFmtId="172" fontId="19" fillId="0" borderId="0" xfId="4495" applyNumberFormat="1" applyFont="1"/>
    <xf numFmtId="0" fontId="42" fillId="0" borderId="0" xfId="0" applyFont="1" applyAlignment="1">
      <alignment horizontal="center"/>
    </xf>
    <xf numFmtId="0" fontId="38" fillId="0" borderId="0" xfId="0" applyFont="1" applyAlignment="1">
      <alignment horizontal="left"/>
    </xf>
    <xf numFmtId="0" fontId="0" fillId="0" borderId="10" xfId="0" applyBorder="1" applyAlignment="1">
      <alignment horizontal="left"/>
    </xf>
    <xf numFmtId="1" fontId="19" fillId="0" borderId="0" xfId="1192" applyNumberFormat="1" applyAlignment="1">
      <alignment horizontal="center"/>
    </xf>
    <xf numFmtId="0" fontId="122" fillId="0" borderId="63" xfId="4495" applyBorder="1"/>
    <xf numFmtId="0" fontId="55" fillId="0" borderId="0" xfId="271" applyFont="1" applyAlignment="1">
      <alignment vertical="top"/>
    </xf>
    <xf numFmtId="0" fontId="26" fillId="0" borderId="11" xfId="0" applyFont="1" applyBorder="1" applyAlignment="1">
      <alignment horizontal="right" vertical="top" wrapText="1"/>
    </xf>
    <xf numFmtId="0" fontId="28" fillId="0" borderId="11" xfId="271" applyBorder="1" applyAlignment="1" applyProtection="1">
      <alignment horizontal="right" vertical="top" wrapText="1"/>
      <protection locked="0"/>
    </xf>
    <xf numFmtId="0" fontId="19" fillId="0" borderId="54" xfId="4495" applyFont="1" applyBorder="1" applyAlignment="1">
      <alignment vertical="top"/>
    </xf>
    <xf numFmtId="9" fontId="28" fillId="0" borderId="0" xfId="0" applyNumberFormat="1" applyFont="1"/>
    <xf numFmtId="0" fontId="19" fillId="0" borderId="16" xfId="569" applyBorder="1" applyAlignment="1">
      <alignment horizontal="center"/>
    </xf>
    <xf numFmtId="164" fontId="19" fillId="0" borderId="57" xfId="4495" applyNumberFormat="1" applyFont="1" applyBorder="1" applyAlignment="1">
      <alignment vertical="top" wrapText="1"/>
    </xf>
    <xf numFmtId="164" fontId="19" fillId="0" borderId="58" xfId="4495" applyNumberFormat="1" applyFont="1" applyBorder="1" applyAlignment="1">
      <alignment vertical="top" wrapText="1"/>
    </xf>
    <xf numFmtId="164" fontId="19" fillId="0" borderId="59" xfId="4495" applyNumberFormat="1" applyFont="1" applyBorder="1" applyAlignment="1">
      <alignment vertical="top" wrapText="1"/>
    </xf>
    <xf numFmtId="0" fontId="26" fillId="0" borderId="0" xfId="1192" applyFont="1" applyAlignment="1">
      <alignment horizontal="left" vertical="top" wrapText="1"/>
    </xf>
    <xf numFmtId="0" fontId="19" fillId="0" borderId="16" xfId="569" applyBorder="1"/>
    <xf numFmtId="0" fontId="19" fillId="0" borderId="4" xfId="569" applyBorder="1"/>
    <xf numFmtId="0" fontId="26" fillId="0" borderId="4" xfId="569" applyFont="1" applyBorder="1"/>
    <xf numFmtId="49" fontId="19" fillId="0" borderId="4" xfId="569" applyNumberFormat="1" applyBorder="1"/>
    <xf numFmtId="0" fontId="150" fillId="0" borderId="0" xfId="0" applyFont="1"/>
    <xf numFmtId="0" fontId="19" fillId="0" borderId="0" xfId="0" applyFont="1" applyAlignment="1">
      <alignment horizontal="right"/>
    </xf>
    <xf numFmtId="1" fontId="19" fillId="0" borderId="0" xfId="0" applyNumberFormat="1" applyFont="1" applyAlignment="1">
      <alignment horizontal="center"/>
    </xf>
    <xf numFmtId="0" fontId="26" fillId="0" borderId="0" xfId="0" applyFont="1" applyAlignment="1">
      <alignment horizontal="left" vertical="center"/>
    </xf>
    <xf numFmtId="0" fontId="19" fillId="0" borderId="0" xfId="0" applyFont="1" applyAlignment="1">
      <alignment horizontal="left" vertical="center"/>
    </xf>
    <xf numFmtId="0" fontId="26" fillId="0" borderId="0" xfId="569" applyFont="1" applyAlignment="1">
      <alignment vertical="top"/>
    </xf>
    <xf numFmtId="0" fontId="20" fillId="0" borderId="0" xfId="244" applyAlignment="1"/>
    <xf numFmtId="0" fontId="26" fillId="0" borderId="0" xfId="0" applyFont="1" applyAlignment="1">
      <alignment vertical="top" wrapText="1"/>
    </xf>
    <xf numFmtId="49" fontId="26" fillId="0" borderId="0" xfId="0" applyNumberFormat="1" applyFont="1"/>
    <xf numFmtId="49" fontId="26" fillId="0" borderId="0" xfId="0" applyNumberFormat="1" applyFont="1" applyAlignment="1">
      <alignment vertical="top"/>
    </xf>
    <xf numFmtId="0" fontId="42" fillId="0" borderId="11" xfId="0" applyFont="1" applyBorder="1"/>
    <xf numFmtId="175" fontId="19" fillId="0" borderId="0" xfId="543" applyNumberFormat="1" applyAlignment="1">
      <alignment vertical="center"/>
    </xf>
    <xf numFmtId="0" fontId="100" fillId="43" borderId="6" xfId="4496" applyFont="1" applyFill="1" applyBorder="1" applyAlignment="1" applyProtection="1">
      <alignment horizontal="center"/>
      <protection locked="0"/>
    </xf>
    <xf numFmtId="0" fontId="100" fillId="0" borderId="0" xfId="4496" applyFont="1"/>
    <xf numFmtId="0" fontId="100" fillId="0" borderId="0" xfId="4496" applyFont="1" applyAlignment="1">
      <alignment wrapText="1"/>
    </xf>
    <xf numFmtId="0" fontId="138" fillId="0" borderId="0" xfId="4496" applyFont="1"/>
    <xf numFmtId="181" fontId="139" fillId="0" borderId="0" xfId="4498" applyNumberFormat="1" applyFont="1" applyBorder="1" applyProtection="1"/>
    <xf numFmtId="0" fontId="140" fillId="0" borderId="0" xfId="4496" applyFont="1" applyAlignment="1">
      <alignment vertical="center" wrapText="1"/>
    </xf>
    <xf numFmtId="49" fontId="100" fillId="0" borderId="0" xfId="4496" applyNumberFormat="1" applyFont="1" applyAlignment="1">
      <alignment horizontal="center"/>
    </xf>
    <xf numFmtId="182" fontId="100" fillId="0" borderId="6" xfId="4496" applyNumberFormat="1" applyFont="1" applyBorder="1"/>
    <xf numFmtId="0" fontId="100" fillId="0" borderId="0" xfId="4496" applyFont="1" applyAlignment="1">
      <alignment vertical="center"/>
    </xf>
    <xf numFmtId="182" fontId="100" fillId="0" borderId="0" xfId="4496" applyNumberFormat="1" applyFont="1" applyAlignment="1">
      <alignment vertical="center"/>
    </xf>
    <xf numFmtId="175" fontId="100" fillId="0" borderId="0" xfId="4499" applyNumberFormat="1" applyFont="1" applyFill="1" applyBorder="1" applyAlignment="1" applyProtection="1">
      <alignment horizontal="left" vertical="center"/>
    </xf>
    <xf numFmtId="9" fontId="100" fillId="0" borderId="0" xfId="4499" applyFont="1" applyFill="1" applyBorder="1" applyAlignment="1" applyProtection="1">
      <alignment vertical="center"/>
    </xf>
    <xf numFmtId="183" fontId="100" fillId="0" borderId="0" xfId="4496" applyNumberFormat="1" applyFont="1" applyAlignment="1">
      <alignment vertical="center" wrapText="1"/>
    </xf>
    <xf numFmtId="9" fontId="100" fillId="0" borderId="0" xfId="4499" applyFont="1" applyBorder="1" applyAlignment="1" applyProtection="1">
      <alignment vertical="center"/>
    </xf>
    <xf numFmtId="164" fontId="100" fillId="0" borderId="0" xfId="4496" applyNumberFormat="1" applyFont="1" applyAlignment="1">
      <alignment vertical="center" wrapText="1"/>
    </xf>
    <xf numFmtId="0" fontId="100" fillId="0" borderId="0" xfId="4496" applyFont="1" applyAlignment="1">
      <alignment horizontal="center" vertical="center"/>
    </xf>
    <xf numFmtId="182" fontId="100" fillId="0" borderId="11" xfId="8721" applyNumberFormat="1" applyFont="1" applyBorder="1" applyProtection="1"/>
    <xf numFmtId="182" fontId="100" fillId="0" borderId="11" xfId="4496" applyNumberFormat="1" applyFont="1" applyBorder="1"/>
    <xf numFmtId="164" fontId="100" fillId="0" borderId="0" xfId="4496" applyNumberFormat="1" applyFont="1" applyAlignment="1">
      <alignment wrapText="1"/>
    </xf>
    <xf numFmtId="49" fontId="100" fillId="0" borderId="0" xfId="4496" applyNumberFormat="1" applyFont="1" applyAlignment="1">
      <alignment horizontal="left"/>
    </xf>
    <xf numFmtId="0" fontId="141" fillId="0" borderId="0" xfId="4496" applyFont="1"/>
    <xf numFmtId="9" fontId="100" fillId="0" borderId="11" xfId="4494" applyFont="1" applyFill="1" applyBorder="1" applyAlignment="1" applyProtection="1">
      <alignment horizontal="right"/>
    </xf>
    <xf numFmtId="1" fontId="100" fillId="0" borderId="0" xfId="4496" applyNumberFormat="1" applyFont="1"/>
    <xf numFmtId="0" fontId="138" fillId="45" borderId="3" xfId="4496" applyFont="1" applyFill="1" applyBorder="1" applyAlignment="1">
      <alignment horizontal="left" indent="1"/>
    </xf>
    <xf numFmtId="0" fontId="100" fillId="45" borderId="4" xfId="4496" applyFont="1" applyFill="1" applyBorder="1"/>
    <xf numFmtId="2" fontId="100" fillId="45" borderId="5" xfId="4496" applyNumberFormat="1" applyFont="1" applyFill="1" applyBorder="1"/>
    <xf numFmtId="181" fontId="100" fillId="0" borderId="0" xfId="4496" applyNumberFormat="1" applyFont="1"/>
    <xf numFmtId="165" fontId="139" fillId="0" borderId="0" xfId="4499" applyNumberFormat="1" applyFont="1" applyFill="1" applyBorder="1" applyProtection="1"/>
    <xf numFmtId="9" fontId="100" fillId="0" borderId="0" xfId="4494" applyFont="1" applyFill="1" applyProtection="1"/>
    <xf numFmtId="0" fontId="100" fillId="0" borderId="11" xfId="4496" applyFont="1" applyBorder="1" applyAlignment="1">
      <alignment horizontal="center"/>
    </xf>
    <xf numFmtId="2" fontId="100" fillId="0" borderId="11" xfId="4496" applyNumberFormat="1" applyFont="1" applyBorder="1" applyAlignment="1">
      <alignment horizontal="center"/>
    </xf>
    <xf numFmtId="0" fontId="100" fillId="0" borderId="0" xfId="4496" applyFont="1" applyAlignment="1">
      <alignment vertical="top" wrapText="1"/>
    </xf>
    <xf numFmtId="0" fontId="100" fillId="0" borderId="11" xfId="4496" applyFont="1" applyBorder="1" applyAlignment="1">
      <alignment horizontal="center" vertical="top" wrapText="1"/>
    </xf>
    <xf numFmtId="182" fontId="100" fillId="0" borderId="0" xfId="8721" applyNumberFormat="1" applyFont="1" applyBorder="1" applyProtection="1"/>
    <xf numFmtId="0" fontId="100" fillId="0" borderId="0" xfId="4496" applyFont="1" applyAlignment="1">
      <alignment horizontal="left" indent="1"/>
    </xf>
    <xf numFmtId="182" fontId="100" fillId="0" borderId="0" xfId="4496" applyNumberFormat="1" applyFont="1"/>
    <xf numFmtId="184" fontId="100" fillId="0" borderId="0" xfId="4496" applyNumberFormat="1" applyFont="1"/>
    <xf numFmtId="0" fontId="100" fillId="0" borderId="0" xfId="4496" applyFont="1" applyAlignment="1">
      <alignment horizontal="left"/>
    </xf>
    <xf numFmtId="0" fontId="100" fillId="0" borderId="0" xfId="4496" applyFont="1" applyAlignment="1">
      <alignment horizontal="center"/>
    </xf>
    <xf numFmtId="3" fontId="24" fillId="0" borderId="11" xfId="271" applyNumberFormat="1" applyFont="1" applyBorder="1" applyAlignment="1">
      <alignment horizontal="center"/>
    </xf>
    <xf numFmtId="3" fontId="24" fillId="43" borderId="11" xfId="271" applyNumberFormat="1" applyFont="1" applyFill="1" applyBorder="1" applyProtection="1">
      <protection locked="0"/>
    </xf>
    <xf numFmtId="0" fontId="100" fillId="0" borderId="0" xfId="4496" applyFont="1" applyAlignment="1">
      <alignment horizontal="right"/>
    </xf>
    <xf numFmtId="168" fontId="28" fillId="0" borderId="0" xfId="0" applyNumberFormat="1" applyFont="1"/>
    <xf numFmtId="0" fontId="100" fillId="0" borderId="15" xfId="4496" applyFont="1" applyBorder="1" applyAlignment="1">
      <alignment horizontal="center" vertical="top" wrapText="1"/>
    </xf>
    <xf numFmtId="2" fontId="100" fillId="0" borderId="15" xfId="4496" applyNumberFormat="1" applyFont="1" applyBorder="1" applyAlignment="1">
      <alignment horizontal="center"/>
    </xf>
    <xf numFmtId="0" fontId="100" fillId="0" borderId="15" xfId="4496" applyFont="1" applyBorder="1" applyAlignment="1">
      <alignment horizontal="center"/>
    </xf>
    <xf numFmtId="0" fontId="138" fillId="0" borderId="68" xfId="4496" applyFont="1" applyBorder="1" applyAlignment="1">
      <alignment horizontal="center" vertical="top" wrapText="1"/>
    </xf>
    <xf numFmtId="0" fontId="138" fillId="0" borderId="68" xfId="4496" applyFont="1" applyBorder="1" applyAlignment="1">
      <alignment horizontal="center"/>
    </xf>
    <xf numFmtId="0" fontId="152" fillId="0" borderId="0" xfId="4496" applyFont="1" applyAlignment="1">
      <alignment horizontal="right" vertical="center"/>
    </xf>
    <xf numFmtId="175" fontId="100" fillId="0" borderId="0" xfId="4499" applyNumberFormat="1" applyFont="1" applyFill="1" applyBorder="1" applyAlignment="1" applyProtection="1">
      <alignment horizontal="right" vertical="center"/>
    </xf>
    <xf numFmtId="0" fontId="100" fillId="0" borderId="66" xfId="4496" applyFont="1" applyBorder="1" applyAlignment="1">
      <alignment vertical="center"/>
    </xf>
    <xf numFmtId="0" fontId="100" fillId="0" borderId="41" xfId="4496" applyFont="1" applyBorder="1" applyAlignment="1">
      <alignment vertical="center"/>
    </xf>
    <xf numFmtId="182" fontId="100" fillId="0" borderId="73" xfId="4496" applyNumberFormat="1" applyFont="1" applyBorder="1" applyAlignment="1">
      <alignment vertical="center"/>
    </xf>
    <xf numFmtId="175" fontId="100" fillId="0" borderId="42" xfId="4499" applyNumberFormat="1" applyFont="1" applyFill="1" applyBorder="1" applyAlignment="1" applyProtection="1">
      <alignment horizontal="left" vertical="center"/>
    </xf>
    <xf numFmtId="0" fontId="100" fillId="0" borderId="42" xfId="4496" applyFont="1" applyBorder="1" applyAlignment="1">
      <alignment vertical="center"/>
    </xf>
    <xf numFmtId="0" fontId="100" fillId="0" borderId="44" xfId="4496" applyFont="1" applyBorder="1" applyAlignment="1">
      <alignment vertical="center"/>
    </xf>
    <xf numFmtId="49" fontId="100" fillId="0" borderId="0" xfId="4496" applyNumberFormat="1" applyFont="1" applyAlignment="1">
      <alignment horizontal="center" vertical="center"/>
    </xf>
    <xf numFmtId="0" fontId="100" fillId="0" borderId="65" xfId="4496" applyFont="1" applyBorder="1" applyAlignment="1">
      <alignment vertical="center"/>
    </xf>
    <xf numFmtId="0" fontId="100" fillId="0" borderId="29" xfId="4496" applyFont="1" applyBorder="1" applyAlignment="1">
      <alignment vertical="center"/>
    </xf>
    <xf numFmtId="0" fontId="100" fillId="0" borderId="29" xfId="4496" applyFont="1" applyBorder="1" applyAlignment="1">
      <alignment horizontal="right" vertical="center"/>
    </xf>
    <xf numFmtId="5" fontId="100" fillId="0" borderId="29" xfId="4496" applyNumberFormat="1" applyFont="1" applyBorder="1" applyAlignment="1">
      <alignment vertical="center"/>
    </xf>
    <xf numFmtId="0" fontId="100" fillId="0" borderId="31" xfId="4496" applyFont="1" applyBorder="1" applyAlignment="1">
      <alignment vertical="center"/>
    </xf>
    <xf numFmtId="175" fontId="138" fillId="0" borderId="42" xfId="4494" applyNumberFormat="1" applyFont="1" applyFill="1" applyBorder="1" applyAlignment="1" applyProtection="1">
      <alignment horizontal="center" vertical="center"/>
    </xf>
    <xf numFmtId="0" fontId="138" fillId="0" borderId="29" xfId="4496" applyFont="1" applyBorder="1" applyAlignment="1">
      <alignment vertical="center"/>
    </xf>
    <xf numFmtId="0" fontId="138" fillId="0" borderId="0" xfId="4496" applyFont="1" applyAlignment="1">
      <alignment vertical="center"/>
    </xf>
    <xf numFmtId="0" fontId="138" fillId="0" borderId="42" xfId="4496" applyFont="1" applyBorder="1" applyAlignment="1">
      <alignment vertical="center"/>
    </xf>
    <xf numFmtId="9" fontId="138" fillId="0" borderId="42" xfId="4499" applyFont="1" applyFill="1" applyBorder="1" applyAlignment="1" applyProtection="1">
      <alignment vertical="center"/>
    </xf>
    <xf numFmtId="182" fontId="138" fillId="0" borderId="68" xfId="8721" applyNumberFormat="1" applyFont="1" applyBorder="1" applyProtection="1"/>
    <xf numFmtId="182" fontId="138" fillId="0" borderId="68" xfId="4496" applyNumberFormat="1" applyFont="1" applyBorder="1"/>
    <xf numFmtId="0" fontId="152" fillId="0" borderId="0" xfId="4496" applyFont="1" applyAlignment="1">
      <alignment horizontal="right"/>
    </xf>
    <xf numFmtId="0" fontId="100" fillId="0" borderId="0" xfId="4496" applyFont="1" applyAlignment="1">
      <alignment horizontal="right" vertical="top" wrapText="1" indent="1"/>
    </xf>
    <xf numFmtId="182" fontId="100" fillId="0" borderId="6" xfId="8721" applyNumberFormat="1" applyFont="1" applyBorder="1" applyAlignment="1" applyProtection="1">
      <alignment horizontal="center"/>
    </xf>
    <xf numFmtId="0" fontId="100" fillId="0" borderId="0" xfId="4496" applyFont="1" applyAlignment="1">
      <alignment horizontal="right" indent="1"/>
    </xf>
    <xf numFmtId="0" fontId="100" fillId="0" borderId="0" xfId="4496" applyFont="1" applyAlignment="1">
      <alignment horizontal="right" vertical="top"/>
    </xf>
    <xf numFmtId="0" fontId="138" fillId="0" borderId="0" xfId="4496" applyFont="1" applyAlignment="1">
      <alignment horizontal="right"/>
    </xf>
    <xf numFmtId="182" fontId="138" fillId="0" borderId="0" xfId="8721" applyNumberFormat="1" applyFont="1" applyBorder="1" applyAlignment="1" applyProtection="1">
      <alignment horizontal="center"/>
    </xf>
    <xf numFmtId="10" fontId="100" fillId="0" borderId="0" xfId="4494" applyNumberFormat="1" applyFont="1" applyBorder="1" applyAlignment="1" applyProtection="1">
      <alignment horizontal="center"/>
    </xf>
    <xf numFmtId="184" fontId="100" fillId="0" borderId="6" xfId="4496" applyNumberFormat="1" applyFont="1" applyBorder="1"/>
    <xf numFmtId="0" fontId="138" fillId="0" borderId="0" xfId="4496" applyFont="1" applyAlignment="1">
      <alignment horizontal="right" vertical="top"/>
    </xf>
    <xf numFmtId="182" fontId="138" fillId="0" borderId="0" xfId="4496" applyNumberFormat="1" applyFont="1"/>
    <xf numFmtId="182" fontId="100" fillId="0" borderId="6" xfId="8721" applyNumberFormat="1" applyFont="1" applyBorder="1" applyProtection="1"/>
    <xf numFmtId="184" fontId="100" fillId="0" borderId="0" xfId="4496" applyNumberFormat="1" applyFont="1" applyAlignment="1">
      <alignment horizontal="center"/>
    </xf>
    <xf numFmtId="0" fontId="100" fillId="0" borderId="6" xfId="4496" applyFont="1" applyBorder="1" applyAlignment="1">
      <alignment horizontal="right" vertical="top" wrapText="1" indent="1"/>
    </xf>
    <xf numFmtId="0" fontId="100" fillId="0" borderId="67" xfId="4496" applyFont="1" applyBorder="1" applyAlignment="1">
      <alignment horizontal="right" indent="1"/>
    </xf>
    <xf numFmtId="0" fontId="100" fillId="0" borderId="72" xfId="4496" applyFont="1" applyBorder="1" applyAlignment="1">
      <alignment horizontal="right" indent="1"/>
    </xf>
    <xf numFmtId="0" fontId="100" fillId="0" borderId="72" xfId="4496" quotePrefix="1" applyFont="1" applyBorder="1" applyAlignment="1">
      <alignment horizontal="right" indent="1"/>
    </xf>
    <xf numFmtId="0" fontId="100" fillId="0" borderId="69" xfId="4496" applyFont="1" applyBorder="1" applyAlignment="1">
      <alignment horizontal="right" indent="1"/>
    </xf>
    <xf numFmtId="182" fontId="100" fillId="0" borderId="71" xfId="4496" applyNumberFormat="1" applyFont="1" applyBorder="1"/>
    <xf numFmtId="182" fontId="100" fillId="0" borderId="76" xfId="4496" applyNumberFormat="1" applyFont="1" applyBorder="1"/>
    <xf numFmtId="182" fontId="100" fillId="0" borderId="77" xfId="4496" applyNumberFormat="1" applyFont="1" applyBorder="1"/>
    <xf numFmtId="175" fontId="26" fillId="0" borderId="0" xfId="543" applyNumberFormat="1" applyFont="1" applyAlignment="1">
      <alignment vertical="center"/>
    </xf>
    <xf numFmtId="10" fontId="138" fillId="0" borderId="0" xfId="4494" applyNumberFormat="1" applyFont="1" applyProtection="1"/>
    <xf numFmtId="0" fontId="26" fillId="0" borderId="0" xfId="1192" applyFont="1" applyAlignment="1">
      <alignment horizontal="left" indent="1"/>
    </xf>
    <xf numFmtId="168" fontId="100" fillId="0" borderId="11" xfId="4499" applyNumberFormat="1" applyFont="1" applyFill="1" applyBorder="1" applyAlignment="1" applyProtection="1">
      <alignment horizontal="left" vertical="center" indent="1"/>
    </xf>
    <xf numFmtId="168" fontId="138" fillId="0" borderId="68" xfId="4499" applyNumberFormat="1" applyFont="1" applyFill="1" applyBorder="1" applyAlignment="1" applyProtection="1">
      <alignment horizontal="left" vertical="center" indent="1"/>
    </xf>
    <xf numFmtId="182" fontId="100" fillId="0" borderId="13" xfId="4496" applyNumberFormat="1" applyFont="1" applyBorder="1"/>
    <xf numFmtId="182" fontId="100" fillId="0" borderId="70" xfId="4496" applyNumberFormat="1" applyFont="1" applyBorder="1"/>
    <xf numFmtId="0" fontId="37" fillId="0" borderId="0" xfId="4495" applyFont="1" applyAlignment="1">
      <alignment vertical="center"/>
    </xf>
    <xf numFmtId="0" fontId="124" fillId="0" borderId="0" xfId="4496" applyFont="1" applyAlignment="1">
      <alignment vertical="center" wrapText="1"/>
    </xf>
    <xf numFmtId="0" fontId="24" fillId="43" borderId="0" xfId="1192" applyFont="1" applyFill="1"/>
    <xf numFmtId="3" fontId="70" fillId="43" borderId="6" xfId="1192" applyNumberFormat="1" applyFont="1" applyFill="1" applyBorder="1"/>
    <xf numFmtId="0" fontId="154" fillId="0" borderId="0" xfId="0" applyFont="1"/>
    <xf numFmtId="0" fontId="24" fillId="0" borderId="11" xfId="253" applyFont="1" applyBorder="1" applyAlignment="1" applyProtection="1">
      <alignment horizontal="center" wrapText="1"/>
      <protection locked="0"/>
    </xf>
    <xf numFmtId="0" fontId="155" fillId="0" borderId="0" xfId="0" applyFont="1"/>
    <xf numFmtId="0" fontId="156" fillId="0" borderId="0" xfId="0" applyFont="1" applyAlignment="1">
      <alignment horizontal="center"/>
    </xf>
    <xf numFmtId="0" fontId="55" fillId="5" borderId="11" xfId="0" applyFont="1" applyFill="1" applyBorder="1" applyAlignment="1" applyProtection="1">
      <alignment horizontal="right" vertical="top" wrapText="1"/>
      <protection locked="0"/>
    </xf>
    <xf numFmtId="0" fontId="19" fillId="43" borderId="3" xfId="569" applyFill="1" applyBorder="1"/>
    <xf numFmtId="0" fontId="159" fillId="0" borderId="0" xfId="0" applyFont="1" applyAlignment="1">
      <alignment horizontal="right"/>
    </xf>
    <xf numFmtId="1" fontId="27" fillId="0" borderId="0" xfId="4495" applyNumberFormat="1" applyFont="1"/>
    <xf numFmtId="0" fontId="26" fillId="0" borderId="4" xfId="569" applyFont="1" applyBorder="1" applyAlignment="1">
      <alignment horizontal="center"/>
    </xf>
    <xf numFmtId="43" fontId="26" fillId="0" borderId="0" xfId="4503" applyFont="1" applyAlignment="1" applyProtection="1">
      <alignment horizontal="center"/>
    </xf>
    <xf numFmtId="0" fontId="26" fillId="0" borderId="0" xfId="569" applyFont="1" applyAlignment="1">
      <alignment horizontal="center" vertical="center"/>
    </xf>
    <xf numFmtId="0" fontId="26" fillId="0" borderId="16" xfId="569" applyFont="1" applyBorder="1" applyAlignment="1">
      <alignment horizontal="center"/>
    </xf>
    <xf numFmtId="49" fontId="26" fillId="0" borderId="4" xfId="569" applyNumberFormat="1" applyFont="1" applyBorder="1" applyAlignment="1">
      <alignment horizontal="center"/>
    </xf>
    <xf numFmtId="4" fontId="26" fillId="0" borderId="0" xfId="569" applyNumberFormat="1" applyFont="1" applyAlignment="1">
      <alignment horizontal="center"/>
    </xf>
    <xf numFmtId="0" fontId="19" fillId="0" borderId="0" xfId="569" applyAlignment="1">
      <alignment horizontal="center" wrapText="1"/>
    </xf>
    <xf numFmtId="0" fontId="19" fillId="0" borderId="0" xfId="0" applyFont="1" applyAlignment="1">
      <alignment vertical="center" wrapText="1"/>
    </xf>
    <xf numFmtId="3" fontId="24" fillId="43" borderId="11" xfId="271" applyNumberFormat="1" applyFont="1" applyFill="1" applyBorder="1" applyAlignment="1" applyProtection="1">
      <alignment horizontal="left"/>
      <protection locked="0"/>
    </xf>
    <xf numFmtId="0" fontId="100" fillId="43" borderId="6" xfId="4496" applyFont="1" applyFill="1" applyBorder="1" applyProtection="1">
      <protection locked="0"/>
    </xf>
    <xf numFmtId="1" fontId="100" fillId="0" borderId="0" xfId="4496" applyNumberFormat="1" applyFont="1" applyProtection="1">
      <protection locked="0"/>
    </xf>
    <xf numFmtId="182" fontId="164" fillId="0" borderId="11" xfId="4496" applyNumberFormat="1" applyFont="1" applyBorder="1"/>
    <xf numFmtId="44" fontId="100" fillId="0" borderId="0" xfId="4496" applyNumberFormat="1" applyFont="1"/>
    <xf numFmtId="182" fontId="24" fillId="0" borderId="11" xfId="4496" applyNumberFormat="1" applyFont="1" applyBorder="1"/>
    <xf numFmtId="9" fontId="100" fillId="0" borderId="0" xfId="4494" applyFont="1"/>
    <xf numFmtId="182" fontId="100" fillId="43" borderId="6" xfId="8721" applyNumberFormat="1" applyFont="1" applyFill="1" applyBorder="1" applyProtection="1">
      <protection locked="0"/>
    </xf>
    <xf numFmtId="0" fontId="19" fillId="0" borderId="0" xfId="4495" applyFont="1" applyAlignment="1">
      <alignment wrapText="1"/>
    </xf>
    <xf numFmtId="168" fontId="176" fillId="48" borderId="79" xfId="700" applyNumberFormat="1" applyFont="1" applyFill="1" applyBorder="1" applyAlignment="1" applyProtection="1">
      <protection locked="0"/>
    </xf>
    <xf numFmtId="3" fontId="47" fillId="10" borderId="0" xfId="543" applyNumberFormat="1" applyFont="1" applyFill="1" applyAlignment="1">
      <alignment vertical="center" wrapText="1"/>
    </xf>
    <xf numFmtId="0" fontId="183" fillId="0" borderId="0" xfId="543" applyFont="1" applyAlignment="1">
      <alignment horizontal="left" vertical="center"/>
    </xf>
    <xf numFmtId="0" fontId="184" fillId="0" borderId="0" xfId="543" applyFont="1" applyAlignment="1">
      <alignment horizontal="right" vertical="top" wrapText="1"/>
    </xf>
    <xf numFmtId="168" fontId="184" fillId="0" borderId="0" xfId="543" applyNumberFormat="1" applyFont="1" applyAlignment="1">
      <alignment horizontal="center" vertical="center"/>
    </xf>
    <xf numFmtId="0" fontId="185" fillId="0" borderId="0" xfId="543" applyFont="1" applyAlignment="1">
      <alignment horizontal="left" vertical="center"/>
    </xf>
    <xf numFmtId="0" fontId="185" fillId="0" borderId="0" xfId="543" applyFont="1" applyAlignment="1">
      <alignment horizontal="right" vertical="top" wrapText="1"/>
    </xf>
    <xf numFmtId="168" fontId="184" fillId="0" borderId="104" xfId="543" applyNumberFormat="1" applyFont="1" applyBorder="1" applyAlignment="1">
      <alignment horizontal="center" vertical="center"/>
    </xf>
    <xf numFmtId="0" fontId="185" fillId="0" borderId="106" xfId="543" applyFont="1" applyBorder="1" applyAlignment="1">
      <alignment horizontal="right" vertical="top" wrapText="1"/>
    </xf>
    <xf numFmtId="0" fontId="26" fillId="0" borderId="0" xfId="4495" applyFont="1" applyAlignment="1">
      <alignment wrapText="1"/>
    </xf>
    <xf numFmtId="182" fontId="19" fillId="0" borderId="0" xfId="700" applyNumberFormat="1" applyFont="1"/>
    <xf numFmtId="9" fontId="19" fillId="0" borderId="0" xfId="1022" applyFont="1"/>
    <xf numFmtId="168" fontId="19"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4" fillId="52" borderId="113" xfId="0" applyFont="1" applyFill="1" applyBorder="1"/>
    <xf numFmtId="0" fontId="124" fillId="53" borderId="113" xfId="0" applyFont="1" applyFill="1" applyBorder="1"/>
    <xf numFmtId="1" fontId="0" fillId="0" borderId="0" xfId="0" applyNumberFormat="1"/>
    <xf numFmtId="0" fontId="20"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20" fillId="0" borderId="0" xfId="244" applyAlignment="1">
      <alignment horizontal="left" vertical="top"/>
    </xf>
    <xf numFmtId="9" fontId="19" fillId="0" borderId="0" xfId="0" applyNumberFormat="1" applyFont="1"/>
    <xf numFmtId="185" fontId="170" fillId="0" borderId="0" xfId="698" applyNumberFormat="1" applyFont="1"/>
    <xf numFmtId="0" fontId="187" fillId="0" borderId="0" xfId="0" applyFont="1" applyAlignment="1">
      <alignment horizontal="center"/>
    </xf>
    <xf numFmtId="0" fontId="19" fillId="0" borderId="0" xfId="569" quotePrefix="1"/>
    <xf numFmtId="168" fontId="157" fillId="0" borderId="0" xfId="0" applyNumberFormat="1" applyFont="1" applyAlignment="1">
      <alignment vertical="center" wrapText="1"/>
    </xf>
    <xf numFmtId="168" fontId="188" fillId="0" borderId="0" xfId="0" applyNumberFormat="1" applyFont="1" applyAlignment="1">
      <alignment horizontal="center" vertical="center" wrapText="1"/>
    </xf>
    <xf numFmtId="0" fontId="0" fillId="0" borderId="0" xfId="0" applyAlignment="1">
      <alignment vertical="center"/>
    </xf>
    <xf numFmtId="0" fontId="26" fillId="0" borderId="0" xfId="4495" quotePrefix="1" applyFont="1"/>
    <xf numFmtId="0" fontId="26" fillId="0" borderId="0" xfId="4495" applyFont="1" applyAlignment="1">
      <alignment horizontal="left" vertical="center"/>
    </xf>
    <xf numFmtId="0" fontId="26" fillId="0" borderId="0" xfId="4495" applyFont="1" applyAlignment="1">
      <alignment vertical="center"/>
    </xf>
    <xf numFmtId="0" fontId="124" fillId="0" borderId="58" xfId="4496" applyFont="1" applyBorder="1" applyAlignment="1">
      <alignment vertical="center"/>
    </xf>
    <xf numFmtId="0" fontId="26" fillId="0" borderId="5" xfId="4495" applyFont="1" applyBorder="1"/>
    <xf numFmtId="182" fontId="100" fillId="0" borderId="6" xfId="4496" applyNumberFormat="1" applyFont="1" applyBorder="1" applyAlignment="1">
      <alignment vertical="center"/>
    </xf>
    <xf numFmtId="1" fontId="100" fillId="0" borderId="0" xfId="4496" applyNumberFormat="1" applyFont="1" applyAlignment="1">
      <alignment horizontal="right" vertical="top" wrapText="1" indent="1"/>
    </xf>
    <xf numFmtId="3" fontId="100" fillId="43" borderId="6" xfId="4496" applyNumberFormat="1" applyFont="1" applyFill="1" applyBorder="1" applyAlignment="1" applyProtection="1">
      <alignment horizontal="center"/>
      <protection locked="0"/>
    </xf>
    <xf numFmtId="0" fontId="3" fillId="0" borderId="0" xfId="8736"/>
    <xf numFmtId="0" fontId="170" fillId="0" borderId="0" xfId="8736" applyFont="1"/>
    <xf numFmtId="0" fontId="105" fillId="0" borderId="0" xfId="8736" applyFont="1"/>
    <xf numFmtId="0" fontId="3" fillId="47" borderId="66" xfId="8736" applyFill="1" applyBorder="1"/>
    <xf numFmtId="0" fontId="3" fillId="47" borderId="0" xfId="8736" applyFill="1"/>
    <xf numFmtId="0" fontId="104" fillId="47" borderId="0" xfId="8736" applyFont="1" applyFill="1"/>
    <xf numFmtId="9" fontId="3" fillId="44" borderId="3" xfId="1022" applyFont="1" applyFill="1" applyBorder="1" applyAlignment="1">
      <alignment horizontal="centerContinuous"/>
    </xf>
    <xf numFmtId="9" fontId="3" fillId="44" borderId="4" xfId="1022" applyFont="1" applyFill="1" applyBorder="1" applyAlignment="1">
      <alignment horizontal="centerContinuous"/>
    </xf>
    <xf numFmtId="9" fontId="3" fillId="44" borderId="5" xfId="1022" applyFont="1" applyFill="1" applyBorder="1" applyAlignment="1">
      <alignment horizontal="centerContinuous"/>
    </xf>
    <xf numFmtId="0" fontId="104" fillId="47" borderId="41" xfId="8736" applyFont="1" applyFill="1" applyBorder="1" applyAlignment="1">
      <alignment horizontal="center"/>
    </xf>
    <xf numFmtId="182" fontId="175" fillId="47" borderId="0" xfId="8737" applyNumberFormat="1" applyFont="1" applyFill="1" applyBorder="1" applyAlignment="1"/>
    <xf numFmtId="0" fontId="3" fillId="47" borderId="41" xfId="8736" applyFill="1" applyBorder="1"/>
    <xf numFmtId="0" fontId="105" fillId="47" borderId="0" xfId="8736" applyFont="1" applyFill="1"/>
    <xf numFmtId="0" fontId="179" fillId="47" borderId="0" xfId="8736" applyFont="1" applyFill="1"/>
    <xf numFmtId="0" fontId="104" fillId="47" borderId="41" xfId="8736" applyFont="1" applyFill="1" applyBorder="1"/>
    <xf numFmtId="0" fontId="104" fillId="0" borderId="0" xfId="8736" applyFont="1"/>
    <xf numFmtId="0" fontId="167" fillId="0" borderId="0" xfId="8736" applyFont="1"/>
    <xf numFmtId="0" fontId="104" fillId="54" borderId="100" xfId="8736" applyFont="1" applyFill="1" applyBorder="1"/>
    <xf numFmtId="0" fontId="3" fillId="53" borderId="99" xfId="8736" applyFill="1" applyBorder="1"/>
    <xf numFmtId="0" fontId="3" fillId="52" borderId="99" xfId="8736" applyFill="1" applyBorder="1"/>
    <xf numFmtId="0" fontId="104" fillId="45" borderId="65" xfId="8736" applyFont="1" applyFill="1" applyBorder="1"/>
    <xf numFmtId="0" fontId="3" fillId="45" borderId="80" xfId="8736" applyFill="1" applyBorder="1"/>
    <xf numFmtId="0" fontId="3" fillId="45" borderId="79" xfId="8736" applyFill="1" applyBorder="1"/>
    <xf numFmtId="0" fontId="3" fillId="45" borderId="78" xfId="8736" applyFill="1" applyBorder="1"/>
    <xf numFmtId="0" fontId="104" fillId="45" borderId="0" xfId="8736" applyFont="1" applyFill="1"/>
    <xf numFmtId="0" fontId="104" fillId="45" borderId="12" xfId="8736" applyFont="1" applyFill="1" applyBorder="1"/>
    <xf numFmtId="0" fontId="104" fillId="45" borderId="29" xfId="8736" applyFont="1" applyFill="1" applyBorder="1"/>
    <xf numFmtId="0" fontId="104" fillId="45" borderId="80" xfId="8736" applyFont="1" applyFill="1" applyBorder="1"/>
    <xf numFmtId="0" fontId="104" fillId="45" borderId="79" xfId="8736" applyFont="1" applyFill="1" applyBorder="1"/>
    <xf numFmtId="0" fontId="104" fillId="45" borderId="78" xfId="8736" applyFont="1" applyFill="1" applyBorder="1"/>
    <xf numFmtId="0" fontId="104" fillId="45" borderId="93" xfId="8736" applyFont="1" applyFill="1" applyBorder="1"/>
    <xf numFmtId="0" fontId="104" fillId="45" borderId="6" xfId="8736" applyFont="1" applyFill="1" applyBorder="1"/>
    <xf numFmtId="0" fontId="104" fillId="45" borderId="10" xfId="8736" applyFont="1" applyFill="1" applyBorder="1"/>
    <xf numFmtId="0" fontId="170" fillId="44" borderId="0" xfId="8736" applyFont="1" applyFill="1"/>
    <xf numFmtId="10" fontId="170" fillId="44" borderId="0" xfId="1022" applyNumberFormat="1" applyFont="1" applyFill="1"/>
    <xf numFmtId="0" fontId="3" fillId="45" borderId="29" xfId="8736" applyFill="1" applyBorder="1"/>
    <xf numFmtId="0" fontId="3" fillId="45" borderId="31" xfId="8736" applyFill="1" applyBorder="1"/>
    <xf numFmtId="0" fontId="104" fillId="45" borderId="92" xfId="8736" applyFont="1" applyFill="1" applyBorder="1"/>
    <xf numFmtId="0" fontId="104" fillId="45" borderId="74" xfId="8736" applyFont="1" applyFill="1" applyBorder="1"/>
    <xf numFmtId="0" fontId="181" fillId="47" borderId="0" xfId="8736" applyFont="1" applyFill="1"/>
    <xf numFmtId="0" fontId="104" fillId="45" borderId="31" xfId="8736" applyFont="1" applyFill="1" applyBorder="1"/>
    <xf numFmtId="0" fontId="3" fillId="47" borderId="0" xfId="8736" applyFill="1" applyAlignment="1">
      <alignment horizontal="left"/>
    </xf>
    <xf numFmtId="0" fontId="173" fillId="51" borderId="11" xfId="8736" applyFont="1" applyFill="1" applyBorder="1"/>
    <xf numFmtId="0" fontId="173" fillId="51" borderId="76" xfId="8736" applyFont="1" applyFill="1" applyBorder="1"/>
    <xf numFmtId="0" fontId="174" fillId="51" borderId="11" xfId="8736" applyFont="1" applyFill="1" applyBorder="1" applyAlignment="1">
      <alignment horizontal="center"/>
    </xf>
    <xf numFmtId="0" fontId="174" fillId="51" borderId="76" xfId="8736" applyFont="1" applyFill="1" applyBorder="1" applyAlignment="1">
      <alignment horizontal="center"/>
    </xf>
    <xf numFmtId="0" fontId="3" fillId="48" borderId="66" xfId="8736" applyFill="1" applyBorder="1"/>
    <xf numFmtId="0" fontId="3" fillId="48" borderId="0" xfId="8736" applyFill="1"/>
    <xf numFmtId="0" fontId="3" fillId="48" borderId="78" xfId="8736" applyFill="1" applyBorder="1"/>
    <xf numFmtId="0" fontId="104" fillId="47" borderId="66" xfId="8736" applyFont="1" applyFill="1" applyBorder="1"/>
    <xf numFmtId="49" fontId="104" fillId="47" borderId="66" xfId="8736" applyNumberFormat="1" applyFont="1" applyFill="1" applyBorder="1" applyAlignment="1">
      <alignment horizontal="right" vertical="top"/>
    </xf>
    <xf numFmtId="0" fontId="3" fillId="47" borderId="73" xfId="8736" applyFill="1" applyBorder="1"/>
    <xf numFmtId="0" fontId="3" fillId="47" borderId="42" xfId="8736" applyFill="1" applyBorder="1"/>
    <xf numFmtId="0" fontId="3" fillId="47" borderId="44" xfId="8736" applyFill="1" applyBorder="1"/>
    <xf numFmtId="0" fontId="3" fillId="44" borderId="66" xfId="8736" applyFill="1" applyBorder="1"/>
    <xf numFmtId="0" fontId="3" fillId="44" borderId="0" xfId="8736" applyFill="1"/>
    <xf numFmtId="0" fontId="3" fillId="44" borderId="41" xfId="8736" applyFill="1" applyBorder="1"/>
    <xf numFmtId="0" fontId="3" fillId="44" borderId="0" xfId="8736" applyFill="1" applyAlignment="1">
      <alignment horizontal="left"/>
    </xf>
    <xf numFmtId="0" fontId="3" fillId="44" borderId="73" xfId="8736" applyFill="1" applyBorder="1"/>
    <xf numFmtId="0" fontId="3" fillId="44" borderId="42" xfId="8736" applyFill="1" applyBorder="1"/>
    <xf numFmtId="0" fontId="3" fillId="44" borderId="44" xfId="8736" applyFill="1" applyBorder="1"/>
    <xf numFmtId="0" fontId="165" fillId="0" borderId="0" xfId="8736" applyFont="1"/>
    <xf numFmtId="0" fontId="19" fillId="0" borderId="0" xfId="0" applyFont="1" applyAlignment="1">
      <alignment horizontal="left" vertical="top" wrapText="1"/>
    </xf>
    <xf numFmtId="0" fontId="20" fillId="0" borderId="0" xfId="244"/>
    <xf numFmtId="0" fontId="0" fillId="0" borderId="0" xfId="0"/>
    <xf numFmtId="0" fontId="19" fillId="0" borderId="0" xfId="1192" applyAlignment="1">
      <alignment horizontal="left" vertical="top" wrapText="1"/>
    </xf>
    <xf numFmtId="0" fontId="26" fillId="0" borderId="0" xfId="0" applyFont="1" applyAlignment="1">
      <alignment horizontal="left" vertical="top" wrapText="1"/>
    </xf>
    <xf numFmtId="0" fontId="48" fillId="0" borderId="0" xfId="0" applyFont="1" applyAlignment="1">
      <alignment horizontal="left" vertical="top" wrapText="1"/>
    </xf>
    <xf numFmtId="0" fontId="19" fillId="0" borderId="0" xfId="0" applyFont="1" applyAlignment="1">
      <alignment horizontal="left" wrapText="1"/>
    </xf>
    <xf numFmtId="0" fontId="20" fillId="0" borderId="0" xfId="244" applyAlignment="1" applyProtection="1">
      <alignment horizontal="left"/>
    </xf>
    <xf numFmtId="0" fontId="115" fillId="0" borderId="0" xfId="0" applyFont="1" applyAlignment="1">
      <alignment horizontal="left" wrapText="1"/>
    </xf>
    <xf numFmtId="0" fontId="28" fillId="0" borderId="0" xfId="0" applyFont="1" applyAlignment="1">
      <alignment horizontal="left" wrapText="1"/>
    </xf>
    <xf numFmtId="0" fontId="25" fillId="3" borderId="0" xfId="0" applyFont="1" applyFill="1" applyAlignment="1">
      <alignment horizontal="center" vertical="center" wrapText="1"/>
    </xf>
    <xf numFmtId="0" fontId="25" fillId="3" borderId="16" xfId="0" applyFont="1" applyFill="1" applyBorder="1" applyAlignment="1">
      <alignment horizontal="center" vertical="center" wrapText="1"/>
    </xf>
    <xf numFmtId="0" fontId="107" fillId="0" borderId="0" xfId="0" applyFont="1" applyAlignment="1">
      <alignment horizontal="left" vertical="top" wrapText="1"/>
    </xf>
    <xf numFmtId="0" fontId="20" fillId="0" borderId="0" xfId="244" applyAlignment="1">
      <alignment horizontal="left" vertical="top"/>
    </xf>
    <xf numFmtId="0" fontId="116" fillId="0" borderId="0" xfId="569" applyFont="1" applyAlignment="1">
      <alignment horizontal="center"/>
    </xf>
    <xf numFmtId="0" fontId="117" fillId="0" borderId="0" xfId="569" applyFont="1"/>
    <xf numFmtId="0" fontId="19" fillId="0" borderId="0" xfId="569" applyAlignment="1">
      <alignment wrapText="1"/>
    </xf>
    <xf numFmtId="0" fontId="26" fillId="0" borderId="0" xfId="569" applyFont="1" applyAlignment="1">
      <alignment wrapText="1"/>
    </xf>
    <xf numFmtId="0" fontId="34" fillId="0" borderId="0" xfId="569" applyFont="1" applyAlignment="1">
      <alignment horizontal="center"/>
    </xf>
    <xf numFmtId="0" fontId="19" fillId="0" borderId="0" xfId="569"/>
    <xf numFmtId="0" fontId="19" fillId="0" borderId="0" xfId="1192" applyAlignment="1">
      <alignment vertical="top" wrapText="1"/>
    </xf>
    <xf numFmtId="0" fontId="19" fillId="0" borderId="0" xfId="569" applyAlignment="1">
      <alignment horizontal="left" wrapText="1"/>
    </xf>
    <xf numFmtId="0" fontId="37" fillId="0" borderId="0" xfId="569" applyFont="1" applyAlignment="1">
      <alignment horizontal="center"/>
    </xf>
    <xf numFmtId="0" fontId="26" fillId="0" borderId="0" xfId="569" applyFont="1" applyAlignment="1">
      <alignment horizontal="center"/>
    </xf>
    <xf numFmtId="0" fontId="19" fillId="0" borderId="0" xfId="569" applyAlignment="1">
      <alignment horizontal="left" vertical="top" wrapText="1"/>
    </xf>
    <xf numFmtId="0" fontId="19" fillId="0" borderId="0" xfId="569" applyAlignment="1">
      <alignment horizontal="left"/>
    </xf>
    <xf numFmtId="0" fontId="37" fillId="0" borderId="0" xfId="569" applyFont="1" applyAlignment="1">
      <alignment horizontal="left" vertical="top" wrapText="1"/>
    </xf>
    <xf numFmtId="0" fontId="26" fillId="0" borderId="4" xfId="569" applyFont="1" applyBorder="1" applyAlignment="1">
      <alignment horizontal="left"/>
    </xf>
    <xf numFmtId="4" fontId="19" fillId="0" borderId="0" xfId="1192" applyNumberFormat="1" applyAlignment="1">
      <alignment horizontal="left" vertical="top" wrapText="1"/>
    </xf>
    <xf numFmtId="49" fontId="19" fillId="0" borderId="0" xfId="0" applyNumberFormat="1" applyFont="1" applyAlignment="1">
      <alignment horizontal="left" vertical="top" wrapText="1"/>
    </xf>
    <xf numFmtId="0" fontId="20" fillId="0" borderId="0" xfId="244" applyAlignment="1" applyProtection="1">
      <alignment horizontal="left" vertical="top" wrapText="1"/>
    </xf>
    <xf numFmtId="0" fontId="19" fillId="0" borderId="0" xfId="569" applyAlignment="1">
      <alignment horizontal="left" vertical="top"/>
    </xf>
    <xf numFmtId="0" fontId="26" fillId="0" borderId="4" xfId="569" applyFont="1" applyBorder="1" applyAlignment="1">
      <alignment horizontal="left" vertical="top"/>
    </xf>
    <xf numFmtId="0" fontId="37" fillId="0" borderId="0" xfId="569" applyFont="1" applyAlignment="1">
      <alignment horizontal="left"/>
    </xf>
    <xf numFmtId="4" fontId="19" fillId="0" borderId="0" xfId="569" applyNumberFormat="1" applyAlignment="1">
      <alignment horizontal="left"/>
    </xf>
    <xf numFmtId="4" fontId="19" fillId="0" borderId="0" xfId="569" applyNumberFormat="1" applyAlignment="1">
      <alignment horizontal="left" vertical="top" wrapText="1"/>
    </xf>
    <xf numFmtId="0" fontId="26" fillId="0" borderId="0" xfId="569" applyFont="1" applyAlignment="1">
      <alignment horizontal="left"/>
    </xf>
    <xf numFmtId="0" fontId="37" fillId="0" borderId="0" xfId="1192" applyFont="1" applyAlignment="1">
      <alignment horizontal="left"/>
    </xf>
    <xf numFmtId="0" fontId="19" fillId="0" borderId="0" xfId="1192" applyAlignment="1">
      <alignment horizontal="left"/>
    </xf>
    <xf numFmtId="0" fontId="19" fillId="0" borderId="0" xfId="0" applyFont="1" applyAlignment="1">
      <alignment horizontal="left"/>
    </xf>
    <xf numFmtId="0" fontId="19" fillId="0" borderId="0" xfId="0" applyFont="1" applyAlignment="1">
      <alignment horizontal="left" vertical="top"/>
    </xf>
    <xf numFmtId="0" fontId="26" fillId="0" borderId="0" xfId="0" applyFont="1" applyAlignment="1">
      <alignment horizontal="left" vertical="top"/>
    </xf>
    <xf numFmtId="49" fontId="19" fillId="0" borderId="0" xfId="1192" applyNumberFormat="1" applyAlignment="1">
      <alignment horizontal="left" vertical="top" wrapText="1"/>
    </xf>
    <xf numFmtId="0" fontId="20" fillId="0" borderId="0" xfId="244" applyNumberFormat="1" applyFill="1" applyAlignment="1" applyProtection="1">
      <alignment horizontal="left"/>
    </xf>
    <xf numFmtId="0" fontId="37" fillId="0" borderId="0" xfId="569" applyFont="1" applyAlignment="1">
      <alignment horizontal="left" wrapText="1"/>
    </xf>
    <xf numFmtId="0" fontId="37" fillId="0" borderId="0" xfId="569" applyFont="1" applyAlignment="1">
      <alignment horizontal="center" wrapText="1"/>
    </xf>
    <xf numFmtId="0" fontId="19" fillId="0" borderId="0" xfId="569" applyAlignment="1">
      <alignment horizontal="left" vertical="center" wrapText="1"/>
    </xf>
    <xf numFmtId="0" fontId="26" fillId="0" borderId="4" xfId="0" applyFont="1" applyBorder="1" applyAlignment="1">
      <alignment horizontal="left"/>
    </xf>
    <xf numFmtId="0" fontId="19" fillId="0" borderId="0" xfId="1192" applyAlignment="1" applyProtection="1">
      <alignment horizontal="left" vertical="top" wrapText="1"/>
      <protection locked="0"/>
    </xf>
    <xf numFmtId="0" fontId="0" fillId="0" borderId="0" xfId="0" applyAlignment="1">
      <alignment horizontal="left" vertical="top" wrapText="1"/>
    </xf>
    <xf numFmtId="0" fontId="37" fillId="0" borderId="0" xfId="1192" applyFont="1" applyAlignment="1">
      <alignment horizontal="left" vertical="top" wrapText="1"/>
    </xf>
    <xf numFmtId="0" fontId="19" fillId="0" borderId="0" xfId="569" applyAlignment="1">
      <alignment vertical="top" wrapText="1"/>
    </xf>
    <xf numFmtId="0" fontId="37" fillId="0" borderId="0" xfId="0" applyFont="1" applyAlignment="1">
      <alignment horizontal="left" vertical="top" wrapText="1"/>
    </xf>
    <xf numFmtId="4" fontId="37" fillId="0" borderId="0" xfId="0" applyNumberFormat="1" applyFont="1" applyAlignment="1">
      <alignment horizontal="left" vertical="top" wrapText="1"/>
    </xf>
    <xf numFmtId="0" fontId="26" fillId="0" borderId="4" xfId="0" applyFont="1" applyBorder="1" applyAlignment="1">
      <alignment horizontal="left" vertical="top"/>
    </xf>
    <xf numFmtId="4" fontId="19" fillId="0" borderId="0" xfId="0" applyNumberFormat="1" applyFont="1" applyAlignment="1">
      <alignment horizontal="left" vertical="top" wrapText="1"/>
    </xf>
    <xf numFmtId="0" fontId="19" fillId="0" borderId="27" xfId="569" applyBorder="1" applyAlignment="1">
      <alignment horizontal="left"/>
    </xf>
    <xf numFmtId="0" fontId="26" fillId="0" borderId="16" xfId="569" applyFont="1" applyBorder="1" applyAlignment="1">
      <alignment horizontal="left"/>
    </xf>
    <xf numFmtId="4" fontId="37" fillId="0" borderId="0" xfId="569" applyNumberFormat="1" applyFont="1" applyAlignment="1">
      <alignment horizontal="left" vertical="top" wrapText="1"/>
    </xf>
    <xf numFmtId="0" fontId="37" fillId="0" borderId="0" xfId="0" applyFont="1" applyAlignment="1">
      <alignment horizontal="left"/>
    </xf>
    <xf numFmtId="0" fontId="19" fillId="0" borderId="0" xfId="0" quotePrefix="1" applyFont="1" applyAlignment="1">
      <alignment horizontal="left" vertical="top"/>
    </xf>
    <xf numFmtId="0" fontId="19" fillId="0" borderId="0" xfId="0" quotePrefix="1" applyFont="1" applyAlignment="1">
      <alignment horizontal="left" vertical="top" wrapText="1"/>
    </xf>
    <xf numFmtId="0" fontId="20" fillId="0" borderId="0" xfId="244" quotePrefix="1" applyAlignment="1" applyProtection="1">
      <alignment horizontal="left"/>
    </xf>
    <xf numFmtId="4" fontId="37" fillId="0" borderId="0" xfId="0" applyNumberFormat="1" applyFont="1" applyAlignment="1">
      <alignment horizontal="left"/>
    </xf>
    <xf numFmtId="0" fontId="26" fillId="0" borderId="0" xfId="1192" applyFont="1" applyAlignment="1">
      <alignment horizontal="left" vertical="top" wrapText="1"/>
    </xf>
    <xf numFmtId="0" fontId="19" fillId="0" borderId="0" xfId="0" applyFont="1" applyAlignment="1">
      <alignment horizontal="left" vertical="center" wrapText="1"/>
    </xf>
    <xf numFmtId="0" fontId="19" fillId="0" borderId="0" xfId="0" applyFont="1" applyAlignment="1">
      <alignment vertical="top" wrapText="1"/>
    </xf>
    <xf numFmtId="0" fontId="20" fillId="0" borderId="0" xfId="244" applyFill="1" applyBorder="1" applyAlignment="1">
      <alignment horizontal="left" vertical="top" wrapText="1"/>
    </xf>
    <xf numFmtId="0" fontId="19" fillId="0" borderId="0" xfId="0" applyFont="1" applyAlignment="1">
      <alignment vertical="center" wrapText="1"/>
    </xf>
    <xf numFmtId="0" fontId="26" fillId="0" borderId="0" xfId="0" applyFont="1" applyAlignment="1">
      <alignment vertical="top" wrapText="1"/>
    </xf>
    <xf numFmtId="4" fontId="19" fillId="0" borderId="0" xfId="0" applyNumberFormat="1" applyFont="1" applyAlignment="1">
      <alignment horizontal="left"/>
    </xf>
    <xf numFmtId="0" fontId="37" fillId="0" borderId="0" xfId="569" applyFont="1" applyAlignment="1">
      <alignment horizontal="left" vertical="top"/>
    </xf>
    <xf numFmtId="0" fontId="37" fillId="0" borderId="0" xfId="0" applyFont="1" applyAlignment="1">
      <alignment horizontal="left" vertical="top"/>
    </xf>
    <xf numFmtId="0" fontId="28" fillId="45" borderId="3" xfId="0" applyFont="1" applyFill="1" applyBorder="1" applyAlignment="1">
      <alignment horizontal="center"/>
    </xf>
    <xf numFmtId="0" fontId="28" fillId="45" borderId="4" xfId="0" applyFont="1" applyFill="1" applyBorder="1" applyAlignment="1">
      <alignment horizontal="center"/>
    </xf>
    <xf numFmtId="0" fontId="28" fillId="45" borderId="5" xfId="0" applyFont="1" applyFill="1" applyBorder="1" applyAlignment="1">
      <alignment horizontal="center"/>
    </xf>
    <xf numFmtId="0" fontId="28" fillId="0" borderId="3" xfId="0" applyFont="1" applyBorder="1" applyAlignment="1">
      <alignment horizontal="center"/>
    </xf>
    <xf numFmtId="0" fontId="28" fillId="0" borderId="4" xfId="0" applyFont="1" applyBorder="1" applyAlignment="1">
      <alignment horizontal="center"/>
    </xf>
    <xf numFmtId="0" fontId="28"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5" fillId="0" borderId="105" xfId="543" applyNumberFormat="1" applyFont="1" applyBorder="1" applyAlignment="1">
      <alignment horizontal="right" vertical="center" wrapText="1"/>
    </xf>
    <xf numFmtId="175" fontId="185" fillId="0" borderId="107" xfId="543" applyNumberFormat="1" applyFont="1" applyBorder="1" applyAlignment="1">
      <alignment horizontal="center" vertical="center" wrapText="1"/>
    </xf>
    <xf numFmtId="175" fontId="185" fillId="0" borderId="108" xfId="543" applyNumberFormat="1" applyFont="1" applyBorder="1" applyAlignment="1">
      <alignment horizontal="center" vertical="center" wrapText="1"/>
    </xf>
    <xf numFmtId="175" fontId="185" fillId="0" borderId="109" xfId="543" applyNumberFormat="1" applyFont="1" applyBorder="1" applyAlignment="1">
      <alignment horizontal="center" vertical="center" wrapText="1"/>
    </xf>
    <xf numFmtId="0" fontId="184"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2" fillId="0" borderId="3" xfId="0" applyFont="1" applyBorder="1" applyAlignment="1">
      <alignment horizontal="center"/>
    </xf>
    <xf numFmtId="0" fontId="42" fillId="0" borderId="4" xfId="0" applyFont="1" applyBorder="1" applyAlignment="1">
      <alignment horizontal="center"/>
    </xf>
    <xf numFmtId="0" fontId="42" fillId="0" borderId="5" xfId="0" applyFont="1" applyBorder="1" applyAlignment="1">
      <alignment horizontal="center"/>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28" fillId="45" borderId="11" xfId="0" applyFont="1" applyFill="1" applyBorder="1" applyAlignment="1">
      <alignment horizontal="center"/>
    </xf>
    <xf numFmtId="0" fontId="28" fillId="5" borderId="3" xfId="0" applyFont="1" applyFill="1" applyBorder="1" applyAlignment="1" applyProtection="1">
      <alignment horizontal="center"/>
      <protection locked="0"/>
    </xf>
    <xf numFmtId="0" fontId="28" fillId="5" borderId="4" xfId="0" applyFont="1" applyFill="1" applyBorder="1" applyAlignment="1" applyProtection="1">
      <alignment horizontal="center"/>
      <protection locked="0"/>
    </xf>
    <xf numFmtId="0" fontId="28" fillId="5" borderId="5" xfId="0" applyFont="1" applyFill="1" applyBorder="1" applyAlignment="1" applyProtection="1">
      <alignment horizontal="center"/>
      <protection locked="0"/>
    </xf>
    <xf numFmtId="168" fontId="28" fillId="0" borderId="3" xfId="0" applyNumberFormat="1" applyFont="1" applyBorder="1" applyAlignment="1">
      <alignment horizontal="center"/>
    </xf>
    <xf numFmtId="168" fontId="28" fillId="0" borderId="4" xfId="0" applyNumberFormat="1" applyFont="1" applyBorder="1" applyAlignment="1">
      <alignment horizontal="center"/>
    </xf>
    <xf numFmtId="168" fontId="28" fillId="0" borderId="5" xfId="0" applyNumberFormat="1" applyFont="1" applyBorder="1" applyAlignment="1">
      <alignment horizontal="center"/>
    </xf>
    <xf numFmtId="165" fontId="28" fillId="0" borderId="1" xfId="0" applyNumberFormat="1" applyFont="1" applyBorder="1" applyAlignment="1">
      <alignment horizontal="right"/>
    </xf>
    <xf numFmtId="165" fontId="28" fillId="0" borderId="2" xfId="0" applyNumberFormat="1" applyFont="1" applyBorder="1" applyAlignment="1">
      <alignment horizontal="right"/>
    </xf>
    <xf numFmtId="165" fontId="28" fillId="0" borderId="7" xfId="0" applyNumberFormat="1" applyFont="1" applyBorder="1" applyAlignment="1">
      <alignment horizontal="right"/>
    </xf>
    <xf numFmtId="1" fontId="28" fillId="5" borderId="3" xfId="0" applyNumberFormat="1" applyFont="1" applyFill="1" applyBorder="1" applyAlignment="1" applyProtection="1">
      <alignment horizontal="center"/>
      <protection locked="0"/>
    </xf>
    <xf numFmtId="1" fontId="28" fillId="5" borderId="4" xfId="0" applyNumberFormat="1" applyFont="1" applyFill="1" applyBorder="1" applyAlignment="1" applyProtection="1">
      <alignment horizontal="center"/>
      <protection locked="0"/>
    </xf>
    <xf numFmtId="1" fontId="28" fillId="5" borderId="5" xfId="0" applyNumberFormat="1" applyFont="1" applyFill="1" applyBorder="1" applyAlignment="1" applyProtection="1">
      <alignment horizontal="center"/>
      <protection locked="0"/>
    </xf>
    <xf numFmtId="0" fontId="28" fillId="5" borderId="6" xfId="0" applyFont="1" applyFill="1" applyBorder="1" applyAlignment="1" applyProtection="1">
      <alignment horizontal="center"/>
      <protection locked="0"/>
    </xf>
    <xf numFmtId="9" fontId="28" fillId="5" borderId="3" xfId="0" applyNumberFormat="1" applyFont="1" applyFill="1" applyBorder="1" applyAlignment="1" applyProtection="1">
      <alignment horizontal="center"/>
      <protection locked="0"/>
    </xf>
    <xf numFmtId="9" fontId="28" fillId="5" borderId="4" xfId="0" applyNumberFormat="1" applyFont="1" applyFill="1" applyBorder="1" applyAlignment="1" applyProtection="1">
      <alignment horizontal="center"/>
      <protection locked="0"/>
    </xf>
    <xf numFmtId="9" fontId="28" fillId="5" borderId="5" xfId="0" applyNumberFormat="1" applyFont="1" applyFill="1" applyBorder="1" applyAlignment="1" applyProtection="1">
      <alignment horizontal="center"/>
      <protection locked="0"/>
    </xf>
    <xf numFmtId="168" fontId="28" fillId="5" borderId="3" xfId="0" applyNumberFormat="1" applyFont="1" applyFill="1" applyBorder="1" applyAlignment="1" applyProtection="1">
      <alignment horizontal="center"/>
      <protection locked="0"/>
    </xf>
    <xf numFmtId="168" fontId="28" fillId="5" borderId="4" xfId="0" applyNumberFormat="1" applyFont="1" applyFill="1" applyBorder="1" applyAlignment="1" applyProtection="1">
      <alignment horizontal="center"/>
      <protection locked="0"/>
    </xf>
    <xf numFmtId="168" fontId="28" fillId="5" borderId="5" xfId="0" applyNumberFormat="1" applyFont="1" applyFill="1" applyBorder="1" applyAlignment="1" applyProtection="1">
      <alignment horizontal="center"/>
      <protection locked="0"/>
    </xf>
    <xf numFmtId="0" fontId="28" fillId="2" borderId="11" xfId="0" applyFont="1" applyFill="1" applyBorder="1" applyAlignment="1">
      <alignment horizontal="center"/>
    </xf>
    <xf numFmtId="0" fontId="19" fillId="0" borderId="11" xfId="0" applyFont="1" applyBorder="1" applyAlignment="1">
      <alignment horizontal="center"/>
    </xf>
    <xf numFmtId="0" fontId="0" fillId="0" borderId="11" xfId="0" applyBorder="1" applyAlignment="1">
      <alignment horizontal="center"/>
    </xf>
    <xf numFmtId="168" fontId="19" fillId="0" borderId="3" xfId="0" applyNumberFormat="1" applyFont="1" applyBorder="1" applyAlignment="1">
      <alignment horizontal="left" vertical="top"/>
    </xf>
    <xf numFmtId="168" fontId="19" fillId="0" borderId="4" xfId="0" applyNumberFormat="1" applyFont="1" applyBorder="1" applyAlignment="1">
      <alignment horizontal="left" vertical="top"/>
    </xf>
    <xf numFmtId="168" fontId="19" fillId="0" borderId="5" xfId="0" applyNumberFormat="1" applyFont="1" applyBorder="1" applyAlignment="1">
      <alignment horizontal="left" vertical="top"/>
    </xf>
    <xf numFmtId="1" fontId="28" fillId="5" borderId="3" xfId="0" applyNumberFormat="1" applyFont="1" applyFill="1" applyBorder="1" applyAlignment="1" applyProtection="1">
      <alignment horizontal="right" vertical="top"/>
      <protection locked="0"/>
    </xf>
    <xf numFmtId="1" fontId="28" fillId="5" borderId="4" xfId="0" applyNumberFormat="1" applyFont="1" applyFill="1" applyBorder="1" applyAlignment="1" applyProtection="1">
      <alignment horizontal="right" vertical="top"/>
      <protection locked="0"/>
    </xf>
    <xf numFmtId="1" fontId="28" fillId="5" borderId="5" xfId="0" applyNumberFormat="1" applyFont="1" applyFill="1" applyBorder="1" applyAlignment="1" applyProtection="1">
      <alignment horizontal="right" vertical="top"/>
      <protection locked="0"/>
    </xf>
    <xf numFmtId="0" fontId="26" fillId="0" borderId="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0" xfId="0" applyFont="1" applyAlignment="1">
      <alignment horizontal="center" vertical="center" wrapText="1"/>
    </xf>
    <xf numFmtId="0" fontId="26" fillId="0" borderId="12" xfId="0" applyFont="1" applyBorder="1" applyAlignment="1">
      <alignment horizontal="center" vertical="center" wrapText="1"/>
    </xf>
    <xf numFmtId="0" fontId="26" fillId="0" borderId="9"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6" fillId="0" borderId="3" xfId="0" applyFont="1" applyBorder="1" applyAlignment="1">
      <alignment horizontal="right"/>
    </xf>
    <xf numFmtId="0" fontId="26" fillId="0" borderId="4" xfId="0" applyFont="1" applyBorder="1" applyAlignment="1">
      <alignment horizontal="right"/>
    </xf>
    <xf numFmtId="0" fontId="26" fillId="0" borderId="6" xfId="0" applyFont="1" applyBorder="1" applyAlignment="1">
      <alignment horizontal="right"/>
    </xf>
    <xf numFmtId="0" fontId="26" fillId="0" borderId="5" xfId="0" applyFont="1" applyBorder="1" applyAlignment="1">
      <alignment horizontal="right"/>
    </xf>
    <xf numFmtId="180" fontId="27" fillId="43" borderId="3" xfId="0" applyNumberFormat="1" applyFont="1" applyFill="1" applyBorder="1" applyAlignment="1" applyProtection="1">
      <alignment horizontal="center" vertical="center"/>
      <protection locked="0"/>
    </xf>
    <xf numFmtId="180" fontId="27" fillId="43" borderId="4" xfId="0" applyNumberFormat="1" applyFont="1" applyFill="1" applyBorder="1" applyAlignment="1" applyProtection="1">
      <alignment horizontal="center" vertical="center"/>
      <protection locked="0"/>
    </xf>
    <xf numFmtId="180" fontId="27"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0" fontId="26" fillId="0" borderId="6" xfId="0" applyFont="1" applyBorder="1" applyAlignment="1">
      <alignment horizontal="center"/>
    </xf>
    <xf numFmtId="0" fontId="26" fillId="0" borderId="10" xfId="0"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8" fillId="5" borderId="9" xfId="0" applyFont="1" applyFill="1" applyBorder="1" applyAlignment="1" applyProtection="1">
      <alignment horizontal="center"/>
      <protection locked="0"/>
    </xf>
    <xf numFmtId="0" fontId="19"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3" fontId="28" fillId="0" borderId="11" xfId="0" applyNumberFormat="1" applyFont="1" applyBorder="1" applyAlignment="1">
      <alignment horizontal="center"/>
    </xf>
    <xf numFmtId="168" fontId="28" fillId="0" borderId="3" xfId="0" applyNumberFormat="1" applyFont="1" applyBorder="1" applyAlignment="1">
      <alignment horizontal="left" vertical="top"/>
    </xf>
    <xf numFmtId="168" fontId="28" fillId="0" borderId="4" xfId="0" applyNumberFormat="1" applyFont="1" applyBorder="1" applyAlignment="1">
      <alignment horizontal="left" vertical="top"/>
    </xf>
    <xf numFmtId="168" fontId="28" fillId="0" borderId="5" xfId="0" applyNumberFormat="1" applyFont="1" applyBorder="1" applyAlignment="1">
      <alignment horizontal="left" vertical="top"/>
    </xf>
    <xf numFmtId="10" fontId="28"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8"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8" fillId="5" borderId="11" xfId="0" applyFont="1" applyFill="1" applyBorder="1" applyAlignment="1" applyProtection="1">
      <alignment horizontal="center"/>
      <protection locked="0"/>
    </xf>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165" fontId="28" fillId="5" borderId="3" xfId="0" applyNumberFormat="1" applyFont="1" applyFill="1" applyBorder="1" applyAlignment="1" applyProtection="1">
      <alignment horizontal="center"/>
      <protection locked="0"/>
    </xf>
    <xf numFmtId="165" fontId="28" fillId="5" borderId="4" xfId="0" applyNumberFormat="1" applyFont="1" applyFill="1" applyBorder="1" applyAlignment="1" applyProtection="1">
      <alignment horizontal="center"/>
      <protection locked="0"/>
    </xf>
    <xf numFmtId="165" fontId="2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28" fillId="5" borderId="11" xfId="0" applyNumberFormat="1" applyFont="1" applyFill="1" applyBorder="1" applyAlignment="1" applyProtection="1">
      <alignment horizontal="center"/>
      <protection locked="0"/>
    </xf>
    <xf numFmtId="175" fontId="19" fillId="43" borderId="3" xfId="0" applyNumberFormat="1" applyFont="1" applyFill="1" applyBorder="1" applyAlignment="1" applyProtection="1">
      <alignment horizontal="center" vertical="center"/>
      <protection locked="0"/>
    </xf>
    <xf numFmtId="175" fontId="19" fillId="43" borderId="4" xfId="0" applyNumberFormat="1" applyFont="1" applyFill="1" applyBorder="1" applyAlignment="1" applyProtection="1">
      <alignment horizontal="center" vertical="center"/>
      <protection locked="0"/>
    </xf>
    <xf numFmtId="175" fontId="19"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68" fontId="55" fillId="0" borderId="2" xfId="0" applyNumberFormat="1" applyFont="1" applyBorder="1" applyAlignment="1">
      <alignment horizontal="left" vertical="top" wrapText="1"/>
    </xf>
    <xf numFmtId="168" fontId="55" fillId="0" borderId="0" xfId="0" applyNumberFormat="1" applyFont="1" applyAlignment="1">
      <alignment horizontal="left" vertical="top" wrapText="1"/>
    </xf>
    <xf numFmtId="0" fontId="19" fillId="5" borderId="11" xfId="0" applyFont="1" applyFill="1" applyBorder="1" applyAlignment="1" applyProtection="1">
      <alignment vertical="center" wrapText="1"/>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9" fillId="43" borderId="3" xfId="0" applyNumberFormat="1" applyFont="1" applyFill="1" applyBorder="1" applyAlignment="1" applyProtection="1">
      <alignment horizontal="center" vertical="center"/>
      <protection locked="0"/>
    </xf>
    <xf numFmtId="168" fontId="19" fillId="43" borderId="4" xfId="0" applyNumberFormat="1" applyFont="1" applyFill="1" applyBorder="1" applyAlignment="1" applyProtection="1">
      <alignment horizontal="center" vertical="center"/>
      <protection locked="0"/>
    </xf>
    <xf numFmtId="168" fontId="19" fillId="43" borderId="5" xfId="0" applyNumberFormat="1" applyFont="1" applyFill="1" applyBorder="1" applyAlignment="1" applyProtection="1">
      <alignment horizontal="center" vertical="center"/>
      <protection locked="0"/>
    </xf>
    <xf numFmtId="0" fontId="28"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6" fontId="28" fillId="5" borderId="4" xfId="0" applyNumberFormat="1" applyFont="1" applyFill="1" applyBorder="1" applyAlignment="1" applyProtection="1">
      <alignment horizontal="left"/>
      <protection locked="0"/>
    </xf>
    <xf numFmtId="0" fontId="0" fillId="0" borderId="6" xfId="0" applyBorder="1" applyAlignment="1">
      <alignment horizontal="left"/>
    </xf>
    <xf numFmtId="0" fontId="19" fillId="0" borderId="11" xfId="543" applyBorder="1" applyAlignment="1">
      <alignment horizontal="center"/>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 fontId="28" fillId="5" borderId="11" xfId="0" quotePrefix="1" applyNumberFormat="1" applyFont="1" applyFill="1" applyBorder="1" applyAlignment="1" applyProtection="1">
      <alignment horizontal="center"/>
      <protection locked="0"/>
    </xf>
    <xf numFmtId="1" fontId="28" fillId="5" borderId="11" xfId="0" applyNumberFormat="1" applyFont="1" applyFill="1" applyBorder="1" applyAlignment="1" applyProtection="1">
      <alignment horizontal="center"/>
      <protection locked="0"/>
    </xf>
    <xf numFmtId="0" fontId="19" fillId="5" borderId="4" xfId="0" applyFont="1" applyFill="1" applyBorder="1" applyAlignment="1" applyProtection="1">
      <alignment wrapText="1"/>
      <protection locked="0"/>
    </xf>
    <xf numFmtId="0" fontId="19" fillId="0" borderId="3"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3" fontId="0" fillId="0" borderId="6" xfId="0" applyNumberFormat="1" applyBorder="1" applyAlignment="1">
      <alignment horizontal="right"/>
    </xf>
    <xf numFmtId="0" fontId="28" fillId="5" borderId="4" xfId="0" applyFont="1" applyFill="1" applyBorder="1" applyAlignment="1" applyProtection="1">
      <alignment wrapText="1"/>
      <protection locked="0"/>
    </xf>
    <xf numFmtId="175" fontId="19" fillId="43" borderId="3" xfId="0" applyNumberFormat="1" applyFont="1" applyFill="1" applyBorder="1" applyAlignment="1" applyProtection="1">
      <alignment horizontal="center"/>
      <protection locked="0"/>
    </xf>
    <xf numFmtId="175" fontId="19" fillId="43" borderId="4" xfId="0" applyNumberFormat="1" applyFont="1" applyFill="1" applyBorder="1" applyAlignment="1" applyProtection="1">
      <alignment horizontal="center"/>
      <protection locked="0"/>
    </xf>
    <xf numFmtId="175" fontId="19" fillId="43" borderId="5" xfId="0" applyNumberFormat="1" applyFont="1" applyFill="1" applyBorder="1" applyAlignment="1" applyProtection="1">
      <alignment horizontal="center"/>
      <protection locked="0"/>
    </xf>
    <xf numFmtId="168" fontId="28" fillId="5" borderId="6" xfId="0" applyNumberFormat="1" applyFont="1" applyFill="1" applyBorder="1" applyAlignment="1" applyProtection="1">
      <alignment horizontal="right"/>
      <protection locked="0"/>
    </xf>
    <xf numFmtId="0" fontId="38" fillId="5" borderId="6" xfId="0" applyFont="1" applyFill="1" applyBorder="1" applyAlignment="1" applyProtection="1">
      <alignment horizontal="left"/>
      <protection locked="0"/>
    </xf>
    <xf numFmtId="0" fontId="19" fillId="5" borderId="11" xfId="0" applyFont="1" applyFill="1" applyBorder="1" applyAlignment="1" applyProtection="1">
      <alignment horizontal="left" vertical="center" wrapText="1"/>
      <protection locked="0"/>
    </xf>
    <xf numFmtId="0" fontId="0" fillId="0" borderId="3" xfId="0" applyBorder="1" applyAlignment="1">
      <alignment horizontal="left"/>
    </xf>
    <xf numFmtId="0" fontId="19" fillId="0" borderId="1" xfId="0" applyFont="1" applyBorder="1" applyAlignment="1">
      <alignment horizontal="center" vertical="top" wrapText="1"/>
    </xf>
    <xf numFmtId="0" fontId="28" fillId="0" borderId="2" xfId="0" applyFont="1" applyBorder="1" applyAlignment="1">
      <alignment horizontal="center" vertical="top" wrapText="1"/>
    </xf>
    <xf numFmtId="0" fontId="28" fillId="0" borderId="7" xfId="0" applyFont="1" applyBorder="1" applyAlignment="1">
      <alignment horizontal="center" vertical="top" wrapText="1"/>
    </xf>
    <xf numFmtId="0" fontId="28" fillId="0" borderId="8" xfId="0" applyFont="1" applyBorder="1" applyAlignment="1">
      <alignment horizontal="center" vertical="top" wrapText="1"/>
    </xf>
    <xf numFmtId="0" fontId="28" fillId="0" borderId="0" xfId="0" applyFont="1" applyAlignment="1">
      <alignment horizontal="center" vertical="top" wrapText="1"/>
    </xf>
    <xf numFmtId="0" fontId="28" fillId="0" borderId="12" xfId="0" applyFont="1" applyBorder="1" applyAlignment="1">
      <alignment horizontal="center" vertical="top" wrapText="1"/>
    </xf>
    <xf numFmtId="0" fontId="28" fillId="0" borderId="9" xfId="0" applyFont="1" applyBorder="1" applyAlignment="1">
      <alignment horizontal="center" vertical="top" wrapText="1"/>
    </xf>
    <xf numFmtId="0" fontId="28" fillId="0" borderId="6" xfId="0" applyFont="1" applyBorder="1" applyAlignment="1">
      <alignment horizontal="center" vertical="top" wrapText="1"/>
    </xf>
    <xf numFmtId="0" fontId="28" fillId="0" borderId="10"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9"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9" fillId="0" borderId="4" xfId="0" applyFont="1" applyBorder="1" applyAlignment="1">
      <alignment horizontal="left"/>
    </xf>
    <xf numFmtId="0" fontId="19" fillId="0" borderId="5" xfId="0" applyFont="1" applyBorder="1" applyAlignment="1">
      <alignment horizontal="left"/>
    </xf>
    <xf numFmtId="0" fontId="0" fillId="0" borderId="6" xfId="0" applyBorder="1" applyAlignment="1" applyProtection="1">
      <alignment horizontal="center"/>
      <protection locked="0"/>
    </xf>
    <xf numFmtId="178" fontId="28" fillId="5" borderId="4" xfId="0" applyNumberFormat="1" applyFont="1" applyFill="1" applyBorder="1" applyAlignment="1" applyProtection="1">
      <alignment horizontal="right"/>
      <protection locked="0"/>
    </xf>
    <xf numFmtId="0" fontId="27"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5" borderId="6" xfId="0" applyFont="1" applyFill="1" applyBorder="1" applyAlignment="1" applyProtection="1">
      <alignment horizontal="left"/>
      <protection locked="0"/>
    </xf>
    <xf numFmtId="1" fontId="28" fillId="5" borderId="6" xfId="0" applyNumberFormat="1" applyFont="1" applyFill="1" applyBorder="1" applyAlignment="1" applyProtection="1">
      <alignment horizontal="right"/>
      <protection locked="0"/>
    </xf>
    <xf numFmtId="0" fontId="28" fillId="5" borderId="6" xfId="0" applyFont="1" applyFill="1" applyBorder="1" applyAlignment="1" applyProtection="1">
      <alignment horizontal="left"/>
      <protection locked="0"/>
    </xf>
    <xf numFmtId="0" fontId="28" fillId="0" borderId="0" xfId="0" applyFont="1" applyAlignment="1">
      <alignment horizontal="left" vertical="top" wrapText="1"/>
    </xf>
    <xf numFmtId="166" fontId="19" fillId="5" borderId="4" xfId="0" applyNumberFormat="1" applyFont="1" applyFill="1" applyBorder="1" applyAlignment="1" applyProtection="1">
      <alignment horizontal="left"/>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9"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8" fillId="5" borderId="4" xfId="0" applyFont="1" applyFill="1" applyBorder="1" applyAlignment="1" applyProtection="1">
      <alignment horizontal="right"/>
      <protection locked="0"/>
    </xf>
    <xf numFmtId="168" fontId="28"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5" borderId="6" xfId="0" applyFill="1" applyBorder="1" applyProtection="1">
      <protection locked="0"/>
    </xf>
    <xf numFmtId="0" fontId="28" fillId="0" borderId="4" xfId="0" applyFont="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43" borderId="6" xfId="0" applyFont="1" applyFill="1" applyBorder="1" applyAlignment="1" applyProtection="1">
      <alignment vertical="center"/>
      <protection locked="0"/>
    </xf>
    <xf numFmtId="0" fontId="25" fillId="3" borderId="0" xfId="0" applyFont="1" applyFill="1" applyAlignment="1">
      <alignment horizontal="center" vertical="center"/>
    </xf>
    <xf numFmtId="0" fontId="19" fillId="0" borderId="0" xfId="0" applyFont="1" applyAlignment="1">
      <alignment wrapText="1"/>
    </xf>
    <xf numFmtId="0" fontId="28" fillId="43" borderId="6" xfId="0" applyFont="1" applyFill="1" applyBorder="1" applyAlignment="1" applyProtection="1">
      <alignment horizontal="left"/>
      <protection locked="0"/>
    </xf>
    <xf numFmtId="0" fontId="19" fillId="0" borderId="6" xfId="0" applyFont="1" applyBorder="1" applyAlignment="1">
      <alignment horizontal="left"/>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9" fillId="5" borderId="6" xfId="244" applyFont="1" applyFill="1" applyBorder="1" applyAlignment="1" applyProtection="1">
      <alignment horizontal="left"/>
      <protection locked="0"/>
    </xf>
    <xf numFmtId="0" fontId="19" fillId="5" borderId="0" xfId="244" applyFont="1" applyFill="1" applyBorder="1" applyAlignment="1" applyProtection="1">
      <alignment horizontal="left"/>
      <protection locked="0"/>
    </xf>
    <xf numFmtId="0" fontId="28" fillId="5" borderId="6" xfId="0" applyFont="1" applyFill="1" applyBorder="1" applyAlignment="1" applyProtection="1">
      <alignment horizontal="left" wrapText="1"/>
      <protection locked="0"/>
    </xf>
    <xf numFmtId="166" fontId="28" fillId="5" borderId="6" xfId="0" applyNumberFormat="1" applyFont="1" applyFill="1" applyBorder="1" applyAlignment="1" applyProtection="1">
      <alignment horizontal="left"/>
      <protection locked="0"/>
    </xf>
    <xf numFmtId="0" fontId="0" fillId="0" borderId="0" xfId="0" applyAlignment="1">
      <alignment wrapText="1"/>
    </xf>
    <xf numFmtId="0" fontId="154" fillId="0" borderId="0" xfId="0" applyFont="1" applyAlignment="1" applyProtection="1">
      <alignment horizontal="left" vertical="top" wrapText="1"/>
      <protection locked="0"/>
    </xf>
    <xf numFmtId="0" fontId="19" fillId="0" borderId="6" xfId="0" applyFont="1" applyBorder="1" applyAlignment="1" applyProtection="1">
      <alignment horizontal="center"/>
      <protection locked="0"/>
    </xf>
    <xf numFmtId="0" fontId="19" fillId="0" borderId="6" xfId="0" applyFont="1" applyBorder="1" applyAlignment="1" applyProtection="1">
      <alignment horizontal="left"/>
      <protection locked="0"/>
    </xf>
    <xf numFmtId="0" fontId="20" fillId="0" borderId="0" xfId="244" applyFill="1" applyAlignment="1" applyProtection="1">
      <alignment horizontal="left"/>
      <protection locked="0"/>
    </xf>
    <xf numFmtId="168" fontId="19"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9"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8"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8" fillId="5" borderId="6" xfId="271" applyNumberFormat="1" applyFill="1" applyBorder="1" applyAlignment="1" applyProtection="1">
      <alignment horizontal="left"/>
      <protection locked="0"/>
    </xf>
    <xf numFmtId="0" fontId="19" fillId="0" borderId="0" xfId="0" applyFont="1" applyAlignment="1" applyProtection="1">
      <alignment horizontal="left"/>
      <protection locked="0"/>
    </xf>
    <xf numFmtId="9" fontId="27" fillId="0" borderId="3" xfId="4494" applyFont="1" applyBorder="1" applyAlignment="1" applyProtection="1">
      <alignment horizontal="center"/>
    </xf>
    <xf numFmtId="9" fontId="27"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9" fillId="5" borderId="6" xfId="0" applyFont="1" applyFill="1" applyBorder="1" applyAlignment="1" applyProtection="1">
      <alignment horizontal="left" wrapText="1"/>
      <protection locked="0"/>
    </xf>
    <xf numFmtId="166" fontId="19" fillId="5" borderId="6" xfId="0" applyNumberFormat="1" applyFont="1" applyFill="1" applyBorder="1" applyAlignment="1" applyProtection="1">
      <alignment horizontal="left"/>
      <protection locked="0"/>
    </xf>
    <xf numFmtId="166" fontId="28" fillId="5" borderId="4" xfId="271" applyNumberFormat="1" applyFill="1" applyBorder="1" applyAlignment="1" applyProtection="1">
      <alignment horizontal="left"/>
      <protection locked="0"/>
    </xf>
    <xf numFmtId="0" fontId="28" fillId="0" borderId="6" xfId="0" applyFont="1" applyBorder="1" applyAlignment="1">
      <alignment horizontal="left"/>
    </xf>
    <xf numFmtId="0" fontId="19" fillId="0" borderId="3" xfId="271" applyFont="1" applyBorder="1" applyAlignment="1">
      <alignment horizontal="left"/>
    </xf>
    <xf numFmtId="0" fontId="19" fillId="0" borderId="4" xfId="271" applyFont="1" applyBorder="1" applyAlignment="1">
      <alignment horizontal="left"/>
    </xf>
    <xf numFmtId="0" fontId="19" fillId="0" borderId="5" xfId="271" applyFont="1" applyBorder="1" applyAlignment="1">
      <alignment horizontal="left"/>
    </xf>
    <xf numFmtId="10" fontId="28" fillId="5" borderId="4" xfId="0" applyNumberFormat="1" applyFont="1" applyFill="1" applyBorder="1" applyAlignment="1" applyProtection="1">
      <alignment horizontal="right"/>
      <protection locked="0"/>
    </xf>
    <xf numFmtId="0" fontId="27"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8" fillId="5" borderId="0" xfId="0" applyFont="1" applyFill="1" applyAlignment="1" applyProtection="1">
      <alignment horizontal="left" vertical="top" wrapText="1"/>
      <protection locked="0"/>
    </xf>
    <xf numFmtId="0" fontId="28" fillId="5" borderId="6" xfId="0" applyFont="1"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4" fontId="28" fillId="5" borderId="4" xfId="0" applyNumberFormat="1" applyFont="1" applyFill="1" applyBorder="1" applyAlignment="1" applyProtection="1">
      <alignment horizontal="right"/>
      <protection locked="0"/>
    </xf>
    <xf numFmtId="2" fontId="0" fillId="0" borderId="6" xfId="0" applyNumberFormat="1" applyBorder="1" applyAlignment="1">
      <alignment horizontal="center"/>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8" fillId="0" borderId="1" xfId="0" applyFont="1" applyBorder="1" applyAlignment="1">
      <alignment horizontal="center" vertical="top" wrapText="1"/>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6" fillId="5" borderId="11" xfId="0" applyFont="1" applyFill="1" applyBorder="1" applyAlignment="1" applyProtection="1">
      <alignment horizontal="center"/>
      <protection locked="0"/>
    </xf>
    <xf numFmtId="0" fontId="19" fillId="5" borderId="11" xfId="0" applyFont="1" applyFill="1" applyBorder="1" applyAlignment="1" applyProtection="1">
      <alignment horizontal="left" wrapText="1"/>
      <protection locked="0"/>
    </xf>
    <xf numFmtId="168" fontId="0" fillId="0" borderId="11" xfId="0" applyNumberFormat="1" applyBorder="1" applyAlignment="1">
      <alignment horizontal="right"/>
    </xf>
    <xf numFmtId="165" fontId="26" fillId="0" borderId="3" xfId="271" applyNumberFormat="1" applyFont="1" applyBorder="1" applyAlignment="1">
      <alignment horizontal="center"/>
    </xf>
    <xf numFmtId="165" fontId="26" fillId="0" borderId="4" xfId="271" applyNumberFormat="1" applyFont="1" applyBorder="1" applyAlignment="1">
      <alignment horizontal="center"/>
    </xf>
    <xf numFmtId="165" fontId="26" fillId="0" borderId="5" xfId="271" applyNumberFormat="1" applyFont="1" applyBorder="1" applyAlignment="1">
      <alignment horizontal="center"/>
    </xf>
    <xf numFmtId="0" fontId="0" fillId="0" borderId="9" xfId="0" applyBorder="1" applyAlignment="1">
      <alignment horizontal="left"/>
    </xf>
    <xf numFmtId="0" fontId="28" fillId="0" borderId="11" xfId="0" applyFont="1" applyBorder="1" applyAlignment="1">
      <alignment horizontal="center" vertical="top" wrapText="1"/>
    </xf>
    <xf numFmtId="0" fontId="28"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6" fillId="0" borderId="11" xfId="0" applyFont="1" applyBorder="1" applyAlignment="1">
      <alignment horizontal="center"/>
    </xf>
    <xf numFmtId="0" fontId="0" fillId="5" borderId="3" xfId="0" quotePrefix="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7" fillId="5" borderId="3" xfId="0" applyNumberFormat="1" applyFont="1" applyFill="1" applyBorder="1" applyAlignment="1" applyProtection="1">
      <alignment horizontal="left"/>
      <protection locked="0"/>
    </xf>
    <xf numFmtId="164" fontId="27" fillId="5" borderId="4" xfId="0" applyNumberFormat="1" applyFont="1" applyFill="1" applyBorder="1" applyAlignment="1" applyProtection="1">
      <alignment horizontal="left"/>
      <protection locked="0"/>
    </xf>
    <xf numFmtId="164" fontId="27" fillId="5" borderId="5" xfId="0" applyNumberFormat="1" applyFont="1" applyFill="1" applyBorder="1" applyAlignment="1" applyProtection="1">
      <alignment horizontal="left"/>
      <protection locked="0"/>
    </xf>
    <xf numFmtId="168" fontId="157" fillId="0" borderId="0" xfId="0" applyNumberFormat="1" applyFont="1" applyAlignment="1">
      <alignment horizontal="center" vertical="center" wrapText="1"/>
    </xf>
    <xf numFmtId="168" fontId="0" fillId="5" borderId="11"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2" fontId="19" fillId="0" borderId="0" xfId="543" applyNumberFormat="1" applyAlignment="1">
      <alignment horizontal="center"/>
    </xf>
    <xf numFmtId="0" fontId="19" fillId="0" borderId="0" xfId="543" applyAlignment="1">
      <alignment horizontal="center"/>
    </xf>
    <xf numFmtId="171" fontId="19" fillId="0" borderId="0" xfId="543" applyNumberFormat="1" applyAlignment="1">
      <alignment horizontal="center"/>
    </xf>
    <xf numFmtId="171" fontId="19" fillId="0" borderId="0" xfId="543" applyNumberFormat="1" applyAlignment="1">
      <alignment horizontal="right"/>
    </xf>
    <xf numFmtId="0" fontId="19" fillId="0" borderId="3" xfId="0" applyFont="1" applyBorder="1"/>
    <xf numFmtId="0" fontId="19" fillId="0" borderId="4" xfId="0" applyFont="1" applyBorder="1"/>
    <xf numFmtId="0" fontId="19" fillId="0" borderId="5" xfId="0" applyFon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6" fillId="0" borderId="2" xfId="0" applyFont="1" applyBorder="1" applyAlignment="1">
      <alignment horizontal="right"/>
    </xf>
    <xf numFmtId="0" fontId="26" fillId="0" borderId="7" xfId="0" applyFont="1" applyBorder="1" applyAlignment="1">
      <alignment horizontal="right"/>
    </xf>
    <xf numFmtId="9" fontId="19" fillId="0" borderId="0" xfId="543" applyNumberFormat="1" applyAlignment="1">
      <alignment horizontal="center" vertical="center"/>
    </xf>
    <xf numFmtId="0" fontId="26" fillId="0" borderId="1" xfId="0" applyFont="1" applyBorder="1" applyAlignment="1">
      <alignment horizontal="center"/>
    </xf>
    <xf numFmtId="0" fontId="26" fillId="0" borderId="2" xfId="0" applyFont="1" applyBorder="1" applyAlignment="1">
      <alignment horizontal="center"/>
    </xf>
    <xf numFmtId="0" fontId="26" fillId="0" borderId="7" xfId="0" applyFont="1" applyBorder="1" applyAlignment="1">
      <alignment horizontal="center"/>
    </xf>
    <xf numFmtId="3" fontId="0" fillId="0" borderId="4" xfId="0" applyNumberFormat="1" applyBorder="1" applyAlignment="1">
      <alignment horizontal="right"/>
    </xf>
    <xf numFmtId="3" fontId="0" fillId="0" borderId="5" xfId="0" applyNumberFormat="1" applyBorder="1" applyAlignment="1">
      <alignment horizontal="right"/>
    </xf>
    <xf numFmtId="168" fontId="19" fillId="5" borderId="10" xfId="0" applyNumberFormat="1" applyFont="1" applyFill="1" applyBorder="1" applyAlignment="1" applyProtection="1">
      <alignment horizontal="right"/>
      <protection locked="0"/>
    </xf>
    <xf numFmtId="168" fontId="19"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5" borderId="3" xfId="0" applyFont="1" applyFill="1" applyBorder="1" applyProtection="1">
      <protection locked="0"/>
    </xf>
    <xf numFmtId="0" fontId="28" fillId="0" borderId="4" xfId="0" applyFont="1" applyBorder="1" applyProtection="1">
      <protection locked="0"/>
    </xf>
    <xf numFmtId="0" fontId="28" fillId="0" borderId="5" xfId="0" applyFont="1" applyBorder="1" applyProtection="1">
      <protection locked="0"/>
    </xf>
    <xf numFmtId="168" fontId="0" fillId="0" borderId="3" xfId="0" applyNumberFormat="1" applyBorder="1"/>
    <xf numFmtId="168" fontId="0" fillId="0" borderId="4" xfId="0" applyNumberFormat="1" applyBorder="1"/>
    <xf numFmtId="168" fontId="0" fillId="0" borderId="5" xfId="0" applyNumberFormat="1" applyBorder="1"/>
    <xf numFmtId="14" fontId="0" fillId="5" borderId="4" xfId="0" applyNumberFormat="1" applyFill="1" applyBorder="1" applyAlignment="1" applyProtection="1">
      <alignment horizontal="center"/>
      <protection locked="0"/>
    </xf>
    <xf numFmtId="172" fontId="26" fillId="0" borderId="11" xfId="0" applyNumberFormat="1" applyFont="1" applyBorder="1" applyAlignment="1">
      <alignment horizontal="center" vertical="center" wrapText="1"/>
    </xf>
    <xf numFmtId="0" fontId="35" fillId="0" borderId="1"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7"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0" xfId="0" applyFont="1" applyAlignment="1">
      <alignment horizontal="center" vertical="center" wrapText="1"/>
    </xf>
    <xf numFmtId="0" fontId="35" fillId="0" borderId="12"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6" xfId="0" applyFont="1" applyBorder="1" applyAlignment="1">
      <alignment horizontal="center" vertical="center" wrapText="1"/>
    </xf>
    <xf numFmtId="0" fontId="35" fillId="0" borderId="10" xfId="0" applyFont="1" applyBorder="1" applyAlignment="1">
      <alignment horizontal="center" vertical="center" wrapText="1"/>
    </xf>
    <xf numFmtId="0" fontId="26" fillId="0" borderId="9" xfId="0" applyFont="1" applyBorder="1" applyAlignment="1">
      <alignment horizontal="right"/>
    </xf>
    <xf numFmtId="0" fontId="26" fillId="0" borderId="10" xfId="0" applyFont="1" applyBorder="1" applyAlignment="1">
      <alignment horizontal="right"/>
    </xf>
    <xf numFmtId="0" fontId="19" fillId="0" borderId="3" xfId="543" applyBorder="1" applyAlignment="1">
      <alignment horizontal="center"/>
    </xf>
    <xf numFmtId="0" fontId="19" fillId="0" borderId="4" xfId="543" applyBorder="1" applyAlignment="1">
      <alignment horizontal="center"/>
    </xf>
    <xf numFmtId="0" fontId="19" fillId="0" borderId="5" xfId="543" applyBorder="1" applyAlignment="1">
      <alignment horizontal="center"/>
    </xf>
    <xf numFmtId="0" fontId="38" fillId="5" borderId="3" xfId="543" applyFont="1" applyFill="1" applyBorder="1" applyAlignment="1">
      <alignment horizontal="center"/>
    </xf>
    <xf numFmtId="0" fontId="38" fillId="5" borderId="4" xfId="543" applyFont="1" applyFill="1" applyBorder="1" applyAlignment="1">
      <alignment horizontal="center"/>
    </xf>
    <xf numFmtId="0" fontId="38" fillId="5" borderId="5" xfId="543" applyFont="1" applyFill="1" applyBorder="1" applyAlignment="1">
      <alignment horizontal="center"/>
    </xf>
    <xf numFmtId="49" fontId="19" fillId="5" borderId="3" xfId="543" applyNumberFormat="1" applyFill="1" applyBorder="1" applyAlignment="1">
      <alignment horizontal="center"/>
    </xf>
    <xf numFmtId="49" fontId="19" fillId="5" borderId="5" xfId="543" applyNumberFormat="1" applyFill="1" applyBorder="1" applyAlignment="1">
      <alignment horizontal="center"/>
    </xf>
    <xf numFmtId="168" fontId="0" fillId="0" borderId="11" xfId="0" applyNumberFormat="1" applyBorder="1" applyAlignment="1">
      <alignment horizontal="center"/>
    </xf>
    <xf numFmtId="168" fontId="19" fillId="5" borderId="3"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68" fontId="19" fillId="5" borderId="5" xfId="0" applyNumberFormat="1" applyFont="1" applyFill="1" applyBorder="1" applyAlignment="1" applyProtection="1">
      <alignment horizontal="right"/>
      <protection locked="0"/>
    </xf>
    <xf numFmtId="164" fontId="38" fillId="5" borderId="3" xfId="0" applyNumberFormat="1" applyFont="1" applyFill="1" applyBorder="1" applyAlignment="1" applyProtection="1">
      <alignment horizontal="left"/>
      <protection locked="0"/>
    </xf>
    <xf numFmtId="164" fontId="38" fillId="5" borderId="4" xfId="0" applyNumberFormat="1" applyFont="1" applyFill="1" applyBorder="1" applyAlignment="1" applyProtection="1">
      <alignment horizontal="left"/>
      <protection locked="0"/>
    </xf>
    <xf numFmtId="164" fontId="38" fillId="5" borderId="5" xfId="0" applyNumberFormat="1" applyFont="1" applyFill="1" applyBorder="1" applyAlignment="1" applyProtection="1">
      <alignment horizontal="left"/>
      <protection locked="0"/>
    </xf>
    <xf numFmtId="0" fontId="28" fillId="0" borderId="3" xfId="0" applyFont="1" applyBorder="1" applyAlignment="1">
      <alignment horizontal="left"/>
    </xf>
    <xf numFmtId="14"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right"/>
      <protection locked="0"/>
    </xf>
    <xf numFmtId="0" fontId="26" fillId="5" borderId="4" xfId="0" applyFont="1" applyFill="1" applyBorder="1" applyAlignment="1" applyProtection="1">
      <alignment horizontal="right"/>
      <protection locked="0"/>
    </xf>
    <xf numFmtId="0" fontId="26" fillId="5" borderId="5" xfId="0" applyFont="1" applyFill="1" applyBorder="1" applyAlignment="1" applyProtection="1">
      <alignment horizontal="right"/>
      <protection locked="0"/>
    </xf>
    <xf numFmtId="0" fontId="19" fillId="5" borderId="3"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26" fillId="0" borderId="2" xfId="0" applyFont="1" applyBorder="1" applyAlignment="1">
      <alignment horizontal="center" wrapText="1"/>
    </xf>
    <xf numFmtId="0" fontId="26" fillId="0" borderId="7" xfId="0" applyFont="1" applyBorder="1" applyAlignment="1">
      <alignment horizontal="center" wrapText="1"/>
    </xf>
    <xf numFmtId="0" fontId="26" fillId="0" borderId="6" xfId="0" applyFont="1" applyBorder="1" applyAlignment="1">
      <alignment horizontal="center" wrapText="1"/>
    </xf>
    <xf numFmtId="0" fontId="26" fillId="0" borderId="10" xfId="0" applyFont="1" applyBorder="1" applyAlignment="1">
      <alignment horizontal="center" wrapText="1"/>
    </xf>
    <xf numFmtId="168" fontId="19" fillId="10" borderId="3" xfId="543" applyNumberFormat="1" applyFill="1" applyBorder="1" applyAlignment="1">
      <alignment horizontal="center"/>
    </xf>
    <xf numFmtId="168" fontId="19" fillId="10" borderId="4" xfId="543" applyNumberFormat="1" applyFill="1" applyBorder="1" applyAlignment="1">
      <alignment horizontal="center"/>
    </xf>
    <xf numFmtId="168" fontId="19" fillId="10" borderId="5" xfId="543" applyNumberFormat="1" applyFill="1" applyBorder="1" applyAlignment="1">
      <alignment horizontal="center"/>
    </xf>
    <xf numFmtId="9" fontId="19"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9" fillId="5" borderId="3" xfId="0" applyNumberFormat="1" applyFont="1" applyFill="1" applyBorder="1" applyAlignment="1" applyProtection="1">
      <alignment horizontal="left"/>
      <protection locked="0"/>
    </xf>
    <xf numFmtId="168" fontId="19" fillId="5" borderId="4" xfId="0" applyNumberFormat="1" applyFont="1" applyFill="1" applyBorder="1" applyAlignment="1" applyProtection="1">
      <alignment horizontal="left"/>
      <protection locked="0"/>
    </xf>
    <xf numFmtId="168" fontId="19" fillId="5" borderId="5" xfId="0" applyNumberFormat="1" applyFont="1" applyFill="1" applyBorder="1" applyAlignment="1" applyProtection="1">
      <alignment horizontal="left"/>
      <protection locked="0"/>
    </xf>
    <xf numFmtId="1" fontId="19" fillId="0" borderId="3" xfId="0" applyNumberFormat="1" applyFont="1" applyBorder="1" applyAlignment="1">
      <alignment horizontal="center"/>
    </xf>
    <xf numFmtId="1" fontId="28" fillId="0" borderId="4" xfId="0" applyNumberFormat="1" applyFont="1" applyBorder="1" applyAlignment="1">
      <alignment horizontal="center"/>
    </xf>
    <xf numFmtId="1" fontId="28" fillId="0" borderId="5" xfId="0" applyNumberFormat="1" applyFont="1" applyBorder="1" applyAlignment="1">
      <alignment horizontal="center"/>
    </xf>
    <xf numFmtId="0" fontId="28" fillId="5" borderId="6" xfId="271" applyFill="1" applyBorder="1" applyProtection="1">
      <protection locked="0"/>
    </xf>
    <xf numFmtId="1" fontId="19" fillId="0" borderId="3" xfId="543" applyNumberFormat="1" applyBorder="1" applyAlignment="1">
      <alignment horizontal="center"/>
    </xf>
    <xf numFmtId="1" fontId="19" fillId="0" borderId="4" xfId="543" applyNumberFormat="1" applyBorder="1" applyAlignment="1">
      <alignment horizontal="center"/>
    </xf>
    <xf numFmtId="1" fontId="19" fillId="0" borderId="5" xfId="543" applyNumberFormat="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1" xfId="543" applyFont="1" applyBorder="1" applyAlignment="1">
      <alignment horizontal="left" vertical="center" wrapText="1"/>
    </xf>
    <xf numFmtId="0" fontId="26" fillId="0" borderId="2" xfId="543" applyFont="1" applyBorder="1" applyAlignment="1">
      <alignment horizontal="left" vertical="center" wrapText="1"/>
    </xf>
    <xf numFmtId="0" fontId="26" fillId="0" borderId="7" xfId="543" applyFont="1" applyBorder="1" applyAlignment="1">
      <alignment horizontal="left" vertical="center" wrapText="1"/>
    </xf>
    <xf numFmtId="0" fontId="26" fillId="0" borderId="3" xfId="543" applyFont="1" applyBorder="1" applyAlignment="1">
      <alignment horizontal="right"/>
    </xf>
    <xf numFmtId="0" fontId="26" fillId="0" borderId="4" xfId="543" applyFont="1" applyBorder="1" applyAlignment="1">
      <alignment horizontal="right"/>
    </xf>
    <xf numFmtId="0" fontId="26" fillId="0" borderId="5" xfId="543" applyFont="1" applyBorder="1" applyAlignment="1">
      <alignment horizontal="right"/>
    </xf>
    <xf numFmtId="0" fontId="26" fillId="0" borderId="8" xfId="543" applyFont="1" applyBorder="1" applyAlignment="1">
      <alignment horizontal="left" vertical="center" wrapText="1"/>
    </xf>
    <xf numFmtId="0" fontId="26" fillId="0" borderId="0" xfId="543" applyFont="1" applyAlignment="1">
      <alignment horizontal="left" vertical="center" wrapText="1"/>
    </xf>
    <xf numFmtId="0" fontId="26"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6" fillId="0" borderId="8" xfId="0" applyFont="1" applyBorder="1" applyAlignment="1">
      <alignment horizontal="center" wrapText="1"/>
    </xf>
    <xf numFmtId="0" fontId="26" fillId="0" borderId="0" xfId="0" applyFont="1" applyAlignment="1">
      <alignment horizontal="center" wrapText="1"/>
    </xf>
    <xf numFmtId="0" fontId="26" fillId="0" borderId="12" xfId="0" applyFont="1" applyBorder="1" applyAlignment="1">
      <alignment horizontal="center" wrapText="1"/>
    </xf>
    <xf numFmtId="0" fontId="26" fillId="0" borderId="9" xfId="0" applyFont="1" applyBorder="1" applyAlignment="1">
      <alignment horizontal="center" wrapText="1"/>
    </xf>
    <xf numFmtId="168" fontId="19" fillId="0" borderId="11" xfId="543" applyNumberFormat="1" applyBorder="1" applyAlignment="1">
      <alignment horizontal="center"/>
    </xf>
    <xf numFmtId="0" fontId="55" fillId="5" borderId="3" xfId="0" applyFont="1" applyFill="1" applyBorder="1" applyAlignment="1" applyProtection="1">
      <alignment horizontal="right"/>
      <protection locked="0"/>
    </xf>
    <xf numFmtId="0" fontId="55" fillId="5" borderId="4" xfId="0" applyFont="1" applyFill="1" applyBorder="1" applyAlignment="1" applyProtection="1">
      <alignment horizontal="right"/>
      <protection locked="0"/>
    </xf>
    <xf numFmtId="0" fontId="55" fillId="5" borderId="5" xfId="0" applyFont="1" applyFill="1" applyBorder="1" applyAlignment="1" applyProtection="1">
      <alignment horizontal="right"/>
      <protection locked="0"/>
    </xf>
    <xf numFmtId="0" fontId="19" fillId="0" borderId="9" xfId="543" applyBorder="1" applyAlignment="1">
      <alignment horizontal="left" vertical="center" wrapText="1"/>
    </xf>
    <xf numFmtId="0" fontId="19" fillId="0" borderId="6" xfId="543" applyBorder="1" applyAlignment="1">
      <alignment horizontal="left" vertical="center" wrapText="1"/>
    </xf>
    <xf numFmtId="0" fontId="19" fillId="0" borderId="10" xfId="543" applyBorder="1" applyAlignment="1">
      <alignment horizontal="left" vertical="center" wrapText="1"/>
    </xf>
    <xf numFmtId="0" fontId="26" fillId="0" borderId="11" xfId="0" applyFont="1" applyBorder="1" applyAlignment="1">
      <alignment horizontal="center" vertical="center" wrapText="1"/>
    </xf>
    <xf numFmtId="168" fontId="19" fillId="0" borderId="1" xfId="543" applyNumberFormat="1" applyBorder="1" applyAlignment="1">
      <alignment horizontal="center" vertical="center"/>
    </xf>
    <xf numFmtId="168" fontId="19" fillId="0" borderId="2" xfId="543" applyNumberFormat="1" applyBorder="1" applyAlignment="1">
      <alignment horizontal="center" vertical="center"/>
    </xf>
    <xf numFmtId="168" fontId="19" fillId="0" borderId="7" xfId="543" applyNumberFormat="1" applyBorder="1" applyAlignment="1">
      <alignment horizontal="center" vertical="center"/>
    </xf>
    <xf numFmtId="168" fontId="19" fillId="0" borderId="8" xfId="543" applyNumberFormat="1" applyBorder="1" applyAlignment="1">
      <alignment horizontal="center" vertical="center"/>
    </xf>
    <xf numFmtId="168" fontId="19" fillId="0" borderId="0" xfId="543" applyNumberFormat="1" applyAlignment="1">
      <alignment horizontal="center" vertical="center"/>
    </xf>
    <xf numFmtId="168" fontId="19" fillId="0" borderId="12" xfId="543" applyNumberFormat="1" applyBorder="1" applyAlignment="1">
      <alignment horizontal="center" vertical="center"/>
    </xf>
    <xf numFmtId="0" fontId="19" fillId="0" borderId="8" xfId="543" applyBorder="1" applyAlignment="1">
      <alignment horizontal="left" vertical="top" wrapText="1"/>
    </xf>
    <xf numFmtId="0" fontId="19" fillId="0" borderId="0" xfId="543" applyAlignment="1">
      <alignment horizontal="left" vertical="top" wrapText="1"/>
    </xf>
    <xf numFmtId="0" fontId="19" fillId="0" borderId="12" xfId="543" applyBorder="1" applyAlignment="1">
      <alignment horizontal="left" vertical="top" wrapText="1"/>
    </xf>
    <xf numFmtId="0" fontId="19" fillId="0" borderId="9" xfId="543" applyBorder="1" applyAlignment="1">
      <alignment horizontal="left" vertical="top" wrapText="1"/>
    </xf>
    <xf numFmtId="0" fontId="19" fillId="0" borderId="6" xfId="543" applyBorder="1" applyAlignment="1">
      <alignment horizontal="left" vertical="top" wrapText="1"/>
    </xf>
    <xf numFmtId="0" fontId="19" fillId="0" borderId="10" xfId="543" applyBorder="1" applyAlignment="1">
      <alignment horizontal="left" vertical="top" wrapText="1"/>
    </xf>
    <xf numFmtId="168" fontId="19" fillId="0" borderId="9" xfId="543" applyNumberFormat="1" applyBorder="1" applyAlignment="1">
      <alignment horizontal="center" vertical="center"/>
    </xf>
    <xf numFmtId="168" fontId="19" fillId="0" borderId="6" xfId="543" applyNumberFormat="1" applyBorder="1" applyAlignment="1">
      <alignment horizontal="center" vertical="center"/>
    </xf>
    <xf numFmtId="168" fontId="19" fillId="0" borderId="10" xfId="543" applyNumberFormat="1" applyBorder="1" applyAlignment="1">
      <alignment horizontal="center" vertical="center"/>
    </xf>
    <xf numFmtId="0" fontId="19" fillId="2" borderId="3" xfId="543" applyFill="1" applyBorder="1" applyAlignment="1">
      <alignment horizontal="center"/>
    </xf>
    <xf numFmtId="0" fontId="19" fillId="2" borderId="4" xfId="543" applyFill="1" applyBorder="1" applyAlignment="1">
      <alignment horizontal="center"/>
    </xf>
    <xf numFmtId="0" fontId="19" fillId="2" borderId="5" xfId="543" applyFill="1" applyBorder="1" applyAlignment="1">
      <alignment horizontal="center"/>
    </xf>
    <xf numFmtId="0" fontId="39" fillId="0" borderId="1" xfId="543" applyFont="1" applyBorder="1" applyAlignment="1">
      <alignment horizontal="right"/>
    </xf>
    <xf numFmtId="0" fontId="39" fillId="0" borderId="2" xfId="543" applyFont="1" applyBorder="1" applyAlignment="1">
      <alignment horizontal="right"/>
    </xf>
    <xf numFmtId="0" fontId="39" fillId="0" borderId="7" xfId="543" applyFont="1" applyBorder="1" applyAlignment="1">
      <alignment horizontal="right"/>
    </xf>
    <xf numFmtId="0" fontId="38" fillId="5" borderId="3" xfId="543" applyFont="1" applyFill="1" applyBorder="1" applyAlignment="1" applyProtection="1">
      <alignment horizontal="center"/>
      <protection locked="0"/>
    </xf>
    <xf numFmtId="0" fontId="38" fillId="5" borderId="5" xfId="543" applyFont="1" applyFill="1" applyBorder="1" applyAlignment="1" applyProtection="1">
      <alignment horizontal="center"/>
      <protection locked="0"/>
    </xf>
    <xf numFmtId="0" fontId="19" fillId="0" borderId="8" xfId="0" applyFont="1" applyBorder="1" applyAlignment="1">
      <alignment horizontal="left" wrapText="1"/>
    </xf>
    <xf numFmtId="0" fontId="19" fillId="0" borderId="12" xfId="0" applyFont="1" applyBorder="1" applyAlignment="1">
      <alignment horizontal="left" wrapText="1"/>
    </xf>
    <xf numFmtId="0" fontId="19" fillId="0" borderId="9" xfId="0" applyFont="1" applyBorder="1" applyAlignment="1">
      <alignment horizontal="left" wrapText="1"/>
    </xf>
    <xf numFmtId="0" fontId="19" fillId="0" borderId="6" xfId="0" applyFont="1" applyBorder="1" applyAlignment="1">
      <alignment horizontal="left" wrapText="1"/>
    </xf>
    <xf numFmtId="0" fontId="19" fillId="0" borderId="10" xfId="0" applyFont="1" applyBorder="1" applyAlignment="1">
      <alignment horizontal="left" wrapText="1"/>
    </xf>
    <xf numFmtId="0" fontId="38" fillId="0" borderId="3" xfId="543" applyFont="1" applyBorder="1" applyAlignment="1">
      <alignment horizontal="center"/>
    </xf>
    <xf numFmtId="0" fontId="38" fillId="0" borderId="5" xfId="543" applyFont="1" applyBorder="1" applyAlignment="1">
      <alignment horizontal="center"/>
    </xf>
    <xf numFmtId="0" fontId="38" fillId="5" borderId="9" xfId="543" applyFont="1" applyFill="1" applyBorder="1" applyAlignment="1" applyProtection="1">
      <alignment horizontal="center"/>
      <protection locked="0"/>
    </xf>
    <xf numFmtId="0" fontId="38" fillId="5" borderId="10" xfId="543" applyFont="1" applyFill="1" applyBorder="1" applyAlignment="1" applyProtection="1">
      <alignment horizontal="center"/>
      <protection locked="0"/>
    </xf>
    <xf numFmtId="0" fontId="26" fillId="0" borderId="1" xfId="0" applyFont="1" applyBorder="1" applyAlignment="1">
      <alignment horizontal="center" wrapText="1"/>
    </xf>
    <xf numFmtId="168" fontId="19"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6" fillId="10" borderId="3" xfId="543" applyFont="1" applyFill="1" applyBorder="1" applyAlignment="1">
      <alignment horizontal="center"/>
    </xf>
    <xf numFmtId="0" fontId="26" fillId="10" borderId="4" xfId="543" applyFont="1" applyFill="1" applyBorder="1" applyAlignment="1">
      <alignment horizontal="center"/>
    </xf>
    <xf numFmtId="0" fontId="26" fillId="10" borderId="5" xfId="543" applyFont="1" applyFill="1" applyBorder="1" applyAlignment="1">
      <alignment horizontal="center"/>
    </xf>
    <xf numFmtId="0" fontId="38" fillId="5" borderId="3" xfId="543" applyFont="1" applyFill="1" applyBorder="1" applyAlignment="1" applyProtection="1">
      <alignment horizontal="center" vertical="top"/>
      <protection locked="0"/>
    </xf>
    <xf numFmtId="0" fontId="38" fillId="5" borderId="5" xfId="543" applyFont="1" applyFill="1" applyBorder="1" applyAlignment="1" applyProtection="1">
      <alignment horizontal="center" vertical="top"/>
      <protection locked="0"/>
    </xf>
    <xf numFmtId="0" fontId="26" fillId="0" borderId="1" xfId="543" applyFont="1" applyBorder="1" applyAlignment="1">
      <alignment horizontal="left" vertical="top" wrapText="1"/>
    </xf>
    <xf numFmtId="0" fontId="26" fillId="0" borderId="2" xfId="543" applyFont="1" applyBorder="1" applyAlignment="1">
      <alignment horizontal="left" vertical="top" wrapText="1"/>
    </xf>
    <xf numFmtId="0" fontId="26" fillId="0" borderId="7" xfId="543" applyFont="1" applyBorder="1" applyAlignment="1">
      <alignment horizontal="left" vertical="top" wrapText="1"/>
    </xf>
    <xf numFmtId="0" fontId="26" fillId="0" borderId="8" xfId="543" applyFont="1" applyBorder="1" applyAlignment="1">
      <alignment horizontal="left" vertical="top" wrapText="1"/>
    </xf>
    <xf numFmtId="0" fontId="26" fillId="0" borderId="0" xfId="543" applyFont="1" applyAlignment="1">
      <alignment horizontal="left" vertical="top" wrapText="1"/>
    </xf>
    <xf numFmtId="0" fontId="26" fillId="0" borderId="12" xfId="543" applyFont="1" applyBorder="1" applyAlignment="1">
      <alignment horizontal="left" vertical="top" wrapText="1"/>
    </xf>
    <xf numFmtId="0" fontId="153" fillId="0" borderId="8" xfId="543" applyFont="1" applyBorder="1" applyAlignment="1">
      <alignment horizontal="center" vertical="center" wrapText="1"/>
    </xf>
    <xf numFmtId="0" fontId="153" fillId="0" borderId="0" xfId="543" applyFont="1" applyAlignment="1">
      <alignment horizontal="center" vertical="center" wrapText="1"/>
    </xf>
    <xf numFmtId="0" fontId="153" fillId="0" borderId="12" xfId="543" applyFont="1" applyBorder="1" applyAlignment="1">
      <alignment horizontal="center" vertical="center" wrapText="1"/>
    </xf>
    <xf numFmtId="0" fontId="19" fillId="0" borderId="8" xfId="543" applyBorder="1" applyAlignment="1">
      <alignment horizontal="left" vertical="center" wrapText="1"/>
    </xf>
    <xf numFmtId="0" fontId="19" fillId="0" borderId="0" xfId="543" applyAlignment="1">
      <alignment horizontal="left" vertical="center" wrapText="1"/>
    </xf>
    <xf numFmtId="0" fontId="19" fillId="0" borderId="12" xfId="543" applyBorder="1" applyAlignment="1">
      <alignment horizontal="left" vertical="center" wrapText="1"/>
    </xf>
    <xf numFmtId="0" fontId="39" fillId="0" borderId="4" xfId="543" applyFont="1" applyBorder="1" applyAlignment="1">
      <alignment horizontal="right" vertical="top" wrapText="1"/>
    </xf>
    <xf numFmtId="0" fontId="39" fillId="0" borderId="5" xfId="543" applyFont="1" applyBorder="1" applyAlignment="1">
      <alignment horizontal="right" vertical="top" wrapText="1"/>
    </xf>
    <xf numFmtId="0" fontId="27" fillId="0" borderId="3" xfId="543" applyFont="1" applyBorder="1" applyAlignment="1">
      <alignment horizontal="center"/>
    </xf>
    <xf numFmtId="0" fontId="27" fillId="0" borderId="5" xfId="543" applyFont="1" applyBorder="1" applyAlignment="1">
      <alignment horizontal="center"/>
    </xf>
    <xf numFmtId="1" fontId="27" fillId="0" borderId="3" xfId="543" applyNumberFormat="1" applyFont="1" applyBorder="1" applyAlignment="1">
      <alignment horizontal="center"/>
    </xf>
    <xf numFmtId="1" fontId="27" fillId="0" borderId="5" xfId="543" applyNumberFormat="1" applyFont="1" applyBorder="1" applyAlignment="1">
      <alignment horizontal="center"/>
    </xf>
    <xf numFmtId="0" fontId="40" fillId="0" borderId="3" xfId="543" applyFont="1" applyBorder="1" applyAlignment="1">
      <alignment horizontal="center"/>
    </xf>
    <xf numFmtId="0" fontId="40" fillId="0" borderId="4" xfId="543" applyFont="1" applyBorder="1" applyAlignment="1">
      <alignment horizontal="center"/>
    </xf>
    <xf numFmtId="0" fontId="40" fillId="0" borderId="5" xfId="543" applyFont="1" applyBorder="1" applyAlignment="1">
      <alignment horizontal="center"/>
    </xf>
    <xf numFmtId="182" fontId="27" fillId="43" borderId="11" xfId="8721" applyNumberFormat="1" applyFont="1" applyFill="1" applyBorder="1" applyAlignment="1" applyProtection="1">
      <alignment horizontal="center" vertical="center" wrapText="1"/>
      <protection locked="0"/>
    </xf>
    <xf numFmtId="0" fontId="27" fillId="5" borderId="3" xfId="0" applyFont="1" applyFill="1" applyBorder="1" applyAlignment="1" applyProtection="1">
      <alignment horizontal="left"/>
      <protection locked="0"/>
    </xf>
    <xf numFmtId="0" fontId="27" fillId="5" borderId="4" xfId="0" applyFont="1" applyFill="1" applyBorder="1" applyAlignment="1" applyProtection="1">
      <alignment horizontal="left"/>
      <protection locked="0"/>
    </xf>
    <xf numFmtId="0" fontId="27" fillId="5" borderId="5" xfId="0" applyFont="1" applyFill="1" applyBorder="1" applyAlignment="1" applyProtection="1">
      <alignment horizontal="left"/>
      <protection locked="0"/>
    </xf>
    <xf numFmtId="0" fontId="46" fillId="0" borderId="8" xfId="543" applyFont="1" applyBorder="1" applyAlignment="1">
      <alignment horizontal="center" vertical="center" wrapText="1"/>
    </xf>
    <xf numFmtId="0" fontId="46" fillId="0" borderId="0" xfId="543" applyFont="1" applyAlignment="1">
      <alignment horizontal="center" vertical="center" wrapText="1"/>
    </xf>
    <xf numFmtId="0" fontId="46" fillId="0" borderId="12" xfId="543" applyFont="1" applyBorder="1" applyAlignment="1">
      <alignment horizontal="center" vertical="center" wrapText="1"/>
    </xf>
    <xf numFmtId="168" fontId="26" fillId="0" borderId="3" xfId="543" applyNumberFormat="1" applyFont="1" applyBorder="1" applyAlignment="1">
      <alignment horizontal="center" vertical="center"/>
    </xf>
    <xf numFmtId="168" fontId="26" fillId="0" borderId="4" xfId="543" applyNumberFormat="1" applyFont="1" applyBorder="1" applyAlignment="1">
      <alignment horizontal="center" vertical="center"/>
    </xf>
    <xf numFmtId="168" fontId="26" fillId="0" borderId="5" xfId="543" applyNumberFormat="1" applyFont="1" applyBorder="1" applyAlignment="1">
      <alignment horizontal="center" vertical="center"/>
    </xf>
    <xf numFmtId="0" fontId="19" fillId="5" borderId="3" xfId="543" applyFill="1" applyBorder="1" applyAlignment="1" applyProtection="1">
      <alignment horizontal="left" vertical="top" wrapText="1"/>
      <protection locked="0"/>
    </xf>
    <xf numFmtId="0" fontId="28" fillId="5" borderId="4" xfId="543" applyFont="1" applyFill="1" applyBorder="1" applyAlignment="1" applyProtection="1">
      <alignment horizontal="left" vertical="top" wrapText="1"/>
      <protection locked="0"/>
    </xf>
    <xf numFmtId="0" fontId="28" fillId="5" borderId="5" xfId="543" applyFont="1" applyFill="1" applyBorder="1" applyAlignment="1" applyProtection="1">
      <alignment horizontal="left" vertical="top" wrapText="1"/>
      <protection locked="0"/>
    </xf>
    <xf numFmtId="0" fontId="26" fillId="0" borderId="0" xfId="0" applyFont="1" applyAlignment="1">
      <alignment horizontal="center" vertical="center"/>
    </xf>
    <xf numFmtId="180" fontId="0" fillId="0" borderId="6" xfId="0" applyNumberFormat="1" applyBorder="1" applyAlignment="1">
      <alignment horizontal="center"/>
    </xf>
    <xf numFmtId="0" fontId="56" fillId="0" borderId="1" xfId="0" applyFont="1" applyBorder="1" applyAlignment="1">
      <alignment horizontal="center" vertical="center" wrapText="1"/>
    </xf>
    <xf numFmtId="0" fontId="56" fillId="0" borderId="2" xfId="0" applyFont="1" applyBorder="1" applyAlignment="1">
      <alignment horizontal="center" vertical="center" wrapText="1"/>
    </xf>
    <xf numFmtId="0" fontId="56" fillId="0" borderId="7" xfId="0" applyFont="1" applyBorder="1" applyAlignment="1">
      <alignment horizontal="center" vertical="center" wrapText="1"/>
    </xf>
    <xf numFmtId="0" fontId="56" fillId="0" borderId="8" xfId="0" applyFont="1" applyBorder="1" applyAlignment="1">
      <alignment horizontal="center" vertical="center" wrapText="1"/>
    </xf>
    <xf numFmtId="0" fontId="56" fillId="0" borderId="0" xfId="0" applyFont="1" applyAlignment="1">
      <alignment horizontal="center" vertical="center" wrapText="1"/>
    </xf>
    <xf numFmtId="0" fontId="56" fillId="0" borderId="12" xfId="0" applyFont="1" applyBorder="1" applyAlignment="1">
      <alignment horizontal="center" vertical="center" wrapText="1"/>
    </xf>
    <xf numFmtId="0" fontId="56" fillId="0" borderId="9" xfId="0" applyFont="1" applyBorder="1" applyAlignment="1">
      <alignment horizontal="center" vertical="center" wrapText="1"/>
    </xf>
    <xf numFmtId="0" fontId="56" fillId="0" borderId="6" xfId="0" applyFont="1" applyBorder="1" applyAlignment="1">
      <alignment horizontal="center" vertical="center" wrapText="1"/>
    </xf>
    <xf numFmtId="0" fontId="56" fillId="0" borderId="10" xfId="0" applyFont="1" applyBorder="1" applyAlignment="1">
      <alignment horizontal="center" vertical="center" wrapText="1"/>
    </xf>
    <xf numFmtId="0" fontId="52" fillId="0" borderId="0" xfId="0" applyFont="1" applyAlignment="1">
      <alignment horizontal="center"/>
    </xf>
    <xf numFmtId="0" fontId="26" fillId="0" borderId="0" xfId="0" applyFont="1" applyAlignment="1">
      <alignment horizontal="center"/>
    </xf>
    <xf numFmtId="0" fontId="19" fillId="0" borderId="0" xfId="0" applyFont="1" applyAlignment="1">
      <alignment horizontal="center"/>
    </xf>
    <xf numFmtId="0" fontId="34" fillId="0" borderId="0" xfId="0" applyFont="1" applyAlignment="1">
      <alignment horizontal="center"/>
    </xf>
    <xf numFmtId="0" fontId="19" fillId="0" borderId="0" xfId="0" applyFont="1" applyAlignment="1">
      <alignment horizontal="center" vertical="top"/>
    </xf>
    <xf numFmtId="168" fontId="28" fillId="0" borderId="6" xfId="0" applyNumberFormat="1" applyFont="1" applyBorder="1" applyAlignment="1">
      <alignment horizontal="center"/>
    </xf>
    <xf numFmtId="0" fontId="26" fillId="0" borderId="9" xfId="0" applyFont="1" applyBorder="1" applyAlignment="1">
      <alignment horizontal="center"/>
    </xf>
    <xf numFmtId="168" fontId="19" fillId="5" borderId="3" xfId="0" applyNumberFormat="1" applyFont="1" applyFill="1" applyBorder="1" applyAlignment="1" applyProtection="1">
      <alignment horizontal="left" vertical="top"/>
      <protection locked="0"/>
    </xf>
    <xf numFmtId="168" fontId="28" fillId="5" borderId="4" xfId="0" applyNumberFormat="1" applyFont="1" applyFill="1" applyBorder="1" applyAlignment="1" applyProtection="1">
      <alignment horizontal="left" vertical="top"/>
      <protection locked="0"/>
    </xf>
    <xf numFmtId="168" fontId="28" fillId="5" borderId="5" xfId="0" applyNumberFormat="1" applyFont="1" applyFill="1" applyBorder="1" applyAlignment="1" applyProtection="1">
      <alignment horizontal="left" vertical="top"/>
      <protection locked="0"/>
    </xf>
    <xf numFmtId="0" fontId="26" fillId="0" borderId="11" xfId="0" applyFont="1" applyBorder="1" applyAlignment="1">
      <alignment horizontal="center" vertical="center"/>
    </xf>
    <xf numFmtId="0" fontId="19"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7" fillId="5" borderId="3" xfId="543" applyFont="1"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27" fillId="0" borderId="0" xfId="0" applyFont="1" applyAlignment="1">
      <alignment horizontal="center"/>
    </xf>
    <xf numFmtId="0" fontId="160" fillId="0" borderId="8" xfId="543" applyFont="1" applyBorder="1" applyAlignment="1">
      <alignment horizontal="center" wrapText="1"/>
    </xf>
    <xf numFmtId="0" fontId="160" fillId="0" borderId="0" xfId="543" applyFont="1" applyAlignment="1">
      <alignment horizontal="center" wrapText="1"/>
    </xf>
    <xf numFmtId="0" fontId="160" fillId="0" borderId="12" xfId="543" applyFont="1" applyBorder="1" applyAlignment="1">
      <alignment horizontal="center" wrapText="1"/>
    </xf>
    <xf numFmtId="0" fontId="160" fillId="0" borderId="9" xfId="543" applyFont="1" applyBorder="1" applyAlignment="1">
      <alignment horizontal="center" wrapText="1"/>
    </xf>
    <xf numFmtId="0" fontId="160" fillId="0" borderId="6" xfId="543" applyFont="1" applyBorder="1" applyAlignment="1">
      <alignment horizontal="center" wrapText="1"/>
    </xf>
    <xf numFmtId="0" fontId="160" fillId="0" borderId="10" xfId="543" applyFont="1" applyBorder="1" applyAlignment="1">
      <alignment horizontal="center" wrapText="1"/>
    </xf>
    <xf numFmtId="0" fontId="160" fillId="0" borderId="8" xfId="543" applyFont="1" applyBorder="1" applyAlignment="1">
      <alignment horizontal="center" vertical="top" wrapText="1"/>
    </xf>
    <xf numFmtId="0" fontId="160" fillId="0" borderId="0" xfId="543" applyFont="1" applyAlignment="1">
      <alignment horizontal="center" vertical="top" wrapText="1"/>
    </xf>
    <xf numFmtId="0" fontId="160" fillId="0" borderId="12" xfId="543" applyFont="1" applyBorder="1" applyAlignment="1">
      <alignment horizontal="center" vertical="top" wrapText="1"/>
    </xf>
    <xf numFmtId="0" fontId="160" fillId="0" borderId="9" xfId="543" applyFont="1" applyBorder="1" applyAlignment="1">
      <alignment horizontal="center" vertical="top" wrapText="1"/>
    </xf>
    <xf numFmtId="0" fontId="160" fillId="0" borderId="6" xfId="543" applyFont="1" applyBorder="1" applyAlignment="1">
      <alignment horizontal="center" vertical="top" wrapText="1"/>
    </xf>
    <xf numFmtId="0" fontId="160" fillId="0" borderId="10" xfId="543" applyFont="1" applyBorder="1" applyAlignment="1">
      <alignment horizontal="center" vertical="top" wrapText="1"/>
    </xf>
    <xf numFmtId="0" fontId="157" fillId="0" borderId="0" xfId="0" applyFont="1" applyAlignment="1">
      <alignment horizontal="center" vertical="center" wrapText="1"/>
    </xf>
    <xf numFmtId="0" fontId="28" fillId="0" borderId="0" xfId="543" applyFont="1" applyAlignment="1">
      <alignment horizontal="center"/>
    </xf>
    <xf numFmtId="0" fontId="19" fillId="0" borderId="0" xfId="543" applyAlignment="1">
      <alignment wrapText="1"/>
    </xf>
    <xf numFmtId="0" fontId="28" fillId="0" borderId="2" xfId="0" applyFont="1" applyBorder="1" applyAlignment="1">
      <alignment horizontal="left" vertical="top" wrapText="1"/>
    </xf>
    <xf numFmtId="177" fontId="28" fillId="5" borderId="6" xfId="0" applyNumberFormat="1" applyFont="1" applyFill="1" applyBorder="1" applyAlignment="1" applyProtection="1">
      <alignment horizontal="left" vertical="top" wrapText="1"/>
      <protection locked="0"/>
    </xf>
    <xf numFmtId="0" fontId="56" fillId="0" borderId="0" xfId="0" applyFont="1" applyAlignment="1">
      <alignment vertical="top" wrapText="1"/>
    </xf>
    <xf numFmtId="0" fontId="28" fillId="0" borderId="0" xfId="0" applyFont="1" applyAlignment="1">
      <alignment vertical="top" wrapText="1"/>
    </xf>
    <xf numFmtId="0" fontId="28" fillId="0" borderId="6" xfId="0" applyFont="1" applyBorder="1" applyAlignment="1">
      <alignment horizontal="right" vertical="top" wrapText="1"/>
    </xf>
    <xf numFmtId="0" fontId="28" fillId="0" borderId="6" xfId="0" applyFont="1" applyBorder="1" applyAlignment="1">
      <alignment vertical="top" wrapText="1"/>
    </xf>
    <xf numFmtId="0" fontId="60" fillId="2" borderId="3" xfId="0" applyFont="1" applyFill="1" applyBorder="1" applyAlignment="1">
      <alignment horizontal="center" vertical="top"/>
    </xf>
    <xf numFmtId="0" fontId="60" fillId="2" borderId="4" xfId="0" applyFont="1" applyFill="1" applyBorder="1" applyAlignment="1">
      <alignment horizontal="center" vertical="top"/>
    </xf>
    <xf numFmtId="0" fontId="60" fillId="2" borderId="5" xfId="0" applyFont="1" applyFill="1" applyBorder="1" applyAlignment="1">
      <alignment horizontal="center" vertical="top"/>
    </xf>
    <xf numFmtId="0" fontId="28" fillId="0" borderId="2" xfId="0" applyFont="1" applyBorder="1" applyAlignment="1">
      <alignment vertical="top" wrapText="1"/>
    </xf>
    <xf numFmtId="0" fontId="55" fillId="0" borderId="0" xfId="0" applyFont="1" applyAlignment="1">
      <alignment vertical="top" wrapText="1"/>
    </xf>
    <xf numFmtId="0" fontId="56" fillId="0" borderId="0" xfId="569" applyFont="1" applyAlignment="1">
      <alignment vertical="top" wrapText="1"/>
    </xf>
    <xf numFmtId="0" fontId="19" fillId="0" borderId="0" xfId="569" applyAlignment="1">
      <alignment horizontal="right" vertical="top" wrapText="1"/>
    </xf>
    <xf numFmtId="0" fontId="25" fillId="3" borderId="3" xfId="0" applyFont="1" applyFill="1" applyBorder="1" applyAlignment="1">
      <alignment horizontal="left" vertical="top"/>
    </xf>
    <xf numFmtId="0" fontId="25" fillId="3" borderId="4" xfId="0" applyFont="1" applyFill="1" applyBorder="1" applyAlignment="1">
      <alignment horizontal="left" vertical="top"/>
    </xf>
    <xf numFmtId="0" fontId="25" fillId="3" borderId="5" xfId="0" applyFont="1" applyFill="1" applyBorder="1" applyAlignment="1">
      <alignment horizontal="left" vertical="top"/>
    </xf>
    <xf numFmtId="0" fontId="104" fillId="44" borderId="0" xfId="8736" applyFont="1" applyFill="1" applyAlignment="1">
      <alignment horizontal="left"/>
    </xf>
    <xf numFmtId="0" fontId="3" fillId="48" borderId="80" xfId="8736" applyFill="1" applyBorder="1" applyAlignment="1" applyProtection="1">
      <alignment horizontal="left"/>
      <protection locked="0"/>
    </xf>
    <xf numFmtId="0" fontId="3" fillId="48" borderId="79" xfId="8736" applyFill="1" applyBorder="1" applyAlignment="1" applyProtection="1">
      <alignment horizontal="left"/>
      <protection locked="0"/>
    </xf>
    <xf numFmtId="0" fontId="3" fillId="48" borderId="78" xfId="8736" applyFill="1" applyBorder="1" applyAlignment="1" applyProtection="1">
      <alignment horizontal="left"/>
      <protection locked="0"/>
    </xf>
    <xf numFmtId="0" fontId="166" fillId="44" borderId="0" xfId="8736" applyFont="1" applyFill="1" applyAlignment="1">
      <alignment horizontal="left" vertical="top"/>
    </xf>
    <xf numFmtId="0" fontId="104" fillId="44" borderId="0" xfId="8730" applyFont="1" applyFill="1" applyBorder="1" applyAlignment="1">
      <alignment horizontal="left" vertical="top"/>
    </xf>
    <xf numFmtId="14" fontId="3" fillId="48" borderId="80" xfId="8736" applyNumberFormat="1" applyFill="1" applyBorder="1" applyAlignment="1" applyProtection="1">
      <alignment horizontal="center"/>
      <protection locked="0"/>
    </xf>
    <xf numFmtId="14" fontId="3" fillId="48" borderId="79" xfId="8736" applyNumberFormat="1" applyFill="1" applyBorder="1" applyAlignment="1" applyProtection="1">
      <alignment horizontal="center"/>
      <protection locked="0"/>
    </xf>
    <xf numFmtId="14" fontId="3" fillId="48" borderId="78" xfId="8736" applyNumberFormat="1" applyFill="1" applyBorder="1" applyAlignment="1" applyProtection="1">
      <alignment horizontal="center"/>
      <protection locked="0"/>
    </xf>
    <xf numFmtId="0" fontId="167" fillId="47" borderId="0" xfId="8736" applyFont="1" applyFill="1" applyAlignment="1">
      <alignment horizontal="left" vertical="top" wrapText="1"/>
    </xf>
    <xf numFmtId="0" fontId="104" fillId="47" borderId="42" xfId="8736" applyFont="1" applyFill="1" applyBorder="1" applyAlignment="1">
      <alignment horizontal="center"/>
    </xf>
    <xf numFmtId="0" fontId="3" fillId="48" borderId="80" xfId="8736" applyFill="1" applyBorder="1" applyAlignment="1" applyProtection="1">
      <alignment horizontal="center"/>
      <protection locked="0"/>
    </xf>
    <xf numFmtId="0" fontId="3" fillId="48" borderId="79" xfId="8736" applyFill="1" applyBorder="1" applyAlignment="1" applyProtection="1">
      <alignment horizontal="center"/>
      <protection locked="0"/>
    </xf>
    <xf numFmtId="0" fontId="3" fillId="48" borderId="78" xfId="8736" applyFill="1" applyBorder="1" applyAlignment="1" applyProtection="1">
      <alignment horizontal="center"/>
      <protection locked="0"/>
    </xf>
    <xf numFmtId="0" fontId="168" fillId="47" borderId="65" xfId="8736" applyFont="1" applyFill="1" applyBorder="1" applyAlignment="1">
      <alignment horizontal="center"/>
    </xf>
    <xf numFmtId="0" fontId="168" fillId="47" borderId="29" xfId="8736" applyFont="1" applyFill="1" applyBorder="1" applyAlignment="1">
      <alignment horizontal="center"/>
    </xf>
    <xf numFmtId="0" fontId="168" fillId="47" borderId="31" xfId="8736" applyFont="1" applyFill="1" applyBorder="1" applyAlignment="1">
      <alignment horizontal="center"/>
    </xf>
    <xf numFmtId="0" fontId="3" fillId="47" borderId="66" xfId="8736" applyFill="1" applyBorder="1" applyAlignment="1">
      <alignment horizontal="center"/>
    </xf>
    <xf numFmtId="0" fontId="3" fillId="47" borderId="0" xfId="8736" applyFill="1" applyAlignment="1">
      <alignment horizontal="center"/>
    </xf>
    <xf numFmtId="0" fontId="3" fillId="47" borderId="41" xfId="8736" applyFill="1" applyBorder="1" applyAlignment="1">
      <alignment horizontal="center"/>
    </xf>
    <xf numFmtId="0" fontId="167" fillId="47" borderId="66" xfId="8736" applyFont="1" applyFill="1" applyBorder="1" applyAlignment="1">
      <alignment horizontal="center"/>
    </xf>
    <xf numFmtId="0" fontId="167" fillId="47" borderId="0" xfId="8736" applyFont="1" applyFill="1" applyAlignment="1">
      <alignment horizontal="center"/>
    </xf>
    <xf numFmtId="0" fontId="167" fillId="47" borderId="41" xfId="8736" applyFont="1" applyFill="1" applyBorder="1" applyAlignment="1">
      <alignment horizontal="center"/>
    </xf>
    <xf numFmtId="0" fontId="104" fillId="47" borderId="66" xfId="8736" applyFont="1" applyFill="1" applyBorder="1" applyAlignment="1">
      <alignment horizontal="center"/>
    </xf>
    <xf numFmtId="0" fontId="104" fillId="47" borderId="0" xfId="8736" applyFont="1" applyFill="1" applyAlignment="1">
      <alignment horizontal="center"/>
    </xf>
    <xf numFmtId="0" fontId="104" fillId="47" borderId="41" xfId="8736" applyFont="1" applyFill="1" applyBorder="1" applyAlignment="1">
      <alignment horizontal="center"/>
    </xf>
    <xf numFmtId="0" fontId="104" fillId="47" borderId="0" xfId="8736" applyFont="1" applyFill="1" applyAlignment="1">
      <alignment horizontal="left"/>
    </xf>
    <xf numFmtId="0" fontId="169" fillId="50" borderId="3" xfId="698" applyNumberFormat="1" applyFont="1" applyFill="1" applyBorder="1" applyAlignment="1" applyProtection="1">
      <alignment horizontal="center"/>
      <protection locked="0"/>
    </xf>
    <xf numFmtId="0" fontId="169" fillId="50" borderId="4" xfId="698" applyNumberFormat="1" applyFont="1" applyFill="1" applyBorder="1" applyAlignment="1" applyProtection="1">
      <alignment horizontal="center"/>
      <protection locked="0"/>
    </xf>
    <xf numFmtId="0" fontId="169" fillId="50" borderId="81" xfId="698" applyNumberFormat="1" applyFont="1" applyFill="1" applyBorder="1" applyAlignment="1" applyProtection="1">
      <alignment horizontal="center"/>
      <protection locked="0"/>
    </xf>
    <xf numFmtId="43" fontId="167" fillId="49" borderId="72" xfId="698" applyFont="1" applyFill="1" applyBorder="1" applyAlignment="1" applyProtection="1">
      <alignment horizontal="right"/>
      <protection hidden="1"/>
    </xf>
    <xf numFmtId="43" fontId="167" fillId="49" borderId="11" xfId="698" applyFont="1" applyFill="1" applyBorder="1" applyAlignment="1" applyProtection="1">
      <alignment horizontal="right"/>
      <protection hidden="1"/>
    </xf>
    <xf numFmtId="44" fontId="167" fillId="0" borderId="11" xfId="700" applyFont="1" applyBorder="1" applyAlignment="1" applyProtection="1">
      <alignment horizontal="center"/>
      <protection hidden="1"/>
    </xf>
    <xf numFmtId="168" fontId="167" fillId="0" borderId="11" xfId="700" applyNumberFormat="1" applyFont="1" applyBorder="1" applyAlignment="1" applyProtection="1">
      <alignment horizontal="center"/>
      <protection hidden="1"/>
    </xf>
    <xf numFmtId="9" fontId="167" fillId="0" borderId="11" xfId="1022" applyFont="1" applyBorder="1" applyAlignment="1" applyProtection="1">
      <alignment horizontal="center"/>
      <protection hidden="1"/>
    </xf>
    <xf numFmtId="43" fontId="167" fillId="49" borderId="3" xfId="698" applyFont="1" applyFill="1" applyBorder="1" applyAlignment="1" applyProtection="1">
      <alignment horizontal="center"/>
      <protection hidden="1"/>
    </xf>
    <xf numFmtId="43" fontId="167" fillId="49" borderId="4" xfId="698" applyFont="1" applyFill="1" applyBorder="1" applyAlignment="1" applyProtection="1">
      <alignment horizontal="center"/>
      <protection hidden="1"/>
    </xf>
    <xf numFmtId="43" fontId="167" fillId="49" borderId="81" xfId="698" applyFont="1" applyFill="1" applyBorder="1" applyAlignment="1" applyProtection="1">
      <alignment horizontal="center"/>
      <protection hidden="1"/>
    </xf>
    <xf numFmtId="0" fontId="170" fillId="49" borderId="72" xfId="698" applyNumberFormat="1" applyFont="1" applyFill="1" applyBorder="1" applyAlignment="1" applyProtection="1">
      <alignment horizontal="center"/>
      <protection hidden="1"/>
    </xf>
    <xf numFmtId="0" fontId="170" fillId="49" borderId="11" xfId="698" applyNumberFormat="1" applyFont="1" applyFill="1" applyBorder="1" applyAlignment="1" applyProtection="1">
      <alignment horizontal="center"/>
      <protection hidden="1"/>
    </xf>
    <xf numFmtId="0" fontId="170" fillId="48" borderId="11" xfId="569" applyFont="1" applyFill="1" applyBorder="1" applyAlignment="1" applyProtection="1">
      <alignment horizontal="center"/>
      <protection locked="0"/>
    </xf>
    <xf numFmtId="14" fontId="169" fillId="48" borderId="11" xfId="700" applyNumberFormat="1" applyFont="1" applyFill="1" applyBorder="1" applyAlignment="1" applyProtection="1">
      <alignment horizontal="center"/>
      <protection locked="0"/>
    </xf>
    <xf numFmtId="168" fontId="170" fillId="48" borderId="11" xfId="700" applyNumberFormat="1" applyFont="1" applyFill="1" applyBorder="1" applyAlignment="1" applyProtection="1">
      <alignment horizontal="center"/>
      <protection locked="0"/>
    </xf>
    <xf numFmtId="9" fontId="170" fillId="48" borderId="11" xfId="1022" applyFont="1" applyFill="1" applyBorder="1" applyAlignment="1" applyProtection="1">
      <alignment horizontal="center"/>
      <protection locked="0"/>
    </xf>
    <xf numFmtId="44" fontId="169" fillId="48" borderId="11" xfId="700" applyFont="1" applyFill="1" applyBorder="1" applyAlignment="1" applyProtection="1">
      <alignment horizontal="center"/>
      <protection locked="0"/>
    </xf>
    <xf numFmtId="0" fontId="172" fillId="45" borderId="11" xfId="8736" applyFont="1" applyFill="1" applyBorder="1" applyAlignment="1">
      <alignment horizontal="left" wrapText="1"/>
    </xf>
    <xf numFmtId="43" fontId="167" fillId="45" borderId="80" xfId="698" applyFont="1" applyFill="1" applyBorder="1" applyAlignment="1" applyProtection="1">
      <alignment horizontal="center"/>
      <protection hidden="1"/>
    </xf>
    <xf numFmtId="43" fontId="167" fillId="45" borderId="79" xfId="698" applyFont="1" applyFill="1" applyBorder="1" applyAlignment="1" applyProtection="1">
      <alignment horizontal="center"/>
      <protection hidden="1"/>
    </xf>
    <xf numFmtId="43" fontId="167" fillId="45" borderId="78" xfId="698" applyFont="1" applyFill="1" applyBorder="1" applyAlignment="1" applyProtection="1">
      <alignment horizontal="center"/>
      <protection hidden="1"/>
    </xf>
    <xf numFmtId="43" fontId="171" fillId="49" borderId="66" xfId="698" applyFont="1" applyFill="1" applyBorder="1" applyAlignment="1" applyProtection="1">
      <alignment horizontal="center" wrapText="1"/>
      <protection hidden="1"/>
    </xf>
    <xf numFmtId="43" fontId="171" fillId="49" borderId="0" xfId="698" applyFont="1" applyFill="1" applyBorder="1" applyAlignment="1" applyProtection="1">
      <alignment horizontal="center" wrapText="1"/>
      <protection hidden="1"/>
    </xf>
    <xf numFmtId="43" fontId="171" fillId="49" borderId="12" xfId="698" applyFont="1" applyFill="1" applyBorder="1" applyAlignment="1" applyProtection="1">
      <alignment horizontal="center" wrapText="1"/>
      <protection hidden="1"/>
    </xf>
    <xf numFmtId="43" fontId="171" fillId="49" borderId="83" xfId="698" applyFont="1" applyFill="1" applyBorder="1" applyAlignment="1" applyProtection="1">
      <alignment horizontal="center" wrapText="1"/>
      <protection hidden="1"/>
    </xf>
    <xf numFmtId="43" fontId="171" fillId="49" borderId="6" xfId="698" applyFont="1" applyFill="1" applyBorder="1" applyAlignment="1" applyProtection="1">
      <alignment horizontal="center" wrapText="1"/>
      <protection hidden="1"/>
    </xf>
    <xf numFmtId="43" fontId="171" fillId="49" borderId="10" xfId="698" applyFont="1" applyFill="1" applyBorder="1" applyAlignment="1" applyProtection="1">
      <alignment horizontal="center" wrapText="1"/>
      <protection hidden="1"/>
    </xf>
    <xf numFmtId="43" fontId="171" fillId="49" borderId="8" xfId="698" applyFont="1" applyFill="1" applyBorder="1" applyAlignment="1" applyProtection="1">
      <alignment horizontal="center" wrapText="1"/>
      <protection hidden="1"/>
    </xf>
    <xf numFmtId="43" fontId="171" fillId="49" borderId="9" xfId="698" applyFont="1" applyFill="1" applyBorder="1" applyAlignment="1" applyProtection="1">
      <alignment horizontal="center" wrapText="1"/>
      <protection hidden="1"/>
    </xf>
    <xf numFmtId="14" fontId="171" fillId="0" borderId="8" xfId="700" applyNumberFormat="1" applyFont="1" applyFill="1" applyBorder="1" applyAlignment="1" applyProtection="1">
      <alignment horizontal="center" wrapText="1"/>
      <protection hidden="1"/>
    </xf>
    <xf numFmtId="14" fontId="171" fillId="0" borderId="0" xfId="700" applyNumberFormat="1" applyFont="1" applyFill="1" applyBorder="1" applyAlignment="1" applyProtection="1">
      <alignment horizontal="center" wrapText="1"/>
      <protection hidden="1"/>
    </xf>
    <xf numFmtId="14" fontId="171" fillId="0" borderId="12" xfId="700" applyNumberFormat="1" applyFont="1" applyFill="1" applyBorder="1" applyAlignment="1" applyProtection="1">
      <alignment horizontal="center" wrapText="1"/>
      <protection hidden="1"/>
    </xf>
    <xf numFmtId="14" fontId="171" fillId="0" borderId="9" xfId="700" applyNumberFormat="1" applyFont="1" applyFill="1" applyBorder="1" applyAlignment="1" applyProtection="1">
      <alignment horizontal="center" wrapText="1"/>
      <protection hidden="1"/>
    </xf>
    <xf numFmtId="14" fontId="171" fillId="0" borderId="6" xfId="700" applyNumberFormat="1" applyFont="1" applyFill="1" applyBorder="1" applyAlignment="1" applyProtection="1">
      <alignment horizontal="center" wrapText="1"/>
      <protection hidden="1"/>
    </xf>
    <xf numFmtId="14" fontId="171" fillId="0" borderId="10" xfId="700" applyNumberFormat="1" applyFont="1" applyFill="1" applyBorder="1" applyAlignment="1" applyProtection="1">
      <alignment horizontal="center" wrapText="1"/>
      <protection hidden="1"/>
    </xf>
    <xf numFmtId="44" fontId="171" fillId="0" borderId="8" xfId="700" applyFont="1" applyBorder="1" applyAlignment="1" applyProtection="1">
      <alignment horizontal="center" wrapText="1"/>
      <protection hidden="1"/>
    </xf>
    <xf numFmtId="44" fontId="171" fillId="0" borderId="0" xfId="700" applyFont="1" applyBorder="1" applyAlignment="1" applyProtection="1">
      <alignment horizontal="center" wrapText="1"/>
      <protection hidden="1"/>
    </xf>
    <xf numFmtId="44" fontId="171" fillId="0" borderId="12" xfId="700" applyFont="1" applyBorder="1" applyAlignment="1" applyProtection="1">
      <alignment horizontal="center" wrapText="1"/>
      <protection hidden="1"/>
    </xf>
    <xf numFmtId="44" fontId="171" fillId="0" borderId="9" xfId="700" applyFont="1" applyBorder="1" applyAlignment="1" applyProtection="1">
      <alignment horizontal="center" wrapText="1"/>
      <protection hidden="1"/>
    </xf>
    <xf numFmtId="44" fontId="171" fillId="0" borderId="6" xfId="700" applyFont="1" applyBorder="1" applyAlignment="1" applyProtection="1">
      <alignment horizontal="center" wrapText="1"/>
      <protection hidden="1"/>
    </xf>
    <xf numFmtId="44" fontId="171" fillId="0" borderId="10" xfId="700" applyFont="1" applyBorder="1" applyAlignment="1" applyProtection="1">
      <alignment horizontal="center" wrapText="1"/>
      <protection hidden="1"/>
    </xf>
    <xf numFmtId="43" fontId="171" fillId="49" borderId="41" xfId="698" applyFont="1" applyFill="1" applyBorder="1" applyAlignment="1" applyProtection="1">
      <alignment horizontal="center" wrapText="1"/>
      <protection hidden="1"/>
    </xf>
    <xf numFmtId="43" fontId="171" fillId="49" borderId="82" xfId="698" applyFont="1" applyFill="1" applyBorder="1" applyAlignment="1" applyProtection="1">
      <alignment horizontal="center" wrapText="1"/>
      <protection hidden="1"/>
    </xf>
    <xf numFmtId="0" fontId="173" fillId="45" borderId="11" xfId="8736" applyFont="1" applyFill="1" applyBorder="1" applyAlignment="1">
      <alignment horizontal="left"/>
    </xf>
    <xf numFmtId="182" fontId="3" fillId="48" borderId="11" xfId="700" applyNumberFormat="1" applyFont="1" applyFill="1" applyBorder="1" applyAlignment="1" applyProtection="1">
      <alignment horizontal="center"/>
      <protection locked="0"/>
    </xf>
    <xf numFmtId="10" fontId="173" fillId="48" borderId="11" xfId="1022" applyNumberFormat="1" applyFont="1" applyFill="1" applyBorder="1" applyAlignment="1" applyProtection="1">
      <alignment horizontal="center"/>
      <protection locked="0"/>
    </xf>
    <xf numFmtId="182" fontId="3" fillId="0" borderId="13" xfId="8736" applyNumberFormat="1" applyBorder="1" applyAlignment="1">
      <alignment horizontal="center"/>
    </xf>
    <xf numFmtId="0" fontId="3" fillId="0" borderId="13" xfId="8736" applyBorder="1" applyAlignment="1">
      <alignment horizontal="center"/>
    </xf>
    <xf numFmtId="0" fontId="166" fillId="45" borderId="80" xfId="569" applyFont="1" applyFill="1" applyBorder="1" applyAlignment="1" applyProtection="1">
      <alignment horizontal="center" wrapText="1"/>
      <protection hidden="1"/>
    </xf>
    <xf numFmtId="0" fontId="166" fillId="45" borderId="79" xfId="569" applyFont="1" applyFill="1" applyBorder="1" applyAlignment="1" applyProtection="1">
      <alignment horizontal="center" wrapText="1"/>
      <protection hidden="1"/>
    </xf>
    <xf numFmtId="0" fontId="166" fillId="45" borderId="78" xfId="569" applyFont="1" applyFill="1" applyBorder="1" applyAlignment="1" applyProtection="1">
      <alignment horizontal="center" wrapText="1"/>
      <protection hidden="1"/>
    </xf>
    <xf numFmtId="0" fontId="166" fillId="45" borderId="13" xfId="569" applyFont="1" applyFill="1" applyBorder="1" applyAlignment="1" applyProtection="1">
      <alignment horizontal="left" wrapText="1"/>
      <protection hidden="1"/>
    </xf>
    <xf numFmtId="0" fontId="166" fillId="45" borderId="13" xfId="569" applyFont="1" applyFill="1" applyBorder="1" applyAlignment="1" applyProtection="1">
      <alignment horizontal="center" wrapText="1"/>
      <protection hidden="1"/>
    </xf>
    <xf numFmtId="0" fontId="175" fillId="45" borderId="67" xfId="8736" applyFont="1" applyFill="1" applyBorder="1" applyAlignment="1">
      <alignment horizontal="right"/>
    </xf>
    <xf numFmtId="0" fontId="175" fillId="45" borderId="68" xfId="8736" applyFont="1" applyFill="1" applyBorder="1" applyAlignment="1">
      <alignment horizontal="right"/>
    </xf>
    <xf numFmtId="168" fontId="170" fillId="44" borderId="68" xfId="700" applyNumberFormat="1" applyFont="1" applyFill="1" applyBorder="1" applyAlignment="1">
      <alignment horizontal="left"/>
    </xf>
    <xf numFmtId="168" fontId="170" fillId="44" borderId="71" xfId="700" applyNumberFormat="1" applyFont="1" applyFill="1" applyBorder="1" applyAlignment="1">
      <alignment horizontal="left"/>
    </xf>
    <xf numFmtId="0" fontId="172" fillId="48" borderId="66" xfId="8736" applyFont="1" applyFill="1" applyBorder="1" applyAlignment="1">
      <alignment horizontal="left" wrapText="1"/>
    </xf>
    <xf numFmtId="0" fontId="172" fillId="48" borderId="0" xfId="8736" applyFont="1" applyFill="1" applyAlignment="1">
      <alignment horizontal="left" wrapText="1"/>
    </xf>
    <xf numFmtId="0" fontId="172" fillId="48" borderId="41" xfId="8736" applyFont="1" applyFill="1" applyBorder="1" applyAlignment="1">
      <alignment horizontal="left" wrapText="1"/>
    </xf>
    <xf numFmtId="0" fontId="172" fillId="48" borderId="73" xfId="8736" applyFont="1" applyFill="1" applyBorder="1" applyAlignment="1">
      <alignment horizontal="left" wrapText="1"/>
    </xf>
    <xf numFmtId="0" fontId="172" fillId="48" borderId="42" xfId="8736" applyFont="1" applyFill="1" applyBorder="1" applyAlignment="1">
      <alignment horizontal="left" wrapText="1"/>
    </xf>
    <xf numFmtId="0" fontId="172" fillId="48" borderId="44" xfId="8736" applyFont="1" applyFill="1" applyBorder="1" applyAlignment="1">
      <alignment horizontal="left" wrapText="1"/>
    </xf>
    <xf numFmtId="0" fontId="174" fillId="45" borderId="69" xfId="8736" applyFont="1" applyFill="1" applyBorder="1" applyAlignment="1">
      <alignment horizontal="right"/>
    </xf>
    <xf numFmtId="0" fontId="174" fillId="45" borderId="70" xfId="8736" applyFont="1" applyFill="1" applyBorder="1" applyAlignment="1">
      <alignment horizontal="right"/>
    </xf>
    <xf numFmtId="0" fontId="166" fillId="44" borderId="70" xfId="700" applyNumberFormat="1" applyFont="1" applyFill="1" applyBorder="1" applyAlignment="1">
      <alignment horizontal="left"/>
    </xf>
    <xf numFmtId="168" fontId="166" fillId="44" borderId="70" xfId="700" applyNumberFormat="1" applyFont="1" applyFill="1" applyBorder="1" applyAlignment="1">
      <alignment horizontal="left"/>
    </xf>
    <xf numFmtId="168" fontId="166" fillId="44" borderId="77" xfId="700" applyNumberFormat="1" applyFont="1" applyFill="1" applyBorder="1" applyAlignment="1">
      <alignment horizontal="left"/>
    </xf>
    <xf numFmtId="0" fontId="167" fillId="47" borderId="0" xfId="8736" applyFont="1" applyFill="1" applyAlignment="1">
      <alignment horizontal="right"/>
    </xf>
    <xf numFmtId="168" fontId="171" fillId="47" borderId="0" xfId="700" applyNumberFormat="1" applyFont="1" applyFill="1" applyBorder="1" applyAlignment="1" applyProtection="1">
      <alignment horizontal="left"/>
      <protection locked="0"/>
    </xf>
    <xf numFmtId="0" fontId="173" fillId="48" borderId="87" xfId="8736" applyFont="1" applyFill="1" applyBorder="1" applyAlignment="1" applyProtection="1">
      <alignment horizontal="center"/>
      <protection locked="0"/>
    </xf>
    <xf numFmtId="0" fontId="173" fillId="48" borderId="86" xfId="8736" applyFont="1" applyFill="1" applyBorder="1" applyAlignment="1" applyProtection="1">
      <alignment horizontal="center"/>
      <protection locked="0"/>
    </xf>
    <xf numFmtId="0" fontId="175" fillId="48" borderId="70" xfId="8736" applyFont="1" applyFill="1" applyBorder="1" applyAlignment="1" applyProtection="1">
      <alignment horizontal="left"/>
      <protection locked="0"/>
    </xf>
    <xf numFmtId="0" fontId="175" fillId="48" borderId="77" xfId="8736" applyFont="1" applyFill="1" applyBorder="1" applyAlignment="1" applyProtection="1">
      <alignment horizontal="left"/>
      <protection locked="0"/>
    </xf>
    <xf numFmtId="168" fontId="173" fillId="48" borderId="86" xfId="700" applyNumberFormat="1" applyFont="1" applyFill="1" applyBorder="1" applyAlignment="1" applyProtection="1">
      <alignment horizontal="left"/>
      <protection locked="0"/>
    </xf>
    <xf numFmtId="168" fontId="173" fillId="48" borderId="85" xfId="700" applyNumberFormat="1" applyFont="1" applyFill="1" applyBorder="1" applyAlignment="1" applyProtection="1">
      <alignment horizontal="left"/>
      <protection locked="0"/>
    </xf>
    <xf numFmtId="0" fontId="173" fillId="48" borderId="87" xfId="8736" applyFont="1" applyFill="1" applyBorder="1" applyAlignment="1" applyProtection="1">
      <alignment horizontal="left"/>
      <protection locked="0"/>
    </xf>
    <xf numFmtId="0" fontId="173" fillId="48" borderId="86" xfId="8736" applyFont="1" applyFill="1" applyBorder="1" applyAlignment="1" applyProtection="1">
      <alignment horizontal="left"/>
      <protection locked="0"/>
    </xf>
    <xf numFmtId="0" fontId="173" fillId="48" borderId="85" xfId="8736" applyFont="1" applyFill="1" applyBorder="1" applyAlignment="1" applyProtection="1">
      <alignment horizontal="left"/>
      <protection locked="0"/>
    </xf>
    <xf numFmtId="0" fontId="104" fillId="48" borderId="80" xfId="8736" applyFont="1" applyFill="1" applyBorder="1" applyAlignment="1">
      <alignment horizontal="left"/>
    </xf>
    <xf numFmtId="0" fontId="104" fillId="48" borderId="79" xfId="8736" applyFont="1" applyFill="1" applyBorder="1" applyAlignment="1">
      <alignment horizontal="left"/>
    </xf>
    <xf numFmtId="44" fontId="3" fillId="48" borderId="84" xfId="700" applyFont="1" applyFill="1" applyBorder="1" applyAlignment="1" applyProtection="1">
      <alignment horizontal="center"/>
      <protection locked="0"/>
    </xf>
    <xf numFmtId="0" fontId="173" fillId="48" borderId="72" xfId="8736" applyFont="1" applyFill="1" applyBorder="1" applyAlignment="1" applyProtection="1">
      <alignment horizontal="center"/>
      <protection locked="0"/>
    </xf>
    <xf numFmtId="0" fontId="173" fillId="48" borderId="11" xfId="8736"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0" fontId="173" fillId="48" borderId="11" xfId="8736" applyFont="1" applyFill="1" applyBorder="1" applyAlignment="1" applyProtection="1">
      <alignment horizontal="left"/>
      <protection locked="0"/>
    </xf>
    <xf numFmtId="0" fontId="173" fillId="48" borderId="76" xfId="8736" applyFont="1" applyFill="1" applyBorder="1" applyAlignment="1" applyProtection="1">
      <alignment horizontal="left"/>
      <protection locked="0"/>
    </xf>
    <xf numFmtId="0" fontId="3" fillId="48" borderId="1" xfId="8736" applyFill="1" applyBorder="1" applyAlignment="1">
      <alignment horizontal="center"/>
    </xf>
    <xf numFmtId="0" fontId="3" fillId="48" borderId="2" xfId="8736" applyFill="1" applyBorder="1" applyAlignment="1">
      <alignment horizontal="center"/>
    </xf>
    <xf numFmtId="0" fontId="3" fillId="48" borderId="112" xfId="8736" applyFill="1" applyBorder="1" applyAlignment="1">
      <alignment horizontal="center"/>
    </xf>
    <xf numFmtId="0" fontId="175" fillId="48" borderId="72" xfId="8736" applyFont="1" applyFill="1" applyBorder="1" applyAlignment="1" applyProtection="1">
      <alignment horizontal="center"/>
      <protection locked="0"/>
    </xf>
    <xf numFmtId="0" fontId="175" fillId="48" borderId="11" xfId="8736" applyFont="1" applyFill="1" applyBorder="1" applyAlignment="1" applyProtection="1">
      <alignment horizontal="center"/>
      <protection locked="0"/>
    </xf>
    <xf numFmtId="43" fontId="170" fillId="50" borderId="72" xfId="698" applyFont="1" applyFill="1" applyBorder="1" applyAlignment="1" applyProtection="1">
      <alignment horizontal="left" wrapText="1"/>
      <protection hidden="1"/>
    </xf>
    <xf numFmtId="43" fontId="170" fillId="50" borderId="11" xfId="698" applyFont="1" applyFill="1" applyBorder="1" applyAlignment="1" applyProtection="1">
      <alignment horizontal="left" wrapText="1"/>
      <protection hidden="1"/>
    </xf>
    <xf numFmtId="44" fontId="3" fillId="48" borderId="11" xfId="700" applyFont="1" applyFill="1" applyBorder="1" applyAlignment="1" applyProtection="1">
      <alignment horizontal="center"/>
      <protection hidden="1"/>
    </xf>
    <xf numFmtId="43" fontId="167" fillId="50" borderId="111" xfId="698" applyFont="1" applyFill="1" applyBorder="1" applyAlignment="1" applyProtection="1">
      <alignment horizontal="center"/>
      <protection hidden="1"/>
    </xf>
    <xf numFmtId="43" fontId="167" fillId="50" borderId="84" xfId="698" applyFont="1" applyFill="1" applyBorder="1" applyAlignment="1" applyProtection="1">
      <alignment horizontal="center"/>
      <protection hidden="1"/>
    </xf>
    <xf numFmtId="43" fontId="167" fillId="50" borderId="102" xfId="698" applyFont="1" applyFill="1" applyBorder="1" applyAlignment="1" applyProtection="1">
      <alignment horizontal="center"/>
      <protection hidden="1"/>
    </xf>
    <xf numFmtId="0" fontId="173" fillId="45" borderId="72" xfId="8736" applyFont="1" applyFill="1" applyBorder="1" applyAlignment="1">
      <alignment horizontal="right"/>
    </xf>
    <xf numFmtId="0" fontId="173" fillId="45" borderId="11" xfId="8736" applyFont="1" applyFill="1" applyBorder="1" applyAlignment="1">
      <alignment horizontal="right"/>
    </xf>
    <xf numFmtId="43" fontId="170" fillId="50" borderId="98" xfId="698" applyFont="1" applyFill="1" applyBorder="1" applyAlignment="1" applyProtection="1">
      <alignment horizontal="left"/>
      <protection hidden="1"/>
    </xf>
    <xf numFmtId="43" fontId="170" fillId="50" borderId="13" xfId="698" applyFont="1" applyFill="1" applyBorder="1" applyAlignment="1" applyProtection="1">
      <alignment horizontal="left"/>
      <protection hidden="1"/>
    </xf>
    <xf numFmtId="44" fontId="3" fillId="48" borderId="13" xfId="700" applyFont="1" applyFill="1" applyBorder="1" applyAlignment="1" applyProtection="1">
      <alignment horizontal="center"/>
      <protection locked="0"/>
    </xf>
    <xf numFmtId="0" fontId="173" fillId="48" borderId="9" xfId="8736" applyFont="1" applyFill="1" applyBorder="1" applyAlignment="1">
      <alignment horizontal="center"/>
    </xf>
    <xf numFmtId="0" fontId="173" fillId="48" borderId="6" xfId="8736" applyFont="1" applyFill="1" applyBorder="1" applyAlignment="1">
      <alignment horizontal="center"/>
    </xf>
    <xf numFmtId="0" fontId="173" fillId="48" borderId="82" xfId="8736" applyFont="1" applyFill="1" applyBorder="1" applyAlignment="1">
      <alignment horizontal="center"/>
    </xf>
    <xf numFmtId="0" fontId="3" fillId="48" borderId="3" xfId="8736" applyFill="1" applyBorder="1" applyAlignment="1">
      <alignment horizontal="center"/>
    </xf>
    <xf numFmtId="0" fontId="3" fillId="48" borderId="4" xfId="8736" applyFill="1" applyBorder="1" applyAlignment="1">
      <alignment horizontal="center"/>
    </xf>
    <xf numFmtId="0" fontId="3" fillId="48" borderId="81" xfId="8736" applyFill="1" applyBorder="1" applyAlignment="1">
      <alignment horizontal="center"/>
    </xf>
    <xf numFmtId="168" fontId="175" fillId="44" borderId="11" xfId="700" applyNumberFormat="1" applyFont="1" applyFill="1" applyBorder="1" applyAlignment="1">
      <alignment horizontal="left"/>
    </xf>
    <xf numFmtId="0" fontId="104" fillId="45" borderId="65" xfId="8736" applyFont="1" applyFill="1" applyBorder="1" applyAlignment="1">
      <alignment horizontal="left" wrapText="1"/>
    </xf>
    <xf numFmtId="0" fontId="104" fillId="45" borderId="29" xfId="8736" applyFont="1" applyFill="1" applyBorder="1" applyAlignment="1">
      <alignment horizontal="left" wrapText="1"/>
    </xf>
    <xf numFmtId="0" fontId="104" fillId="45" borderId="31" xfId="8736" applyFont="1" applyFill="1" applyBorder="1" applyAlignment="1">
      <alignment horizontal="left" wrapText="1"/>
    </xf>
    <xf numFmtId="0" fontId="104" fillId="45" borderId="73" xfId="8736" applyFont="1" applyFill="1" applyBorder="1" applyAlignment="1">
      <alignment horizontal="left" wrapText="1"/>
    </xf>
    <xf numFmtId="0" fontId="104" fillId="45" borderId="42" xfId="8736" applyFont="1" applyFill="1" applyBorder="1" applyAlignment="1">
      <alignment horizontal="left" wrapText="1"/>
    </xf>
    <xf numFmtId="0" fontId="104" fillId="45" borderId="44" xfId="8736" applyFont="1" applyFill="1" applyBorder="1" applyAlignment="1">
      <alignment horizontal="left" wrapText="1"/>
    </xf>
    <xf numFmtId="43" fontId="170" fillId="50" borderId="72" xfId="698" applyFont="1" applyFill="1" applyBorder="1" applyAlignment="1" applyProtection="1">
      <alignment horizontal="left"/>
      <protection hidden="1"/>
    </xf>
    <xf numFmtId="43" fontId="170" fillId="50" borderId="11" xfId="698" applyFont="1" applyFill="1" applyBorder="1" applyAlignment="1" applyProtection="1">
      <alignment horizontal="left"/>
      <protection hidden="1"/>
    </xf>
    <xf numFmtId="44" fontId="3" fillId="48" borderId="11" xfId="700" applyFont="1" applyFill="1" applyBorder="1" applyAlignment="1" applyProtection="1">
      <alignment horizontal="center"/>
      <protection locked="0"/>
    </xf>
    <xf numFmtId="0" fontId="104" fillId="45" borderId="67" xfId="8736" applyFont="1" applyFill="1" applyBorder="1" applyAlignment="1">
      <alignment horizontal="center"/>
    </xf>
    <xf numFmtId="0" fontId="104" fillId="45" borderId="68" xfId="8736" applyFont="1" applyFill="1" applyBorder="1" applyAlignment="1">
      <alignment horizontal="center"/>
    </xf>
    <xf numFmtId="0" fontId="167" fillId="45" borderId="68" xfId="8736" applyFont="1" applyFill="1" applyBorder="1" applyAlignment="1">
      <alignment horizontal="center"/>
    </xf>
    <xf numFmtId="0" fontId="167" fillId="45" borderId="71" xfId="8736" applyFont="1" applyFill="1" applyBorder="1" applyAlignment="1">
      <alignment horizontal="center"/>
    </xf>
    <xf numFmtId="0" fontId="174" fillId="51" borderId="11" xfId="8736" applyFont="1" applyFill="1" applyBorder="1" applyAlignment="1">
      <alignment horizontal="center"/>
    </xf>
    <xf numFmtId="0" fontId="174" fillId="51" borderId="76" xfId="8736" applyFont="1" applyFill="1" applyBorder="1" applyAlignment="1">
      <alignment horizontal="center"/>
    </xf>
    <xf numFmtId="0" fontId="175" fillId="45" borderId="72" xfId="8736" applyFont="1" applyFill="1" applyBorder="1" applyAlignment="1">
      <alignment horizontal="right"/>
    </xf>
    <xf numFmtId="0" fontId="175" fillId="45" borderId="11" xfId="8736" applyFont="1" applyFill="1" applyBorder="1" applyAlignment="1">
      <alignment horizontal="right"/>
    </xf>
    <xf numFmtId="168" fontId="175" fillId="48" borderId="11" xfId="700" applyNumberFormat="1" applyFont="1" applyFill="1" applyBorder="1" applyAlignment="1" applyProtection="1">
      <alignment horizontal="left"/>
      <protection locked="0"/>
    </xf>
    <xf numFmtId="168" fontId="173" fillId="44" borderId="11" xfId="700" applyNumberFormat="1" applyFont="1" applyFill="1" applyBorder="1" applyAlignment="1" applyProtection="1">
      <alignment horizontal="left"/>
      <protection locked="0"/>
    </xf>
    <xf numFmtId="0" fontId="104" fillId="45" borderId="71" xfId="8736" applyFont="1" applyFill="1" applyBorder="1" applyAlignment="1">
      <alignment horizontal="center"/>
    </xf>
    <xf numFmtId="0" fontId="167" fillId="45" borderId="67" xfId="8736" applyFont="1" applyFill="1" applyBorder="1" applyAlignment="1">
      <alignment horizontal="left"/>
    </xf>
    <xf numFmtId="0" fontId="167" fillId="45" borderId="68" xfId="8736" applyFont="1" applyFill="1" applyBorder="1" applyAlignment="1">
      <alignment horizontal="left"/>
    </xf>
    <xf numFmtId="0" fontId="167" fillId="45" borderId="71" xfId="8736" applyFont="1" applyFill="1" applyBorder="1" applyAlignment="1">
      <alignment horizontal="left"/>
    </xf>
    <xf numFmtId="0" fontId="104" fillId="45" borderId="72" xfId="8736" applyFont="1" applyFill="1" applyBorder="1" applyAlignment="1">
      <alignment horizontal="center"/>
    </xf>
    <xf numFmtId="0" fontId="104" fillId="45" borderId="11" xfId="8736" applyFont="1" applyFill="1" applyBorder="1" applyAlignment="1">
      <alignment horizontal="center"/>
    </xf>
    <xf numFmtId="0" fontId="104" fillId="45" borderId="76" xfId="8736" applyFont="1" applyFill="1" applyBorder="1" applyAlignment="1">
      <alignment horizontal="center"/>
    </xf>
    <xf numFmtId="0" fontId="173" fillId="48" borderId="72" xfId="8736" applyFont="1" applyFill="1" applyBorder="1" applyAlignment="1" applyProtection="1">
      <alignment horizontal="left" vertical="top"/>
      <protection locked="0"/>
    </xf>
    <xf numFmtId="0" fontId="173" fillId="48" borderId="11" xfId="8736" applyFont="1" applyFill="1" applyBorder="1" applyAlignment="1" applyProtection="1">
      <alignment horizontal="left" vertical="top"/>
      <protection locked="0"/>
    </xf>
    <xf numFmtId="0" fontId="173" fillId="48" borderId="76" xfId="8736" applyFont="1" applyFill="1" applyBorder="1" applyAlignment="1" applyProtection="1">
      <alignment horizontal="left" vertical="top"/>
      <protection locked="0"/>
    </xf>
    <xf numFmtId="0" fontId="173" fillId="48" borderId="69" xfId="8736" applyFont="1" applyFill="1" applyBorder="1" applyAlignment="1" applyProtection="1">
      <alignment horizontal="left" vertical="top"/>
      <protection locked="0"/>
    </xf>
    <xf numFmtId="0" fontId="173" fillId="48" borderId="70" xfId="8736" applyFont="1" applyFill="1" applyBorder="1" applyAlignment="1" applyProtection="1">
      <alignment horizontal="left" vertical="top"/>
      <protection locked="0"/>
    </xf>
    <xf numFmtId="0" fontId="173" fillId="48" borderId="77" xfId="8736" applyFont="1" applyFill="1" applyBorder="1" applyAlignment="1" applyProtection="1">
      <alignment horizontal="left" vertical="top"/>
      <protection locked="0"/>
    </xf>
    <xf numFmtId="14" fontId="173" fillId="48" borderId="11" xfId="8736" applyNumberFormat="1" applyFont="1" applyFill="1" applyBorder="1" applyAlignment="1" applyProtection="1">
      <alignment horizontal="center"/>
      <protection locked="0"/>
    </xf>
    <xf numFmtId="14" fontId="173" fillId="48" borderId="76" xfId="8736" applyNumberFormat="1" applyFont="1" applyFill="1" applyBorder="1" applyAlignment="1" applyProtection="1">
      <alignment horizontal="center"/>
      <protection locked="0"/>
    </xf>
    <xf numFmtId="0" fontId="173" fillId="48" borderId="69" xfId="8736" applyFont="1" applyFill="1" applyBorder="1" applyAlignment="1" applyProtection="1">
      <alignment horizontal="center"/>
      <protection locked="0"/>
    </xf>
    <xf numFmtId="0" fontId="173" fillId="48" borderId="70" xfId="8736" applyFont="1" applyFill="1" applyBorder="1" applyAlignment="1" applyProtection="1">
      <alignment horizontal="center"/>
      <protection locked="0"/>
    </xf>
    <xf numFmtId="14" fontId="173" fillId="48" borderId="70" xfId="8736" applyNumberFormat="1" applyFont="1" applyFill="1" applyBorder="1" applyAlignment="1" applyProtection="1">
      <alignment horizontal="center"/>
      <protection locked="0"/>
    </xf>
    <xf numFmtId="14" fontId="173"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center"/>
    </xf>
    <xf numFmtId="0" fontId="172" fillId="45" borderId="11" xfId="8736" applyFont="1" applyFill="1" applyBorder="1" applyAlignment="1">
      <alignment horizontal="center"/>
    </xf>
    <xf numFmtId="0" fontId="176" fillId="48" borderId="11" xfId="8736" applyFont="1" applyFill="1" applyBorder="1" applyAlignment="1" applyProtection="1">
      <alignment horizontal="left"/>
      <protection locked="0"/>
    </xf>
    <xf numFmtId="14" fontId="175" fillId="48" borderId="11" xfId="8736" applyNumberFormat="1" applyFont="1" applyFill="1" applyBorder="1" applyAlignment="1" applyProtection="1">
      <alignment horizontal="center"/>
      <protection locked="0"/>
    </xf>
    <xf numFmtId="168" fontId="175" fillId="48" borderId="11" xfId="8737" applyNumberFormat="1" applyFont="1" applyFill="1" applyBorder="1" applyAlignment="1" applyProtection="1">
      <alignment horizontal="center"/>
      <protection locked="0"/>
    </xf>
    <xf numFmtId="168" fontId="175" fillId="48" borderId="76" xfId="8737" applyNumberFormat="1" applyFont="1" applyFill="1" applyBorder="1" applyAlignment="1" applyProtection="1">
      <alignment horizontal="center"/>
      <protection locked="0"/>
    </xf>
    <xf numFmtId="0" fontId="172" fillId="45" borderId="69" xfId="8736" applyFont="1" applyFill="1" applyBorder="1" applyAlignment="1">
      <alignment horizontal="center"/>
    </xf>
    <xf numFmtId="0" fontId="172" fillId="45" borderId="70" xfId="8736" applyFont="1" applyFill="1" applyBorder="1" applyAlignment="1">
      <alignment horizontal="center"/>
    </xf>
    <xf numFmtId="0" fontId="176" fillId="48" borderId="70" xfId="8736" applyFont="1" applyFill="1" applyBorder="1" applyAlignment="1" applyProtection="1">
      <alignment horizontal="left"/>
      <protection locked="0"/>
    </xf>
    <xf numFmtId="0" fontId="175" fillId="48" borderId="70" xfId="8736" applyFont="1" applyFill="1" applyBorder="1" applyAlignment="1" applyProtection="1">
      <alignment horizontal="center"/>
      <protection locked="0"/>
    </xf>
    <xf numFmtId="14" fontId="175" fillId="48" borderId="70" xfId="8736" applyNumberFormat="1" applyFont="1" applyFill="1" applyBorder="1" applyAlignment="1" applyProtection="1">
      <alignment horizontal="center"/>
      <protection locked="0"/>
    </xf>
    <xf numFmtId="168" fontId="175" fillId="48" borderId="70" xfId="8737" applyNumberFormat="1" applyFont="1" applyFill="1" applyBorder="1" applyAlignment="1" applyProtection="1">
      <alignment horizontal="center"/>
      <protection locked="0"/>
    </xf>
    <xf numFmtId="168" fontId="175" fillId="48" borderId="77" xfId="8737" applyNumberFormat="1" applyFont="1" applyFill="1" applyBorder="1" applyAlignment="1" applyProtection="1">
      <alignment horizontal="center"/>
      <protection locked="0"/>
    </xf>
    <xf numFmtId="0" fontId="177" fillId="45" borderId="69" xfId="8736" applyFont="1" applyFill="1" applyBorder="1" applyAlignment="1">
      <alignment horizontal="left"/>
    </xf>
    <xf numFmtId="0" fontId="177" fillId="45" borderId="70" xfId="8736" applyFont="1" applyFill="1" applyBorder="1" applyAlignment="1">
      <alignment horizontal="left"/>
    </xf>
    <xf numFmtId="0" fontId="3" fillId="48" borderId="70" xfId="8736" applyFill="1" applyBorder="1" applyAlignment="1" applyProtection="1">
      <alignment horizontal="center"/>
      <protection locked="0"/>
    </xf>
    <xf numFmtId="0" fontId="3" fillId="48" borderId="77" xfId="8736" applyFill="1" applyBorder="1" applyAlignment="1" applyProtection="1">
      <alignment horizontal="center"/>
      <protection locked="0"/>
    </xf>
    <xf numFmtId="0" fontId="167" fillId="45" borderId="67" xfId="8736" applyFont="1" applyFill="1" applyBorder="1" applyAlignment="1">
      <alignment horizontal="center"/>
    </xf>
    <xf numFmtId="0" fontId="166" fillId="45" borderId="11" xfId="8736" applyFont="1" applyFill="1" applyBorder="1" applyAlignment="1">
      <alignment horizontal="center"/>
    </xf>
    <xf numFmtId="0" fontId="177" fillId="45" borderId="72" xfId="8736" applyFont="1" applyFill="1" applyBorder="1" applyAlignment="1">
      <alignment horizontal="left"/>
    </xf>
    <xf numFmtId="0" fontId="177" fillId="45" borderId="11" xfId="8736" applyFont="1" applyFill="1" applyBorder="1" applyAlignment="1">
      <alignment horizontal="left"/>
    </xf>
    <xf numFmtId="0" fontId="3" fillId="48" borderId="11" xfId="8736" applyFill="1" applyBorder="1" applyAlignment="1" applyProtection="1">
      <alignment horizontal="center"/>
      <protection locked="0"/>
    </xf>
    <xf numFmtId="0" fontId="3" fillId="48" borderId="76" xfId="8736" applyFill="1" applyBorder="1" applyAlignment="1" applyProtection="1">
      <alignment horizontal="center"/>
      <protection locked="0"/>
    </xf>
    <xf numFmtId="0" fontId="166" fillId="45" borderId="11" xfId="8736" applyFont="1" applyFill="1" applyBorder="1" applyAlignment="1">
      <alignment horizontal="center" wrapText="1"/>
    </xf>
    <xf numFmtId="0" fontId="166" fillId="45" borderId="76" xfId="8736" applyFont="1" applyFill="1" applyBorder="1" applyAlignment="1">
      <alignment horizontal="center" wrapText="1"/>
    </xf>
    <xf numFmtId="0" fontId="166" fillId="48" borderId="90" xfId="8736" applyFont="1" applyFill="1" applyBorder="1" applyAlignment="1">
      <alignment horizontal="left"/>
    </xf>
    <xf numFmtId="0" fontId="166" fillId="48" borderId="4" xfId="8736" applyFont="1" applyFill="1" applyBorder="1" applyAlignment="1">
      <alignment horizontal="left"/>
    </xf>
    <xf numFmtId="0" fontId="166" fillId="48" borderId="5" xfId="8736" applyFont="1" applyFill="1" applyBorder="1" applyAlignment="1">
      <alignment horizontal="left"/>
    </xf>
    <xf numFmtId="0" fontId="170" fillId="48" borderId="68" xfId="8736" applyFont="1" applyFill="1" applyBorder="1" applyAlignment="1" applyProtection="1">
      <alignment horizontal="left"/>
      <protection locked="0"/>
    </xf>
    <xf numFmtId="0" fontId="170" fillId="48" borderId="71" xfId="8736" applyFont="1" applyFill="1" applyBorder="1" applyAlignment="1" applyProtection="1">
      <alignment horizontal="left"/>
      <protection locked="0"/>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178" fillId="48" borderId="11" xfId="8736" applyFont="1" applyFill="1" applyBorder="1" applyAlignment="1" applyProtection="1">
      <alignment horizontal="left"/>
      <protection locked="0"/>
    </xf>
    <xf numFmtId="0" fontId="178" fillId="48" borderId="76" xfId="8736" applyFont="1" applyFill="1" applyBorder="1" applyAlignment="1" applyProtection="1">
      <alignment horizontal="left"/>
      <protection locked="0"/>
    </xf>
    <xf numFmtId="0" fontId="175" fillId="48" borderId="72" xfId="8736" applyFont="1" applyFill="1" applyBorder="1" applyAlignment="1" applyProtection="1">
      <alignment horizontal="left" vertical="top"/>
      <protection locked="0"/>
    </xf>
    <xf numFmtId="0" fontId="175" fillId="48" borderId="11" xfId="8736" applyFont="1" applyFill="1" applyBorder="1" applyAlignment="1" applyProtection="1">
      <alignment horizontal="left" vertical="top"/>
      <protection locked="0"/>
    </xf>
    <xf numFmtId="0" fontId="175" fillId="48" borderId="76" xfId="8736" applyFont="1" applyFill="1" applyBorder="1" applyAlignment="1" applyProtection="1">
      <alignment horizontal="left" vertical="top"/>
      <protection locked="0"/>
    </xf>
    <xf numFmtId="0" fontId="175" fillId="48" borderId="69" xfId="8736" applyFont="1" applyFill="1" applyBorder="1" applyAlignment="1" applyProtection="1">
      <alignment horizontal="left" vertical="top"/>
      <protection locked="0"/>
    </xf>
    <xf numFmtId="0" fontId="175" fillId="48" borderId="70" xfId="8736" applyFont="1" applyFill="1" applyBorder="1" applyAlignment="1" applyProtection="1">
      <alignment horizontal="left" vertical="top"/>
      <protection locked="0"/>
    </xf>
    <xf numFmtId="0" fontId="175" fillId="48" borderId="77" xfId="8736" applyFont="1" applyFill="1" applyBorder="1" applyAlignment="1" applyProtection="1">
      <alignment horizontal="left" vertical="top"/>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70" fillId="48" borderId="3" xfId="8736" applyFont="1" applyFill="1" applyBorder="1" applyAlignment="1" applyProtection="1">
      <alignment horizontal="center"/>
      <protection locked="0"/>
    </xf>
    <xf numFmtId="0" fontId="170" fillId="48" borderId="4" xfId="8736" applyFont="1" applyFill="1" applyBorder="1" applyAlignment="1" applyProtection="1">
      <alignment horizontal="center"/>
      <protection locked="0"/>
    </xf>
    <xf numFmtId="0" fontId="170" fillId="48" borderId="81" xfId="8736" applyFont="1" applyFill="1" applyBorder="1" applyAlignment="1" applyProtection="1">
      <alignment horizontal="center"/>
      <protection locked="0"/>
    </xf>
    <xf numFmtId="0" fontId="174" fillId="45" borderId="11" xfId="8736" applyFont="1" applyFill="1" applyBorder="1" applyAlignment="1">
      <alignment horizontal="center"/>
    </xf>
    <xf numFmtId="0" fontId="180" fillId="45" borderId="11" xfId="8736" applyFont="1" applyFill="1" applyBorder="1" applyAlignment="1">
      <alignment horizontal="left"/>
    </xf>
    <xf numFmtId="0" fontId="180" fillId="45" borderId="76" xfId="8736" applyFont="1" applyFill="1" applyBorder="1" applyAlignment="1">
      <alignment horizontal="left"/>
    </xf>
    <xf numFmtId="0" fontId="167" fillId="45" borderId="93" xfId="8736" applyFont="1" applyFill="1" applyBorder="1" applyAlignment="1">
      <alignment horizontal="center"/>
    </xf>
    <xf numFmtId="0" fontId="167" fillId="45" borderId="92" xfId="8736" applyFont="1" applyFill="1" applyBorder="1" applyAlignment="1">
      <alignment horizontal="center"/>
    </xf>
    <xf numFmtId="0" fontId="167" fillId="45" borderId="91" xfId="8736" applyFont="1" applyFill="1" applyBorder="1" applyAlignment="1">
      <alignment horizontal="center"/>
    </xf>
    <xf numFmtId="0" fontId="174" fillId="45" borderId="72" xfId="8736" applyFont="1" applyFill="1" applyBorder="1" applyAlignment="1">
      <alignment horizontal="center"/>
    </xf>
    <xf numFmtId="0" fontId="104" fillId="45" borderId="67" xfId="8736" applyFont="1" applyFill="1" applyBorder="1" applyAlignment="1" applyProtection="1">
      <alignment horizontal="left" vertical="center" wrapText="1"/>
      <protection locked="0"/>
    </xf>
    <xf numFmtId="0" fontId="104" fillId="45" borderId="68" xfId="8736" applyFont="1" applyFill="1" applyBorder="1" applyAlignment="1" applyProtection="1">
      <alignment horizontal="left" vertical="center" wrapText="1"/>
      <protection locked="0"/>
    </xf>
    <xf numFmtId="0" fontId="104" fillId="45" borderId="72" xfId="8736" applyFont="1" applyFill="1" applyBorder="1" applyAlignment="1" applyProtection="1">
      <alignment horizontal="left" vertical="center" wrapText="1"/>
      <protection locked="0"/>
    </xf>
    <xf numFmtId="0" fontId="104" fillId="45" borderId="11" xfId="8736" applyFont="1" applyFill="1" applyBorder="1" applyAlignment="1" applyProtection="1">
      <alignment horizontal="left" vertical="center" wrapText="1"/>
      <protection locked="0"/>
    </xf>
    <xf numFmtId="0" fontId="170" fillId="48" borderId="68" xfId="8736" applyFont="1" applyFill="1" applyBorder="1" applyAlignment="1" applyProtection="1">
      <alignment horizontal="left" vertical="center" wrapText="1"/>
      <protection locked="0"/>
    </xf>
    <xf numFmtId="0" fontId="170" fillId="48" borderId="71" xfId="8736" applyFont="1" applyFill="1" applyBorder="1" applyAlignment="1" applyProtection="1">
      <alignment horizontal="left" vertical="center" wrapText="1"/>
      <protection locked="0"/>
    </xf>
    <xf numFmtId="0" fontId="170" fillId="48" borderId="11" xfId="8736" applyFont="1" applyFill="1" applyBorder="1" applyAlignment="1" applyProtection="1">
      <alignment horizontal="left" vertical="center" wrapText="1"/>
      <protection locked="0"/>
    </xf>
    <xf numFmtId="0" fontId="170" fillId="48" borderId="76" xfId="8736" applyFont="1" applyFill="1" applyBorder="1" applyAlignment="1" applyProtection="1">
      <alignment horizontal="left" vertical="center" wrapText="1"/>
      <protection locked="0"/>
    </xf>
    <xf numFmtId="0" fontId="173" fillId="48" borderId="72" xfId="8736" applyFont="1" applyFill="1" applyBorder="1" applyAlignment="1" applyProtection="1">
      <alignment horizontal="left" vertical="top" wrapText="1"/>
      <protection locked="0"/>
    </xf>
    <xf numFmtId="0" fontId="173" fillId="48" borderId="11" xfId="8736" applyFont="1" applyFill="1" applyBorder="1" applyAlignment="1" applyProtection="1">
      <alignment horizontal="left" vertical="top" wrapText="1"/>
      <protection locked="0"/>
    </xf>
    <xf numFmtId="0" fontId="173" fillId="48" borderId="69" xfId="8736" applyFont="1" applyFill="1" applyBorder="1" applyAlignment="1" applyProtection="1">
      <alignment horizontal="left" vertical="top" wrapText="1"/>
      <protection locked="0"/>
    </xf>
    <xf numFmtId="0" fontId="173" fillId="48" borderId="70" xfId="8736" applyFont="1" applyFill="1" applyBorder="1" applyAlignment="1" applyProtection="1">
      <alignment horizontal="left" vertical="top" wrapText="1"/>
      <protection locked="0"/>
    </xf>
    <xf numFmtId="0" fontId="170" fillId="48" borderId="11" xfId="8736" applyFont="1" applyFill="1" applyBorder="1" applyAlignment="1" applyProtection="1">
      <alignment horizontal="center" vertical="center" wrapText="1"/>
      <protection locked="0"/>
    </xf>
    <xf numFmtId="0" fontId="170" fillId="48" borderId="76" xfId="8736" applyFont="1" applyFill="1" applyBorder="1" applyAlignment="1" applyProtection="1">
      <alignment horizontal="center" vertical="center" wrapText="1"/>
      <protection locked="0"/>
    </xf>
    <xf numFmtId="0" fontId="170" fillId="48" borderId="70" xfId="8736" applyFont="1" applyFill="1" applyBorder="1" applyAlignment="1" applyProtection="1">
      <alignment horizontal="center" vertical="center" wrapText="1"/>
      <protection locked="0"/>
    </xf>
    <xf numFmtId="0" fontId="170" fillId="48" borderId="77" xfId="8736" applyFont="1" applyFill="1" applyBorder="1" applyAlignment="1" applyProtection="1">
      <alignment horizontal="center" vertical="center" wrapText="1"/>
      <protection locked="0"/>
    </xf>
    <xf numFmtId="0" fontId="3" fillId="51" borderId="70" xfId="8736" applyFill="1" applyBorder="1" applyAlignment="1" applyProtection="1">
      <alignment horizontal="center"/>
      <protection locked="0"/>
    </xf>
    <xf numFmtId="0" fontId="3" fillId="51" borderId="77" xfId="8736" applyFill="1" applyBorder="1" applyAlignment="1" applyProtection="1">
      <alignment horizontal="center"/>
      <protection locked="0"/>
    </xf>
    <xf numFmtId="0" fontId="104" fillId="45" borderId="67" xfId="8736" applyFont="1" applyFill="1" applyBorder="1" applyAlignment="1">
      <alignment horizontal="left" wrapText="1"/>
    </xf>
    <xf numFmtId="0" fontId="104" fillId="45" borderId="68" xfId="8736" applyFont="1" applyFill="1" applyBorder="1" applyAlignment="1">
      <alignment horizontal="left" wrapText="1"/>
    </xf>
    <xf numFmtId="0" fontId="104" fillId="45" borderId="71" xfId="8736" applyFont="1" applyFill="1" applyBorder="1" applyAlignment="1">
      <alignment horizontal="left" wrapText="1"/>
    </xf>
    <xf numFmtId="0" fontId="104" fillId="45" borderId="72" xfId="8736" applyFont="1" applyFill="1" applyBorder="1" applyAlignment="1">
      <alignment horizontal="left" wrapText="1"/>
    </xf>
    <xf numFmtId="0" fontId="104" fillId="45" borderId="11" xfId="8736" applyFont="1" applyFill="1" applyBorder="1" applyAlignment="1">
      <alignment horizontal="left" wrapText="1"/>
    </xf>
    <xf numFmtId="0" fontId="104" fillId="45" borderId="76" xfId="8736" applyFont="1" applyFill="1" applyBorder="1" applyAlignment="1">
      <alignment horizontal="left" wrapText="1"/>
    </xf>
    <xf numFmtId="0" fontId="104" fillId="45" borderId="65" xfId="8736" applyFont="1" applyFill="1" applyBorder="1" applyAlignment="1">
      <alignment horizontal="center"/>
    </xf>
    <xf numFmtId="0" fontId="104" fillId="45" borderId="29" xfId="8736" applyFont="1" applyFill="1" applyBorder="1" applyAlignment="1">
      <alignment horizontal="center"/>
    </xf>
    <xf numFmtId="0" fontId="104" fillId="45" borderId="31" xfId="8736" applyFont="1" applyFill="1" applyBorder="1" applyAlignment="1">
      <alignment horizontal="center"/>
    </xf>
    <xf numFmtId="0" fontId="174" fillId="45" borderId="69" xfId="8736" applyFont="1" applyFill="1" applyBorder="1" applyAlignment="1">
      <alignment horizontal="center"/>
    </xf>
    <xf numFmtId="0" fontId="174" fillId="45" borderId="70" xfId="8736" applyFont="1" applyFill="1" applyBorder="1" applyAlignment="1">
      <alignment horizontal="center"/>
    </xf>
    <xf numFmtId="0" fontId="174" fillId="45" borderId="11" xfId="8736" applyFont="1" applyFill="1" applyBorder="1" applyAlignment="1">
      <alignment horizontal="center" wrapText="1"/>
    </xf>
    <xf numFmtId="0" fontId="166" fillId="45" borderId="76" xfId="8736" applyFont="1" applyFill="1" applyBorder="1" applyAlignment="1">
      <alignment horizontal="center"/>
    </xf>
    <xf numFmtId="0" fontId="3" fillId="48" borderId="9" xfId="8736" applyFill="1" applyBorder="1" applyAlignment="1" applyProtection="1">
      <alignment horizontal="center"/>
      <protection locked="0"/>
    </xf>
    <xf numFmtId="0" fontId="3" fillId="48" borderId="6" xfId="8736" applyFill="1" applyBorder="1" applyAlignment="1" applyProtection="1">
      <alignment horizontal="center"/>
      <protection locked="0"/>
    </xf>
    <xf numFmtId="0" fontId="3" fillId="48" borderId="82" xfId="8736" applyFill="1" applyBorder="1" applyAlignment="1" applyProtection="1">
      <alignment horizontal="center"/>
      <protection locked="0"/>
    </xf>
    <xf numFmtId="0" fontId="104" fillId="45" borderId="67" xfId="8736" applyFont="1" applyFill="1" applyBorder="1" applyAlignment="1">
      <alignment horizontal="center" wrapText="1"/>
    </xf>
    <xf numFmtId="0" fontId="104" fillId="45" borderId="68" xfId="8736" applyFont="1" applyFill="1" applyBorder="1" applyAlignment="1">
      <alignment horizontal="center" wrapText="1"/>
    </xf>
    <xf numFmtId="0" fontId="104" fillId="45" borderId="71" xfId="8736" applyFont="1" applyFill="1" applyBorder="1" applyAlignment="1">
      <alignment horizontal="center" wrapText="1"/>
    </xf>
    <xf numFmtId="0" fontId="170" fillId="48" borderId="68" xfId="8736" applyFont="1" applyFill="1" applyBorder="1" applyAlignment="1" applyProtection="1">
      <alignment horizontal="left" wrapText="1"/>
      <protection locked="0"/>
    </xf>
    <xf numFmtId="0" fontId="170" fillId="48" borderId="71" xfId="8736" applyFont="1" applyFill="1" applyBorder="1" applyAlignment="1" applyProtection="1">
      <alignment horizontal="left" wrapText="1"/>
      <protection locked="0"/>
    </xf>
    <xf numFmtId="0" fontId="170" fillId="48" borderId="11" xfId="8736" applyFont="1" applyFill="1" applyBorder="1" applyAlignment="1" applyProtection="1">
      <alignment horizontal="left" wrapText="1"/>
      <protection locked="0"/>
    </xf>
    <xf numFmtId="0" fontId="170" fillId="48" borderId="76" xfId="8736" applyFont="1" applyFill="1" applyBorder="1" applyAlignment="1" applyProtection="1">
      <alignment horizontal="left" wrapText="1"/>
      <protection locked="0"/>
    </xf>
    <xf numFmtId="0" fontId="175" fillId="48" borderId="72" xfId="8736" applyFont="1" applyFill="1" applyBorder="1" applyAlignment="1" applyProtection="1">
      <alignment horizontal="right"/>
      <protection locked="0"/>
    </xf>
    <xf numFmtId="0" fontId="175" fillId="48" borderId="11" xfId="8736" applyFont="1" applyFill="1" applyBorder="1" applyAlignment="1" applyProtection="1">
      <alignment horizontal="right"/>
      <protection locked="0"/>
    </xf>
    <xf numFmtId="168" fontId="175" fillId="48" borderId="76" xfId="700" applyNumberFormat="1" applyFont="1" applyFill="1" applyBorder="1" applyAlignment="1" applyProtection="1">
      <alignment horizontal="left"/>
      <protection locked="0"/>
    </xf>
    <xf numFmtId="0" fontId="167" fillId="45" borderId="98" xfId="8736" applyFont="1" applyFill="1" applyBorder="1" applyAlignment="1">
      <alignment horizontal="center"/>
    </xf>
    <xf numFmtId="0" fontId="167" fillId="45" borderId="13" xfId="8736" applyFont="1" applyFill="1" applyBorder="1" applyAlignment="1">
      <alignment horizontal="center"/>
    </xf>
    <xf numFmtId="0" fontId="173" fillId="48" borderId="72" xfId="8736" applyFont="1" applyFill="1" applyBorder="1" applyAlignment="1" applyProtection="1">
      <alignment horizontal="right"/>
      <protection locked="0"/>
    </xf>
    <xf numFmtId="0" fontId="173" fillId="48" borderId="11" xfId="8736" applyFont="1" applyFill="1" applyBorder="1" applyAlignment="1" applyProtection="1">
      <alignment horizontal="right"/>
      <protection locked="0"/>
    </xf>
    <xf numFmtId="0" fontId="167" fillId="45" borderId="89" xfId="8736" applyFont="1" applyFill="1" applyBorder="1" applyAlignment="1">
      <alignment horizontal="right"/>
    </xf>
    <xf numFmtId="0" fontId="167" fillId="45" borderId="43" xfId="8736" applyFont="1" applyFill="1" applyBorder="1" applyAlignment="1">
      <alignment horizontal="right"/>
    </xf>
    <xf numFmtId="168" fontId="167" fillId="45" borderId="43" xfId="8736" applyNumberFormat="1" applyFont="1" applyFill="1" applyBorder="1" applyAlignment="1">
      <alignment horizontal="left"/>
    </xf>
    <xf numFmtId="168" fontId="167" fillId="45" borderId="88" xfId="8736" applyNumberFormat="1" applyFont="1" applyFill="1" applyBorder="1" applyAlignment="1">
      <alignment horizontal="left"/>
    </xf>
    <xf numFmtId="0" fontId="173" fillId="48" borderId="68" xfId="8736" applyFont="1" applyFill="1" applyBorder="1" applyAlignment="1" applyProtection="1">
      <alignment horizontal="left"/>
      <protection locked="0"/>
    </xf>
    <xf numFmtId="0" fontId="173" fillId="48" borderId="71" xfId="8736" applyFont="1" applyFill="1" applyBorder="1" applyAlignment="1" applyProtection="1">
      <alignment horizontal="left"/>
      <protection locked="0"/>
    </xf>
    <xf numFmtId="0" fontId="167" fillId="45" borderId="69" xfId="8736" applyFont="1" applyFill="1" applyBorder="1" applyAlignment="1">
      <alignment horizontal="center"/>
    </xf>
    <xf numFmtId="0" fontId="167" fillId="45" borderId="70" xfId="8736" applyFont="1" applyFill="1" applyBorder="1" applyAlignment="1">
      <alignment horizontal="center"/>
    </xf>
    <xf numFmtId="0" fontId="173" fillId="48" borderId="70" xfId="8736" applyFont="1" applyFill="1" applyBorder="1" applyAlignment="1" applyProtection="1">
      <alignment horizontal="left"/>
      <protection locked="0"/>
    </xf>
    <xf numFmtId="0" fontId="173" fillId="48" borderId="77" xfId="8736" applyFont="1" applyFill="1" applyBorder="1" applyAlignment="1" applyProtection="1">
      <alignment horizontal="left"/>
      <protection locked="0"/>
    </xf>
    <xf numFmtId="0" fontId="170" fillId="48" borderId="74" xfId="8736" applyFont="1" applyFill="1" applyBorder="1" applyAlignment="1" applyProtection="1">
      <alignment horizontal="left"/>
      <protection locked="0"/>
    </xf>
    <xf numFmtId="0" fontId="167" fillId="45" borderId="72" xfId="8736" applyFont="1" applyFill="1" applyBorder="1" applyAlignment="1">
      <alignment horizontal="center"/>
    </xf>
    <xf numFmtId="0" fontId="167" fillId="45" borderId="11" xfId="8736" applyFont="1" applyFill="1" applyBorder="1" applyAlignment="1">
      <alignment horizontal="center"/>
    </xf>
    <xf numFmtId="0" fontId="167" fillId="45" borderId="3" xfId="8736" applyFont="1" applyFill="1" applyBorder="1" applyAlignment="1">
      <alignment horizontal="center"/>
    </xf>
    <xf numFmtId="0" fontId="167" fillId="45" borderId="4" xfId="8736" applyFont="1" applyFill="1" applyBorder="1" applyAlignment="1">
      <alignment horizontal="center"/>
    </xf>
    <xf numFmtId="0" fontId="167" fillId="45" borderId="81" xfId="8736" applyFont="1" applyFill="1" applyBorder="1" applyAlignment="1">
      <alignment horizontal="center"/>
    </xf>
    <xf numFmtId="0" fontId="104" fillId="45" borderId="69" xfId="8736" applyFont="1" applyFill="1" applyBorder="1" applyAlignment="1">
      <alignment horizontal="center"/>
    </xf>
    <xf numFmtId="0" fontId="104" fillId="45" borderId="70" xfId="8736" applyFont="1" applyFill="1" applyBorder="1" applyAlignment="1">
      <alignment horizontal="center"/>
    </xf>
    <xf numFmtId="0" fontId="173" fillId="44" borderId="72" xfId="8736" applyFont="1" applyFill="1" applyBorder="1" applyAlignment="1" applyProtection="1">
      <alignment horizontal="right"/>
      <protection locked="0"/>
    </xf>
    <xf numFmtId="0" fontId="173" fillId="44" borderId="11" xfId="8736" applyFont="1" applyFill="1" applyBorder="1" applyAlignment="1" applyProtection="1">
      <alignment horizontal="right"/>
      <protection locked="0"/>
    </xf>
    <xf numFmtId="0" fontId="173" fillId="44" borderId="76" xfId="8736" applyFont="1" applyFill="1" applyBorder="1" applyAlignment="1" applyProtection="1">
      <alignment horizontal="right"/>
      <protection locked="0"/>
    </xf>
    <xf numFmtId="0" fontId="173" fillId="48" borderId="5" xfId="8736" applyFont="1" applyFill="1" applyBorder="1" applyAlignment="1" applyProtection="1">
      <alignment horizontal="left"/>
      <protection locked="0"/>
    </xf>
    <xf numFmtId="0" fontId="173" fillId="44" borderId="69" xfId="8736" applyFont="1" applyFill="1" applyBorder="1" applyAlignment="1" applyProtection="1">
      <alignment horizontal="right"/>
      <protection locked="0"/>
    </xf>
    <xf numFmtId="0" fontId="173" fillId="44" borderId="70" xfId="8736" applyFont="1" applyFill="1" applyBorder="1" applyAlignment="1" applyProtection="1">
      <alignment horizontal="right"/>
      <protection locked="0"/>
    </xf>
    <xf numFmtId="0" fontId="173" fillId="44" borderId="77" xfId="8736" applyFont="1" applyFill="1" applyBorder="1" applyAlignment="1" applyProtection="1">
      <alignment horizontal="right"/>
      <protection locked="0"/>
    </xf>
    <xf numFmtId="0" fontId="173" fillId="48" borderId="95" xfId="8736" applyFont="1" applyFill="1" applyBorder="1" applyAlignment="1" applyProtection="1">
      <alignment horizontal="left"/>
      <protection locked="0"/>
    </xf>
    <xf numFmtId="0" fontId="167" fillId="45" borderId="65" xfId="8736" applyFont="1" applyFill="1" applyBorder="1" applyAlignment="1">
      <alignment horizontal="center"/>
    </xf>
    <xf numFmtId="0" fontId="167" fillId="45" borderId="29" xfId="8736" applyFont="1" applyFill="1" applyBorder="1" applyAlignment="1">
      <alignment horizontal="center"/>
    </xf>
    <xf numFmtId="0" fontId="167" fillId="45" borderId="31" xfId="8736" applyFont="1" applyFill="1" applyBorder="1" applyAlignment="1">
      <alignment horizontal="center"/>
    </xf>
    <xf numFmtId="168" fontId="173" fillId="48" borderId="11" xfId="8737" applyNumberFormat="1" applyFont="1" applyFill="1" applyBorder="1" applyAlignment="1" applyProtection="1">
      <alignment horizontal="center"/>
      <protection locked="0"/>
    </xf>
    <xf numFmtId="1" fontId="173" fillId="48" borderId="11" xfId="8736" applyNumberFormat="1" applyFont="1" applyFill="1" applyBorder="1" applyAlignment="1" applyProtection="1">
      <alignment horizontal="center"/>
      <protection locked="0"/>
    </xf>
    <xf numFmtId="0" fontId="173" fillId="48" borderId="11" xfId="700" applyNumberFormat="1" applyFont="1" applyFill="1" applyBorder="1" applyAlignment="1" applyProtection="1">
      <alignment horizontal="left"/>
      <protection locked="0"/>
    </xf>
    <xf numFmtId="0" fontId="173" fillId="48" borderId="76" xfId="700" applyNumberFormat="1" applyFont="1" applyFill="1" applyBorder="1" applyAlignment="1" applyProtection="1">
      <alignment horizontal="left"/>
      <protection locked="0"/>
    </xf>
    <xf numFmtId="168" fontId="174" fillId="45" borderId="70" xfId="8737" applyNumberFormat="1" applyFont="1" applyFill="1" applyBorder="1" applyAlignment="1">
      <alignment horizontal="center"/>
    </xf>
    <xf numFmtId="1" fontId="174" fillId="45" borderId="70" xfId="8737" applyNumberFormat="1" applyFont="1" applyFill="1" applyBorder="1" applyAlignment="1">
      <alignment horizontal="center"/>
    </xf>
    <xf numFmtId="0" fontId="174" fillId="45" borderId="70" xfId="8737" applyNumberFormat="1" applyFont="1" applyFill="1" applyBorder="1" applyAlignment="1">
      <alignment horizontal="center"/>
    </xf>
    <xf numFmtId="0" fontId="174" fillId="45" borderId="77" xfId="8737" applyNumberFormat="1" applyFont="1" applyFill="1" applyBorder="1" applyAlignment="1">
      <alignment horizontal="center"/>
    </xf>
    <xf numFmtId="0" fontId="166" fillId="45" borderId="11" xfId="8736" applyFont="1" applyFill="1" applyBorder="1" applyAlignment="1">
      <alignment horizontal="center" vertical="center" wrapText="1"/>
    </xf>
    <xf numFmtId="0" fontId="166" fillId="45" borderId="76" xfId="8736" applyFont="1" applyFill="1" applyBorder="1" applyAlignment="1">
      <alignment horizontal="center" vertical="center" wrapText="1"/>
    </xf>
    <xf numFmtId="1" fontId="178" fillId="48" borderId="70" xfId="8736" applyNumberFormat="1" applyFont="1" applyFill="1" applyBorder="1" applyAlignment="1" applyProtection="1">
      <alignment horizontal="center"/>
      <protection locked="0"/>
    </xf>
    <xf numFmtId="1" fontId="178" fillId="48" borderId="94" xfId="8736" applyNumberFormat="1" applyFont="1" applyFill="1" applyBorder="1" applyAlignment="1" applyProtection="1">
      <alignment horizontal="center"/>
      <protection locked="0"/>
    </xf>
    <xf numFmtId="1" fontId="178" fillId="48" borderId="86" xfId="8736" applyNumberFormat="1" applyFont="1" applyFill="1" applyBorder="1" applyAlignment="1" applyProtection="1">
      <alignment horizontal="center"/>
      <protection locked="0"/>
    </xf>
    <xf numFmtId="1" fontId="178" fillId="48" borderId="95" xfId="8736" applyNumberFormat="1" applyFont="1" applyFill="1" applyBorder="1" applyAlignment="1" applyProtection="1">
      <alignment horizontal="center"/>
      <protection locked="0"/>
    </xf>
    <xf numFmtId="1" fontId="178" fillId="48" borderId="3" xfId="8736" applyNumberFormat="1" applyFont="1" applyFill="1" applyBorder="1" applyAlignment="1" applyProtection="1">
      <alignment horizontal="center"/>
      <protection locked="0"/>
    </xf>
    <xf numFmtId="1" fontId="178" fillId="48" borderId="4" xfId="8736" applyNumberFormat="1" applyFont="1" applyFill="1" applyBorder="1" applyAlignment="1" applyProtection="1">
      <alignment horizontal="center"/>
      <protection locked="0"/>
    </xf>
    <xf numFmtId="1" fontId="178" fillId="48" borderId="5" xfId="8736" applyNumberFormat="1" applyFont="1" applyFill="1" applyBorder="1" applyAlignment="1" applyProtection="1">
      <alignment horizontal="center"/>
      <protection locked="0"/>
    </xf>
    <xf numFmtId="1" fontId="166" fillId="44" borderId="3" xfId="8736" applyNumberFormat="1" applyFont="1" applyFill="1" applyBorder="1" applyAlignment="1">
      <alignment horizontal="center"/>
    </xf>
    <xf numFmtId="1" fontId="166" fillId="44" borderId="4" xfId="8736" applyNumberFormat="1" applyFont="1" applyFill="1" applyBorder="1" applyAlignment="1">
      <alignment horizontal="center"/>
    </xf>
    <xf numFmtId="1" fontId="166" fillId="44" borderId="5" xfId="8736" applyNumberFormat="1" applyFont="1" applyFill="1" applyBorder="1" applyAlignment="1">
      <alignment horizontal="center"/>
    </xf>
    <xf numFmtId="9" fontId="166" fillId="44" borderId="3" xfId="8738" applyFont="1" applyFill="1" applyBorder="1" applyAlignment="1">
      <alignment horizontal="center"/>
    </xf>
    <xf numFmtId="9" fontId="166" fillId="44" borderId="4" xfId="8738" applyFont="1" applyFill="1" applyBorder="1" applyAlignment="1">
      <alignment horizontal="center"/>
    </xf>
    <xf numFmtId="9" fontId="166" fillId="44" borderId="81" xfId="8738" applyFont="1" applyFill="1" applyBorder="1" applyAlignment="1">
      <alignment horizontal="center"/>
    </xf>
    <xf numFmtId="0" fontId="173" fillId="48" borderId="69" xfId="8736" applyFont="1" applyFill="1" applyBorder="1" applyAlignment="1" applyProtection="1">
      <alignment horizontal="right"/>
      <protection locked="0"/>
    </xf>
    <xf numFmtId="0" fontId="173" fillId="48" borderId="70" xfId="8736" applyFont="1" applyFill="1" applyBorder="1" applyAlignment="1" applyProtection="1">
      <alignment horizontal="right"/>
      <protection locked="0"/>
    </xf>
    <xf numFmtId="0" fontId="178" fillId="48" borderId="70" xfId="8736" applyFont="1" applyFill="1" applyBorder="1" applyAlignment="1" applyProtection="1">
      <alignment horizontal="center"/>
      <protection locked="0"/>
    </xf>
    <xf numFmtId="9" fontId="166" fillId="44" borderId="94" xfId="8738" applyFont="1" applyFill="1" applyBorder="1" applyAlignment="1">
      <alignment horizontal="center"/>
    </xf>
    <xf numFmtId="9" fontId="166" fillId="44" borderId="86" xfId="8738" applyFont="1" applyFill="1" applyBorder="1" applyAlignment="1">
      <alignment horizontal="center"/>
    </xf>
    <xf numFmtId="9" fontId="166" fillId="44" borderId="85" xfId="8738" applyFont="1" applyFill="1" applyBorder="1" applyAlignment="1">
      <alignment horizontal="center"/>
    </xf>
    <xf numFmtId="0" fontId="178" fillId="48" borderId="11" xfId="8736" applyFont="1" applyFill="1" applyBorder="1" applyAlignment="1" applyProtection="1">
      <alignment horizontal="center"/>
      <protection locked="0"/>
    </xf>
    <xf numFmtId="1" fontId="178" fillId="48" borderId="11" xfId="8736" applyNumberFormat="1" applyFont="1" applyFill="1" applyBorder="1" applyAlignment="1" applyProtection="1">
      <alignment horizontal="center"/>
      <protection locked="0"/>
    </xf>
    <xf numFmtId="0" fontId="174" fillId="44" borderId="101" xfId="8736" applyFont="1" applyFill="1" applyBorder="1" applyAlignment="1">
      <alignment horizontal="center"/>
    </xf>
    <xf numFmtId="0" fontId="174" fillId="44" borderId="42" xfId="8736" applyFont="1" applyFill="1" applyBorder="1" applyAlignment="1">
      <alignment horizontal="center"/>
    </xf>
    <xf numFmtId="0" fontId="174" fillId="44" borderId="96" xfId="8736" applyFont="1" applyFill="1" applyBorder="1" applyAlignment="1">
      <alignment horizontal="center"/>
    </xf>
    <xf numFmtId="9" fontId="174" fillId="44" borderId="101" xfId="1022" applyFont="1" applyFill="1" applyBorder="1" applyAlignment="1">
      <alignment horizontal="center"/>
    </xf>
    <xf numFmtId="9" fontId="174" fillId="44" borderId="42" xfId="1022" applyFont="1" applyFill="1" applyBorder="1" applyAlignment="1">
      <alignment horizontal="center"/>
    </xf>
    <xf numFmtId="9" fontId="174" fillId="44" borderId="44" xfId="1022" applyFont="1" applyFill="1" applyBorder="1" applyAlignment="1">
      <alignment horizontal="center"/>
    </xf>
    <xf numFmtId="0" fontId="167" fillId="45" borderId="80" xfId="8736" applyFont="1" applyFill="1" applyBorder="1" applyAlignment="1">
      <alignment horizontal="center"/>
    </xf>
    <xf numFmtId="0" fontId="167" fillId="45" borderId="79" xfId="8736" applyFont="1" applyFill="1" applyBorder="1" applyAlignment="1">
      <alignment horizontal="center"/>
    </xf>
    <xf numFmtId="0" fontId="167" fillId="45" borderId="78" xfId="8736" applyFont="1" applyFill="1" applyBorder="1" applyAlignment="1">
      <alignment horizontal="center"/>
    </xf>
    <xf numFmtId="0" fontId="166" fillId="45" borderId="98" xfId="8736" applyFont="1" applyFill="1" applyBorder="1" applyAlignment="1">
      <alignment horizontal="center" vertical="center" wrapText="1"/>
    </xf>
    <xf numFmtId="0" fontId="166" fillId="45" borderId="13" xfId="8736" applyFont="1" applyFill="1" applyBorder="1" applyAlignment="1">
      <alignment horizontal="center" vertical="center"/>
    </xf>
    <xf numFmtId="0" fontId="166" fillId="45" borderId="72" xfId="8736" applyFont="1" applyFill="1" applyBorder="1" applyAlignment="1">
      <alignment horizontal="center" vertical="center"/>
    </xf>
    <xf numFmtId="0" fontId="166" fillId="45" borderId="11" xfId="8736" applyFont="1" applyFill="1" applyBorder="1" applyAlignment="1">
      <alignment horizontal="center" vertical="center"/>
    </xf>
    <xf numFmtId="0" fontId="174" fillId="45" borderId="13" xfId="8736" applyFont="1" applyFill="1" applyBorder="1" applyAlignment="1">
      <alignment horizontal="center" vertical="center" wrapText="1"/>
    </xf>
    <xf numFmtId="0" fontId="174" fillId="45" borderId="13" xfId="8736" applyFont="1" applyFill="1" applyBorder="1" applyAlignment="1">
      <alignment horizontal="center" vertical="center"/>
    </xf>
    <xf numFmtId="0" fontId="174" fillId="45" borderId="11" xfId="8736" applyFont="1" applyFill="1" applyBorder="1" applyAlignment="1">
      <alignment horizontal="center" vertical="center"/>
    </xf>
    <xf numFmtId="0" fontId="174" fillId="45" borderId="9" xfId="8736" applyFont="1" applyFill="1" applyBorder="1" applyAlignment="1">
      <alignment horizontal="center" vertical="center"/>
    </xf>
    <xf numFmtId="0" fontId="174" fillId="45" borderId="3" xfId="8736" applyFont="1" applyFill="1" applyBorder="1" applyAlignment="1">
      <alignment horizontal="center" vertic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6" fillId="45" borderId="65" xfId="8736" applyFont="1" applyFill="1" applyBorder="1" applyAlignment="1">
      <alignment horizontal="center" vertical="center" wrapText="1"/>
    </xf>
    <xf numFmtId="0" fontId="166" fillId="45" borderId="29" xfId="8736" applyFont="1" applyFill="1" applyBorder="1" applyAlignment="1">
      <alignment horizontal="center" vertical="center" wrapText="1"/>
    </xf>
    <xf numFmtId="0" fontId="166" fillId="45" borderId="31" xfId="8736" applyFont="1" applyFill="1" applyBorder="1" applyAlignment="1">
      <alignment horizontal="center" vertical="center" wrapText="1"/>
    </xf>
    <xf numFmtId="0" fontId="166" fillId="45" borderId="73" xfId="8736" applyFont="1" applyFill="1" applyBorder="1" applyAlignment="1">
      <alignment horizontal="center" vertical="center" wrapText="1"/>
    </xf>
    <xf numFmtId="0" fontId="166" fillId="45" borderId="42" xfId="8736" applyFont="1" applyFill="1" applyBorder="1" applyAlignment="1">
      <alignment horizontal="center" vertical="center" wrapText="1"/>
    </xf>
    <xf numFmtId="0" fontId="166" fillId="45" borderId="44" xfId="8736" applyFont="1" applyFill="1" applyBorder="1" applyAlignment="1">
      <alignment horizontal="center" vertical="center" wrapText="1"/>
    </xf>
    <xf numFmtId="9" fontId="174" fillId="48" borderId="13" xfId="8736" applyNumberFormat="1" applyFont="1" applyFill="1" applyBorder="1" applyAlignment="1" applyProtection="1">
      <alignment horizontal="center"/>
      <protection locked="0"/>
    </xf>
    <xf numFmtId="0" fontId="174" fillId="44" borderId="73" xfId="8736" applyFont="1" applyFill="1" applyBorder="1" applyAlignment="1">
      <alignment horizontal="center"/>
    </xf>
    <xf numFmtId="0" fontId="166" fillId="44" borderId="9" xfId="8736" applyFont="1" applyFill="1" applyBorder="1" applyAlignment="1">
      <alignment horizontal="center"/>
    </xf>
    <xf numFmtId="0" fontId="166" fillId="44" borderId="6" xfId="8736" applyFont="1" applyFill="1" applyBorder="1" applyAlignment="1">
      <alignment horizontal="center"/>
    </xf>
    <xf numFmtId="0" fontId="166" fillId="44" borderId="82" xfId="8736" applyFont="1" applyFill="1" applyBorder="1" applyAlignment="1">
      <alignment horizontal="center"/>
    </xf>
    <xf numFmtId="9" fontId="174" fillId="48" borderId="9" xfId="8736" applyNumberFormat="1" applyFont="1" applyFill="1" applyBorder="1" applyAlignment="1" applyProtection="1">
      <alignment horizontal="center"/>
      <protection locked="0"/>
    </xf>
    <xf numFmtId="9" fontId="174" fillId="48" borderId="6" xfId="8736" applyNumberFormat="1" applyFont="1" applyFill="1" applyBorder="1" applyAlignment="1" applyProtection="1">
      <alignment horizontal="center"/>
      <protection locked="0"/>
    </xf>
    <xf numFmtId="9" fontId="174" fillId="48" borderId="10" xfId="8736" applyNumberFormat="1" applyFont="1" applyFill="1" applyBorder="1" applyAlignment="1" applyProtection="1">
      <alignment horizontal="center"/>
      <protection locked="0"/>
    </xf>
    <xf numFmtId="9" fontId="166" fillId="48" borderId="9" xfId="8736" applyNumberFormat="1" applyFont="1" applyFill="1" applyBorder="1" applyAlignment="1" applyProtection="1">
      <alignment horizontal="center"/>
      <protection locked="0"/>
    </xf>
    <xf numFmtId="9" fontId="166" fillId="48" borderId="6" xfId="8736" applyNumberFormat="1" applyFont="1" applyFill="1" applyBorder="1" applyAlignment="1" applyProtection="1">
      <alignment horizontal="center"/>
      <protection locked="0"/>
    </xf>
    <xf numFmtId="9" fontId="166" fillId="48" borderId="10" xfId="8736" applyNumberFormat="1" applyFont="1" applyFill="1" applyBorder="1" applyAlignment="1" applyProtection="1">
      <alignment horizontal="center"/>
      <protection locked="0"/>
    </xf>
    <xf numFmtId="0" fontId="166" fillId="44" borderId="10" xfId="8736" applyFont="1" applyFill="1" applyBorder="1" applyAlignment="1">
      <alignment horizontal="center"/>
    </xf>
    <xf numFmtId="0" fontId="173" fillId="48" borderId="3" xfId="8736" applyFont="1" applyFill="1" applyBorder="1" applyAlignment="1" applyProtection="1">
      <alignment horizontal="center"/>
      <protection locked="0"/>
    </xf>
    <xf numFmtId="0" fontId="173" fillId="48" borderId="4" xfId="8736" applyFont="1" applyFill="1" applyBorder="1" applyAlignment="1" applyProtection="1">
      <alignment horizontal="center"/>
      <protection locked="0"/>
    </xf>
    <xf numFmtId="0" fontId="173" fillId="48" borderId="5" xfId="8736" applyFont="1" applyFill="1" applyBorder="1" applyAlignment="1" applyProtection="1">
      <alignment horizontal="center"/>
      <protection locked="0"/>
    </xf>
    <xf numFmtId="10" fontId="174" fillId="44" borderId="3" xfId="8736" applyNumberFormat="1" applyFont="1" applyFill="1" applyBorder="1" applyAlignment="1">
      <alignment horizontal="center"/>
    </xf>
    <xf numFmtId="10" fontId="174" fillId="44" borderId="4" xfId="8736" applyNumberFormat="1" applyFont="1" applyFill="1" applyBorder="1" applyAlignment="1">
      <alignment horizontal="center"/>
    </xf>
    <xf numFmtId="10" fontId="174" fillId="44" borderId="81" xfId="8736" applyNumberFormat="1" applyFont="1" applyFill="1" applyBorder="1" applyAlignment="1">
      <alignment horizontal="center"/>
    </xf>
    <xf numFmtId="0" fontId="174" fillId="44" borderId="87" xfId="8736" applyFont="1" applyFill="1" applyBorder="1" applyAlignment="1">
      <alignment horizontal="center"/>
    </xf>
    <xf numFmtId="0" fontId="174" fillId="44" borderId="86" xfId="8736" applyFont="1" applyFill="1" applyBorder="1" applyAlignment="1">
      <alignment horizontal="center"/>
    </xf>
    <xf numFmtId="0" fontId="174" fillId="44" borderId="95" xfId="8736" applyFont="1" applyFill="1" applyBorder="1" applyAlignment="1">
      <alignment horizontal="center"/>
    </xf>
    <xf numFmtId="0" fontId="173" fillId="44" borderId="94"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10" fontId="174" fillId="44" borderId="94" xfId="8736" applyNumberFormat="1" applyFont="1" applyFill="1" applyBorder="1" applyAlignment="1">
      <alignment horizontal="center"/>
    </xf>
    <xf numFmtId="10" fontId="174" fillId="44" borderId="86" xfId="8736" applyNumberFormat="1" applyFont="1" applyFill="1" applyBorder="1" applyAlignment="1">
      <alignment horizontal="center"/>
    </xf>
    <xf numFmtId="10" fontId="174" fillId="44" borderId="85" xfId="8736" applyNumberFormat="1" applyFont="1" applyFill="1" applyBorder="1" applyAlignment="1">
      <alignment horizontal="center"/>
    </xf>
    <xf numFmtId="9" fontId="173" fillId="48" borderId="90" xfId="8736" applyNumberFormat="1" applyFont="1" applyFill="1" applyBorder="1" applyAlignment="1" applyProtection="1">
      <alignment horizontal="center"/>
      <protection locked="0"/>
    </xf>
    <xf numFmtId="9" fontId="173" fillId="48" borderId="4" xfId="8736" applyNumberFormat="1" applyFont="1" applyFill="1" applyBorder="1" applyAlignment="1" applyProtection="1">
      <alignment horizontal="center"/>
      <protection locked="0"/>
    </xf>
    <xf numFmtId="9" fontId="173" fillId="48" borderId="5" xfId="8736" applyNumberFormat="1" applyFont="1" applyFill="1" applyBorder="1" applyAlignment="1" applyProtection="1">
      <alignment horizontal="center"/>
      <protection locked="0"/>
    </xf>
    <xf numFmtId="0" fontId="173" fillId="44" borderId="3" xfId="8736" applyFont="1" applyFill="1" applyBorder="1" applyAlignment="1">
      <alignment horizontal="center"/>
    </xf>
    <xf numFmtId="0" fontId="173" fillId="44" borderId="4" xfId="8736" applyFont="1" applyFill="1" applyBorder="1" applyAlignment="1">
      <alignment horizontal="center"/>
    </xf>
    <xf numFmtId="0" fontId="173" fillId="44" borderId="5" xfId="8736" applyFont="1" applyFill="1" applyBorder="1" applyAlignment="1">
      <alignment horizontal="center"/>
    </xf>
    <xf numFmtId="0" fontId="104" fillId="45" borderId="80" xfId="8736" applyFont="1" applyFill="1" applyBorder="1" applyAlignment="1">
      <alignment horizontal="right"/>
    </xf>
    <xf numFmtId="0" fontId="104" fillId="45" borderId="79" xfId="8736" applyFont="1" applyFill="1" applyBorder="1" applyAlignment="1">
      <alignment horizontal="right"/>
    </xf>
    <xf numFmtId="0" fontId="104" fillId="45" borderId="103" xfId="8736" applyFont="1" applyFill="1" applyBorder="1" applyAlignment="1">
      <alignment horizontal="right"/>
    </xf>
    <xf numFmtId="0" fontId="3" fillId="44" borderId="84" xfId="8736" applyFill="1" applyBorder="1" applyAlignment="1">
      <alignment horizontal="center"/>
    </xf>
    <xf numFmtId="0" fontId="3" fillId="44" borderId="102" xfId="8736" applyFill="1" applyBorder="1" applyAlignment="1">
      <alignment horizontal="center"/>
    </xf>
    <xf numFmtId="0" fontId="174" fillId="45" borderId="11" xfId="8736" applyFont="1" applyFill="1" applyBorder="1" applyAlignment="1">
      <alignment horizontal="right"/>
    </xf>
    <xf numFmtId="14" fontId="170" fillId="48" borderId="11" xfId="8736" applyNumberFormat="1" applyFont="1" applyFill="1" applyBorder="1" applyAlignment="1" applyProtection="1">
      <alignment horizontal="center" vertical="center"/>
      <protection locked="0"/>
    </xf>
    <xf numFmtId="0" fontId="170" fillId="48" borderId="11" xfId="8736" applyFont="1" applyFill="1" applyBorder="1" applyAlignment="1" applyProtection="1">
      <alignment horizontal="center" vertical="center"/>
      <protection locked="0"/>
    </xf>
    <xf numFmtId="0" fontId="174" fillId="45" borderId="97" xfId="8736" applyFont="1" applyFill="1" applyBorder="1" applyAlignment="1">
      <alignment horizontal="center"/>
    </xf>
    <xf numFmtId="0" fontId="174" fillId="45" borderId="2" xfId="8736" applyFont="1" applyFill="1" applyBorder="1" applyAlignment="1">
      <alignment horizontal="center"/>
    </xf>
    <xf numFmtId="0" fontId="174" fillId="45" borderId="7" xfId="8736" applyFont="1" applyFill="1" applyBorder="1" applyAlignment="1">
      <alignment horizontal="center"/>
    </xf>
    <xf numFmtId="0" fontId="174" fillId="45" borderId="3" xfId="8736" applyFont="1" applyFill="1" applyBorder="1" applyAlignment="1">
      <alignment horizontal="center"/>
    </xf>
    <xf numFmtId="0" fontId="174" fillId="45" borderId="4" xfId="8736" applyFont="1" applyFill="1" applyBorder="1" applyAlignment="1">
      <alignment horizontal="center"/>
    </xf>
    <xf numFmtId="0" fontId="174" fillId="45" borderId="5" xfId="8736" applyFont="1" applyFill="1" applyBorder="1" applyAlignment="1">
      <alignment horizontal="center"/>
    </xf>
    <xf numFmtId="0" fontId="174" fillId="45" borderId="81" xfId="8736" applyFont="1" applyFill="1" applyBorder="1" applyAlignment="1">
      <alignment horizontal="center"/>
    </xf>
    <xf numFmtId="0" fontId="104" fillId="45" borderId="80" xfId="8736" applyFont="1" applyFill="1" applyBorder="1" applyAlignment="1">
      <alignment horizontal="center"/>
    </xf>
    <xf numFmtId="0" fontId="104" fillId="45" borderId="79" xfId="8736" applyFont="1" applyFill="1" applyBorder="1" applyAlignment="1">
      <alignment horizontal="center"/>
    </xf>
    <xf numFmtId="0" fontId="104" fillId="45" borderId="78" xfId="8736" applyFont="1" applyFill="1" applyBorder="1" applyAlignment="1">
      <alignment horizontal="center"/>
    </xf>
    <xf numFmtId="0" fontId="170" fillId="48" borderId="80" xfId="8736" applyFont="1" applyFill="1" applyBorder="1" applyAlignment="1" applyProtection="1">
      <alignment horizontal="center"/>
      <protection locked="0"/>
    </xf>
    <xf numFmtId="0" fontId="170" fillId="48" borderId="79" xfId="8736" applyFont="1" applyFill="1" applyBorder="1" applyAlignment="1" applyProtection="1">
      <alignment horizontal="center"/>
      <protection locked="0"/>
    </xf>
    <xf numFmtId="0" fontId="170" fillId="48" borderId="78" xfId="8736" applyFont="1" applyFill="1" applyBorder="1" applyAlignment="1" applyProtection="1">
      <alignment horizontal="center"/>
      <protection locked="0"/>
    </xf>
    <xf numFmtId="1" fontId="3" fillId="44" borderId="11" xfId="8736" applyNumberFormat="1" applyFill="1" applyBorder="1" applyAlignment="1">
      <alignment horizontal="center"/>
    </xf>
    <xf numFmtId="0" fontId="3" fillId="44" borderId="11" xfId="8736" applyFill="1" applyBorder="1" applyAlignment="1">
      <alignment horizontal="center"/>
    </xf>
    <xf numFmtId="0" fontId="171" fillId="45" borderId="11" xfId="8736" applyFont="1" applyFill="1" applyBorder="1" applyAlignment="1">
      <alignment horizontal="right" wrapText="1"/>
    </xf>
    <xf numFmtId="168" fontId="175" fillId="44" borderId="11" xfId="8737" applyNumberFormat="1" applyFont="1" applyFill="1" applyBorder="1" applyAlignment="1" applyProtection="1">
      <alignment horizontal="left"/>
    </xf>
    <xf numFmtId="0" fontId="177" fillId="45" borderId="11" xfId="8736" applyFont="1" applyFill="1" applyBorder="1" applyAlignment="1">
      <alignment horizontal="right"/>
    </xf>
    <xf numFmtId="14" fontId="170" fillId="48" borderId="11" xfId="8736" applyNumberFormat="1" applyFont="1" applyFill="1" applyBorder="1" applyAlignment="1" applyProtection="1">
      <alignment horizontal="center"/>
      <protection locked="0"/>
    </xf>
    <xf numFmtId="0" fontId="170" fillId="48" borderId="11" xfId="8736" applyFont="1" applyFill="1" applyBorder="1" applyAlignment="1" applyProtection="1">
      <alignment horizontal="center"/>
      <protection locked="0"/>
    </xf>
    <xf numFmtId="0" fontId="171" fillId="45" borderId="11" xfId="8736" applyFont="1" applyFill="1" applyBorder="1" applyAlignment="1">
      <alignment horizontal="right"/>
    </xf>
    <xf numFmtId="1" fontId="170" fillId="48" borderId="11" xfId="8736" applyNumberFormat="1" applyFont="1" applyFill="1" applyBorder="1" applyAlignment="1" applyProtection="1">
      <alignment horizontal="center"/>
      <protection locked="0"/>
    </xf>
    <xf numFmtId="0" fontId="3" fillId="44" borderId="80" xfId="8736" applyFill="1" applyBorder="1" applyAlignment="1">
      <alignment horizontal="center"/>
    </xf>
    <xf numFmtId="0" fontId="3" fillId="44" borderId="79" xfId="8736" applyFill="1" applyBorder="1" applyAlignment="1">
      <alignment horizontal="center"/>
    </xf>
    <xf numFmtId="0" fontId="3" fillId="44" borderId="78" xfId="8736" applyFill="1" applyBorder="1" applyAlignment="1">
      <alignment horizontal="center"/>
    </xf>
    <xf numFmtId="0" fontId="3" fillId="45" borderId="3" xfId="8736" applyFill="1" applyBorder="1" applyAlignment="1">
      <alignment horizontal="center"/>
    </xf>
    <xf numFmtId="0" fontId="3" fillId="45" borderId="4" xfId="8736" applyFill="1" applyBorder="1" applyAlignment="1">
      <alignment horizontal="center"/>
    </xf>
    <xf numFmtId="0" fontId="3" fillId="45" borderId="5" xfId="8736" applyFill="1" applyBorder="1" applyAlignment="1">
      <alignment horizontal="center"/>
    </xf>
    <xf numFmtId="0" fontId="170" fillId="44" borderId="80" xfId="8736" applyFont="1" applyFill="1" applyBorder="1" applyAlignment="1">
      <alignment horizontal="left"/>
    </xf>
    <xf numFmtId="0" fontId="170" fillId="44" borderId="79" xfId="8736" applyFont="1" applyFill="1" applyBorder="1" applyAlignment="1">
      <alignment horizontal="left"/>
    </xf>
    <xf numFmtId="0" fontId="170" fillId="44" borderId="78" xfId="8736" applyFont="1" applyFill="1" applyBorder="1" applyAlignment="1">
      <alignment horizontal="left"/>
    </xf>
    <xf numFmtId="0" fontId="182" fillId="51" borderId="65" xfId="8736" applyFont="1" applyFill="1" applyBorder="1" applyAlignment="1">
      <alignment horizontal="center"/>
    </xf>
    <xf numFmtId="0" fontId="182" fillId="51" borderId="29" xfId="8736" applyFont="1" applyFill="1" applyBorder="1" applyAlignment="1">
      <alignment horizontal="center"/>
    </xf>
    <xf numFmtId="0" fontId="182" fillId="51" borderId="31" xfId="8736" applyFont="1" applyFill="1" applyBorder="1" applyAlignment="1">
      <alignment horizontal="center"/>
    </xf>
    <xf numFmtId="0" fontId="167" fillId="48" borderId="66" xfId="8736" applyFont="1" applyFill="1" applyBorder="1" applyAlignment="1">
      <alignment horizontal="center"/>
    </xf>
    <xf numFmtId="0" fontId="167" fillId="48" borderId="0" xfId="8736" applyFont="1" applyFill="1" applyAlignment="1">
      <alignment horizontal="center"/>
    </xf>
    <xf numFmtId="0" fontId="167" fillId="48" borderId="41" xfId="8736" applyFont="1" applyFill="1" applyBorder="1" applyAlignment="1">
      <alignment horizontal="center"/>
    </xf>
    <xf numFmtId="0" fontId="167" fillId="45" borderId="5" xfId="8736" applyFont="1" applyFill="1" applyBorder="1" applyAlignment="1">
      <alignment horizontal="center"/>
    </xf>
    <xf numFmtId="168" fontId="19" fillId="2" borderId="3" xfId="569" applyNumberFormat="1" applyFill="1" applyBorder="1" applyAlignment="1">
      <alignment horizontal="center"/>
    </xf>
    <xf numFmtId="168" fontId="19" fillId="2" borderId="4" xfId="569" applyNumberFormat="1" applyFill="1" applyBorder="1" applyAlignment="1">
      <alignment horizontal="center"/>
    </xf>
    <xf numFmtId="168" fontId="19" fillId="2" borderId="5" xfId="569" applyNumberFormat="1" applyFill="1" applyBorder="1" applyAlignment="1">
      <alignment horizontal="center"/>
    </xf>
    <xf numFmtId="168" fontId="19" fillId="5" borderId="5" xfId="569" applyNumberFormat="1" applyFill="1" applyBorder="1" applyAlignment="1" applyProtection="1">
      <alignment horizontal="center"/>
      <protection locked="0"/>
    </xf>
    <xf numFmtId="168" fontId="19" fillId="5" borderId="11" xfId="569" applyNumberFormat="1" applyFill="1" applyBorder="1" applyAlignment="1" applyProtection="1">
      <alignment horizontal="center"/>
      <protection locked="0"/>
    </xf>
    <xf numFmtId="168" fontId="19" fillId="0" borderId="5" xfId="569" applyNumberFormat="1" applyBorder="1" applyAlignment="1">
      <alignment horizontal="center"/>
    </xf>
    <xf numFmtId="168" fontId="19" fillId="0" borderId="11" xfId="569" applyNumberFormat="1" applyBorder="1" applyAlignment="1">
      <alignment horizontal="center"/>
    </xf>
    <xf numFmtId="168" fontId="19" fillId="0" borderId="3" xfId="569" applyNumberFormat="1" applyBorder="1" applyAlignment="1">
      <alignment horizontal="center"/>
    </xf>
    <xf numFmtId="168" fontId="19" fillId="0" borderId="4" xfId="569" applyNumberFormat="1" applyBorder="1" applyAlignment="1">
      <alignment horizontal="center"/>
    </xf>
    <xf numFmtId="179" fontId="26" fillId="0" borderId="0" xfId="569" applyNumberFormat="1" applyFont="1" applyAlignment="1">
      <alignment horizontal="center" wrapText="1"/>
    </xf>
    <xf numFmtId="0" fontId="26" fillId="0" borderId="16" xfId="271" applyFont="1" applyBorder="1" applyAlignment="1">
      <alignment horizontal="center"/>
    </xf>
    <xf numFmtId="164" fontId="26" fillId="0" borderId="0" xfId="569" applyNumberFormat="1" applyFont="1" applyAlignment="1">
      <alignment horizontal="center" wrapText="1"/>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55" fillId="0" borderId="0" xfId="569" applyFont="1" applyAlignment="1">
      <alignment horizontal="left"/>
    </xf>
    <xf numFmtId="0" fontId="19" fillId="0" borderId="3" xfId="569" applyBorder="1" applyAlignment="1">
      <alignment horizontal="right"/>
    </xf>
    <xf numFmtId="0" fontId="19" fillId="0" borderId="4" xfId="569" applyBorder="1" applyAlignment="1">
      <alignment horizontal="right"/>
    </xf>
    <xf numFmtId="0" fontId="19" fillId="0" borderId="5" xfId="569" applyBorder="1" applyAlignment="1">
      <alignment horizontal="right"/>
    </xf>
    <xf numFmtId="0" fontId="27" fillId="0" borderId="3" xfId="569" applyFont="1" applyBorder="1" applyAlignment="1">
      <alignment horizontal="right"/>
    </xf>
    <xf numFmtId="0" fontId="27" fillId="0" borderId="4" xfId="569" applyFont="1" applyBorder="1" applyAlignment="1">
      <alignment horizontal="right"/>
    </xf>
    <xf numFmtId="0" fontId="27" fillId="0" borderId="5" xfId="569" applyFont="1" applyBorder="1" applyAlignment="1">
      <alignment horizontal="right"/>
    </xf>
    <xf numFmtId="168" fontId="19" fillId="0" borderId="3" xfId="569" applyNumberFormat="1" applyBorder="1" applyAlignment="1">
      <alignment horizontal="right"/>
    </xf>
    <xf numFmtId="168" fontId="19" fillId="0" borderId="4" xfId="569" applyNumberFormat="1" applyBorder="1" applyAlignment="1">
      <alignment horizontal="right"/>
    </xf>
    <xf numFmtId="168" fontId="19" fillId="0" borderId="5" xfId="569" applyNumberFormat="1" applyBorder="1" applyAlignment="1">
      <alignment horizontal="right"/>
    </xf>
    <xf numFmtId="9" fontId="19" fillId="0" borderId="5" xfId="569" applyNumberFormat="1" applyBorder="1" applyAlignment="1">
      <alignment horizontal="center"/>
    </xf>
    <xf numFmtId="9" fontId="19" fillId="0" borderId="11" xfId="569" applyNumberFormat="1" applyBorder="1" applyAlignment="1">
      <alignment horizontal="center"/>
    </xf>
    <xf numFmtId="0" fontId="26" fillId="0" borderId="3" xfId="569" applyFont="1" applyBorder="1" applyAlignment="1">
      <alignment horizontal="left"/>
    </xf>
    <xf numFmtId="0" fontId="26" fillId="0" borderId="5" xfId="569" applyFont="1" applyBorder="1" applyAlignment="1">
      <alignment horizontal="left"/>
    </xf>
    <xf numFmtId="0" fontId="27" fillId="0" borderId="4" xfId="569" applyFont="1" applyBorder="1" applyAlignment="1">
      <alignment horizontal="left"/>
    </xf>
    <xf numFmtId="0" fontId="27" fillId="0" borderId="5" xfId="569" applyFont="1" applyBorder="1" applyAlignment="1">
      <alignment horizontal="left"/>
    </xf>
    <xf numFmtId="0" fontId="25" fillId="3" borderId="2" xfId="569" applyFont="1" applyFill="1" applyBorder="1" applyAlignment="1">
      <alignment horizontal="center" vertical="center"/>
    </xf>
    <xf numFmtId="0" fontId="25" fillId="3" borderId="16" xfId="569" applyFont="1" applyFill="1" applyBorder="1" applyAlignment="1">
      <alignment horizontal="center" vertical="center"/>
    </xf>
    <xf numFmtId="0" fontId="26" fillId="0" borderId="11" xfId="569" applyFont="1" applyBorder="1" applyAlignment="1">
      <alignment horizontal="center" wrapText="1"/>
    </xf>
    <xf numFmtId="168" fontId="19" fillId="0" borderId="7" xfId="569" applyNumberFormat="1" applyBorder="1" applyAlignment="1">
      <alignment horizontal="center"/>
    </xf>
    <xf numFmtId="168" fontId="19" fillId="0" borderId="15" xfId="569" applyNumberFormat="1" applyBorder="1" applyAlignment="1">
      <alignment horizontal="center"/>
    </xf>
    <xf numFmtId="168" fontId="19" fillId="5" borderId="10" xfId="569" applyNumberFormat="1" applyFill="1" applyBorder="1" applyAlignment="1" applyProtection="1">
      <alignment horizontal="center"/>
      <protection locked="0"/>
    </xf>
    <xf numFmtId="168" fontId="19" fillId="5" borderId="13" xfId="569" applyNumberFormat="1" applyFill="1" applyBorder="1" applyAlignment="1" applyProtection="1">
      <alignment horizontal="center"/>
      <protection locked="0"/>
    </xf>
    <xf numFmtId="5" fontId="19" fillId="0" borderId="5" xfId="569" applyNumberFormat="1" applyBorder="1" applyAlignment="1">
      <alignment horizontal="center"/>
    </xf>
    <xf numFmtId="5" fontId="19" fillId="0" borderId="11" xfId="569" applyNumberFormat="1" applyBorder="1" applyAlignment="1">
      <alignment horizontal="center"/>
    </xf>
    <xf numFmtId="5" fontId="19" fillId="0" borderId="3" xfId="569" applyNumberFormat="1" applyBorder="1" applyAlignment="1">
      <alignment horizontal="center"/>
    </xf>
    <xf numFmtId="5" fontId="19" fillId="0" borderId="4" xfId="569" applyNumberFormat="1" applyBorder="1" applyAlignment="1">
      <alignment horizontal="center"/>
    </xf>
    <xf numFmtId="9" fontId="19" fillId="0" borderId="9" xfId="569" applyNumberFormat="1" applyBorder="1" applyAlignment="1">
      <alignment horizontal="center" vertical="center"/>
    </xf>
    <xf numFmtId="9" fontId="19" fillId="0" borderId="6" xfId="569" applyNumberFormat="1" applyBorder="1" applyAlignment="1">
      <alignment horizontal="center" vertical="center"/>
    </xf>
    <xf numFmtId="9" fontId="19" fillId="0" borderId="10" xfId="569" applyNumberFormat="1" applyBorder="1" applyAlignment="1">
      <alignment horizontal="center" vertical="center"/>
    </xf>
    <xf numFmtId="168" fontId="19" fillId="0" borderId="11" xfId="569" applyNumberFormat="1" applyBorder="1" applyAlignment="1">
      <alignment horizontal="right"/>
    </xf>
    <xf numFmtId="0" fontId="26" fillId="0" borderId="6" xfId="569" applyFont="1" applyBorder="1" applyAlignment="1">
      <alignment horizontal="center"/>
    </xf>
    <xf numFmtId="0" fontId="19" fillId="0" borderId="4" xfId="569" applyBorder="1" applyAlignment="1">
      <alignment horizontal="center"/>
    </xf>
    <xf numFmtId="0" fontId="19" fillId="0" borderId="5" xfId="569" applyBorder="1" applyAlignment="1">
      <alignment horizontal="center"/>
    </xf>
    <xf numFmtId="176" fontId="19" fillId="5" borderId="3" xfId="569" applyNumberFormat="1" applyFill="1" applyBorder="1" applyAlignment="1" applyProtection="1">
      <alignment horizontal="right"/>
      <protection locked="0"/>
    </xf>
    <xf numFmtId="176" fontId="19" fillId="5" borderId="4" xfId="569" applyNumberFormat="1" applyFill="1" applyBorder="1" applyAlignment="1" applyProtection="1">
      <alignment horizontal="right"/>
      <protection locked="0"/>
    </xf>
    <xf numFmtId="176" fontId="19" fillId="5" borderId="5" xfId="569" applyNumberFormat="1" applyFill="1" applyBorder="1" applyAlignment="1" applyProtection="1">
      <alignment horizontal="right"/>
      <protection locked="0"/>
    </xf>
    <xf numFmtId="0" fontId="109" fillId="0" borderId="0" xfId="569" applyFont="1" applyAlignment="1">
      <alignment horizontal="left" wrapText="1"/>
    </xf>
    <xf numFmtId="0" fontId="26" fillId="0" borderId="11" xfId="569" applyFont="1" applyBorder="1" applyAlignment="1">
      <alignment horizontal="center"/>
    </xf>
    <xf numFmtId="165" fontId="19" fillId="0" borderId="11" xfId="569" applyNumberFormat="1" applyBorder="1" applyAlignment="1" applyProtection="1">
      <alignment horizontal="center"/>
      <protection locked="0"/>
    </xf>
    <xf numFmtId="168" fontId="19" fillId="0" borderId="11" xfId="569" applyNumberFormat="1" applyBorder="1"/>
    <xf numFmtId="168" fontId="19" fillId="0" borderId="3" xfId="569" applyNumberFormat="1" applyBorder="1"/>
    <xf numFmtId="168" fontId="19" fillId="0" borderId="4" xfId="569" applyNumberFormat="1" applyBorder="1"/>
    <xf numFmtId="168" fontId="19" fillId="0" borderId="5" xfId="569" applyNumberFormat="1" applyBorder="1"/>
    <xf numFmtId="168" fontId="19" fillId="0" borderId="11" xfId="569" applyNumberFormat="1" applyBorder="1" applyAlignment="1">
      <alignment wrapText="1"/>
    </xf>
    <xf numFmtId="9" fontId="19" fillId="0" borderId="15" xfId="569" applyNumberFormat="1" applyBorder="1" applyAlignment="1">
      <alignment horizontal="center"/>
    </xf>
    <xf numFmtId="0" fontId="19" fillId="0" borderId="11" xfId="569" applyBorder="1" applyAlignment="1">
      <alignment horizontal="center"/>
    </xf>
    <xf numFmtId="0" fontId="109" fillId="0" borderId="0" xfId="0" applyFont="1" applyAlignment="1">
      <alignment horizontal="left" vertical="top" wrapText="1"/>
    </xf>
    <xf numFmtId="0" fontId="19" fillId="0" borderId="0" xfId="4495" applyFont="1" applyAlignment="1">
      <alignment horizontal="left" vertical="top" wrapText="1"/>
    </xf>
    <xf numFmtId="0" fontId="26" fillId="0" borderId="0" xfId="4495" applyFont="1" applyAlignment="1">
      <alignment horizontal="center" vertical="top"/>
    </xf>
    <xf numFmtId="0" fontId="19" fillId="5" borderId="6" xfId="4495" applyFont="1" applyFill="1" applyBorder="1" applyAlignment="1" applyProtection="1">
      <alignment horizontal="center" vertical="center" wrapText="1" shrinkToFit="1"/>
      <protection locked="0"/>
    </xf>
    <xf numFmtId="0" fontId="19" fillId="0" borderId="3" xfId="4495" applyFont="1" applyBorder="1" applyAlignment="1">
      <alignment horizontal="center"/>
    </xf>
    <xf numFmtId="0" fontId="19" fillId="0" borderId="5" xfId="4495" applyFont="1" applyBorder="1" applyAlignment="1">
      <alignment horizontal="center"/>
    </xf>
    <xf numFmtId="0" fontId="26" fillId="0" borderId="0" xfId="4495" applyFont="1" applyAlignment="1">
      <alignment horizontal="left" wrapText="1"/>
    </xf>
    <xf numFmtId="0" fontId="19" fillId="0" borderId="0" xfId="4495" applyFont="1" applyAlignment="1">
      <alignment wrapText="1"/>
    </xf>
    <xf numFmtId="0" fontId="19" fillId="0" borderId="0" xfId="4495" applyFont="1" applyAlignment="1">
      <alignment horizontal="left"/>
    </xf>
    <xf numFmtId="0" fontId="19" fillId="5" borderId="6" xfId="4495" applyFont="1" applyFill="1" applyBorder="1" applyAlignment="1" applyProtection="1">
      <alignment horizontal="center"/>
      <protection locked="0"/>
    </xf>
    <xf numFmtId="164" fontId="19" fillId="0" borderId="50" xfId="4495" applyNumberFormat="1" applyFont="1" applyBorder="1" applyAlignment="1">
      <alignment horizontal="left" vertical="top" wrapText="1"/>
    </xf>
    <xf numFmtId="164" fontId="19" fillId="0" borderId="51" xfId="4495" applyNumberFormat="1" applyFont="1" applyBorder="1" applyAlignment="1">
      <alignment horizontal="left" vertical="top" wrapText="1"/>
    </xf>
    <xf numFmtId="164" fontId="19" fillId="0" borderId="52" xfId="4495" applyNumberFormat="1" applyFont="1" applyBorder="1" applyAlignment="1">
      <alignment horizontal="left" vertical="top" wrapText="1"/>
    </xf>
    <xf numFmtId="164" fontId="19" fillId="0" borderId="53" xfId="4495" applyNumberFormat="1" applyFont="1" applyBorder="1" applyAlignment="1">
      <alignment horizontal="left" vertical="top" wrapText="1"/>
    </xf>
    <xf numFmtId="164" fontId="19" fillId="0" borderId="0" xfId="4495" applyNumberFormat="1" applyFont="1" applyAlignment="1">
      <alignment horizontal="left" vertical="top" wrapText="1"/>
    </xf>
    <xf numFmtId="164" fontId="19" fillId="0" borderId="54" xfId="4495" applyNumberFormat="1" applyFont="1" applyBorder="1" applyAlignment="1">
      <alignment horizontal="left" vertical="top" wrapText="1"/>
    </xf>
    <xf numFmtId="164" fontId="19" fillId="0" borderId="57" xfId="4495" applyNumberFormat="1" applyFont="1" applyBorder="1" applyAlignment="1">
      <alignment horizontal="left" vertical="top" wrapText="1"/>
    </xf>
    <xf numFmtId="164" fontId="19" fillId="0" borderId="58" xfId="4495" applyNumberFormat="1" applyFont="1" applyBorder="1" applyAlignment="1">
      <alignment horizontal="left" vertical="top" wrapText="1"/>
    </xf>
    <xf numFmtId="164" fontId="19" fillId="0" borderId="59" xfId="4495" applyNumberFormat="1" applyFont="1" applyBorder="1" applyAlignment="1">
      <alignment horizontal="left" vertical="top" wrapText="1"/>
    </xf>
    <xf numFmtId="168" fontId="19" fillId="0" borderId="0" xfId="1192" applyNumberFormat="1" applyAlignment="1">
      <alignment horizontal="right"/>
    </xf>
    <xf numFmtId="168" fontId="19" fillId="0" borderId="6" xfId="1192" applyNumberFormat="1" applyBorder="1" applyAlignment="1">
      <alignment horizontal="right"/>
    </xf>
    <xf numFmtId="168" fontId="19" fillId="43" borderId="6" xfId="543" applyNumberFormat="1" applyFill="1" applyBorder="1" applyAlignment="1" applyProtection="1">
      <alignment horizontal="center"/>
      <protection locked="0"/>
    </xf>
    <xf numFmtId="168" fontId="19" fillId="0" borderId="4" xfId="1192" applyNumberFormat="1" applyBorder="1" applyAlignment="1">
      <alignment horizontal="right"/>
    </xf>
    <xf numFmtId="0" fontId="122" fillId="5" borderId="6" xfId="4495" applyFill="1" applyBorder="1" applyAlignment="1" applyProtection="1">
      <alignment horizontal="center"/>
      <protection locked="0"/>
    </xf>
    <xf numFmtId="0" fontId="120" fillId="0" borderId="4" xfId="1192" applyFont="1" applyBorder="1" applyAlignment="1">
      <alignment horizontal="left"/>
    </xf>
    <xf numFmtId="0" fontId="143" fillId="0" borderId="6" xfId="1192" applyFont="1" applyBorder="1" applyAlignment="1">
      <alignment horizontal="center"/>
    </xf>
    <xf numFmtId="0" fontId="122" fillId="5" borderId="50" xfId="4495" applyFill="1" applyBorder="1" applyAlignment="1">
      <alignment horizontal="center"/>
    </xf>
    <xf numFmtId="0" fontId="122" fillId="5" borderId="51" xfId="4495" applyFill="1" applyBorder="1" applyAlignment="1">
      <alignment horizontal="center"/>
    </xf>
    <xf numFmtId="0" fontId="122" fillId="0" borderId="0" xfId="4495" applyAlignment="1">
      <alignment horizontal="center"/>
    </xf>
    <xf numFmtId="0" fontId="122" fillId="5" borderId="62" xfId="4495" applyFill="1" applyBorder="1" applyAlignment="1">
      <alignment horizontal="center"/>
    </xf>
    <xf numFmtId="0" fontId="122" fillId="5" borderId="63" xfId="4495" applyFill="1" applyBorder="1" applyAlignment="1">
      <alignment horizontal="center"/>
    </xf>
    <xf numFmtId="4" fontId="27" fillId="0" borderId="3" xfId="4495" applyNumberFormat="1" applyFont="1" applyBorder="1" applyAlignment="1">
      <alignment horizontal="center"/>
    </xf>
    <xf numFmtId="4" fontId="27" fillId="0" borderId="4" xfId="4495" applyNumberFormat="1" applyFont="1" applyBorder="1" applyAlignment="1">
      <alignment horizontal="center"/>
    </xf>
    <xf numFmtId="4" fontId="27" fillId="0" borderId="5" xfId="4495" applyNumberFormat="1" applyFont="1" applyBorder="1" applyAlignment="1">
      <alignment horizontal="center"/>
    </xf>
    <xf numFmtId="165" fontId="124" fillId="0" borderId="3" xfId="4496" applyNumberFormat="1" applyFont="1" applyBorder="1" applyAlignment="1">
      <alignment horizontal="center" vertical="top" wrapText="1"/>
    </xf>
    <xf numFmtId="165" fontId="124" fillId="0" borderId="4" xfId="4496" applyNumberFormat="1" applyFont="1" applyBorder="1" applyAlignment="1">
      <alignment horizontal="center" vertical="top" wrapText="1"/>
    </xf>
    <xf numFmtId="165" fontId="124" fillId="0" borderId="5" xfId="4496" applyNumberFormat="1" applyFont="1" applyBorder="1" applyAlignment="1">
      <alignment horizontal="center" vertical="top" wrapText="1"/>
    </xf>
    <xf numFmtId="3" fontId="19" fillId="43" borderId="6" xfId="1192" applyNumberFormat="1" applyFill="1" applyBorder="1" applyAlignment="1" applyProtection="1">
      <alignment horizontal="right"/>
      <protection locked="0"/>
    </xf>
    <xf numFmtId="0" fontId="143" fillId="0" borderId="0" xfId="1192" applyFont="1" applyAlignment="1">
      <alignment horizontal="center"/>
    </xf>
    <xf numFmtId="168" fontId="19" fillId="5" borderId="4" xfId="1192" applyNumberFormat="1" applyFill="1" applyBorder="1" applyAlignment="1" applyProtection="1">
      <alignment horizontal="center"/>
      <protection locked="0"/>
    </xf>
    <xf numFmtId="4" fontId="27" fillId="0" borderId="6" xfId="4495" applyNumberFormat="1" applyFont="1" applyBorder="1" applyAlignment="1">
      <alignment horizontal="center"/>
    </xf>
    <xf numFmtId="1" fontId="19" fillId="5" borderId="2" xfId="1192" applyNumberFormat="1" applyFill="1" applyBorder="1" applyAlignment="1" applyProtection="1">
      <alignment horizontal="center"/>
      <protection locked="0"/>
    </xf>
    <xf numFmtId="4" fontId="27" fillId="0" borderId="0" xfId="4495" applyNumberFormat="1" applyFont="1" applyAlignment="1">
      <alignment horizontal="center"/>
    </xf>
    <xf numFmtId="0" fontId="19" fillId="0" borderId="53" xfId="4495" applyFont="1" applyBorder="1" applyAlignment="1">
      <alignment horizontal="left" vertical="top" wrapText="1"/>
    </xf>
    <xf numFmtId="0" fontId="19" fillId="0" borderId="54" xfId="4495" applyFont="1" applyBorder="1" applyAlignment="1">
      <alignment horizontal="left" vertical="top" wrapText="1"/>
    </xf>
    <xf numFmtId="0" fontId="19" fillId="0" borderId="57" xfId="4495" applyFont="1" applyBorder="1" applyAlignment="1">
      <alignment horizontal="left" vertical="top" wrapText="1"/>
    </xf>
    <xf numFmtId="0" fontId="19" fillId="0" borderId="58" xfId="4495" applyFont="1" applyBorder="1" applyAlignment="1">
      <alignment horizontal="left" vertical="top" wrapText="1"/>
    </xf>
    <xf numFmtId="168" fontId="19" fillId="0" borderId="6" xfId="4496" applyNumberFormat="1" applyFont="1" applyBorder="1" applyAlignment="1">
      <alignment horizontal="center"/>
    </xf>
    <xf numFmtId="168" fontId="19" fillId="0" borderId="4" xfId="4496" applyNumberFormat="1" applyFont="1" applyBorder="1" applyAlignment="1">
      <alignment horizontal="center"/>
    </xf>
    <xf numFmtId="9" fontId="19" fillId="0" borderId="4" xfId="4496" applyNumberFormat="1" applyFont="1" applyBorder="1" applyAlignment="1">
      <alignment horizontal="center"/>
    </xf>
    <xf numFmtId="0" fontId="19" fillId="0" borderId="4" xfId="4495" applyFont="1" applyBorder="1" applyAlignment="1">
      <alignment horizontal="center"/>
    </xf>
    <xf numFmtId="0" fontId="27" fillId="0" borderId="51" xfId="4495" applyFont="1" applyBorder="1" applyAlignment="1">
      <alignment horizontal="left" vertical="top" wrapText="1"/>
    </xf>
    <xf numFmtId="0" fontId="27" fillId="0" borderId="0" xfId="4495" applyFont="1" applyAlignment="1">
      <alignment horizontal="left" vertical="top" wrapText="1"/>
    </xf>
    <xf numFmtId="0" fontId="27" fillId="0" borderId="58" xfId="4495" applyFont="1" applyBorder="1" applyAlignment="1">
      <alignment horizontal="left" vertical="top" wrapText="1"/>
    </xf>
    <xf numFmtId="168" fontId="19" fillId="43" borderId="6" xfId="1192" applyNumberFormat="1" applyFill="1" applyBorder="1" applyAlignment="1" applyProtection="1">
      <alignment horizontal="right"/>
      <protection locked="0"/>
    </xf>
    <xf numFmtId="0" fontId="27" fillId="5" borderId="58" xfId="4495" applyFont="1" applyFill="1" applyBorder="1" applyAlignment="1">
      <alignment horizontal="left"/>
    </xf>
    <xf numFmtId="0" fontId="55" fillId="0" borderId="51" xfId="4495" applyFont="1" applyBorder="1" applyAlignment="1">
      <alignment horizontal="left" vertical="top" wrapText="1"/>
    </xf>
    <xf numFmtId="0" fontId="55" fillId="0" borderId="0" xfId="4495" applyFont="1" applyAlignment="1">
      <alignment horizontal="left" vertical="top" wrapText="1"/>
    </xf>
    <xf numFmtId="9" fontId="27" fillId="5" borderId="58" xfId="4495" applyNumberFormat="1" applyFont="1" applyFill="1" applyBorder="1" applyAlignment="1">
      <alignment horizontal="left"/>
    </xf>
    <xf numFmtId="9" fontId="27" fillId="5" borderId="6" xfId="4495" applyNumberFormat="1" applyFont="1" applyFill="1" applyBorder="1" applyAlignment="1">
      <alignment horizontal="left"/>
    </xf>
    <xf numFmtId="0" fontId="27" fillId="5" borderId="6" xfId="4495" applyFont="1" applyFill="1" applyBorder="1" applyAlignment="1">
      <alignment horizontal="left"/>
    </xf>
    <xf numFmtId="0" fontId="26" fillId="0" borderId="0" xfId="4495" applyFont="1" applyAlignment="1">
      <alignment horizontal="right"/>
    </xf>
    <xf numFmtId="0" fontId="55" fillId="0" borderId="51" xfId="4495" applyFont="1" applyBorder="1" applyAlignment="1">
      <alignment horizontal="left" wrapText="1"/>
    </xf>
    <xf numFmtId="0" fontId="55" fillId="0" borderId="0" xfId="4495" applyFont="1" applyAlignment="1">
      <alignment horizontal="left" wrapText="1"/>
    </xf>
    <xf numFmtId="0" fontId="19" fillId="0" borderId="50" xfId="4495" applyFont="1" applyBorder="1" applyAlignment="1">
      <alignment horizontal="left" vertical="center" wrapText="1"/>
    </xf>
    <xf numFmtId="0" fontId="19" fillId="0" borderId="51" xfId="4495" applyFont="1" applyBorder="1" applyAlignment="1">
      <alignment horizontal="left" vertical="center" wrapText="1"/>
    </xf>
    <xf numFmtId="0" fontId="19" fillId="0" borderId="52" xfId="4495" applyFont="1" applyBorder="1" applyAlignment="1">
      <alignment horizontal="left" vertical="center" wrapText="1"/>
    </xf>
    <xf numFmtId="0" fontId="19" fillId="0" borderId="53" xfId="4495" applyFont="1" applyBorder="1" applyAlignment="1">
      <alignment horizontal="left" vertical="center" wrapText="1"/>
    </xf>
    <xf numFmtId="0" fontId="19" fillId="0" borderId="0" xfId="4495" applyFont="1" applyAlignment="1">
      <alignment horizontal="left" vertical="center" wrapText="1"/>
    </xf>
    <xf numFmtId="0" fontId="19" fillId="0" borderId="54" xfId="4495" applyFont="1" applyBorder="1" applyAlignment="1">
      <alignment horizontal="left" vertical="center" wrapText="1"/>
    </xf>
    <xf numFmtId="10" fontId="27" fillId="0" borderId="2" xfId="4495" applyNumberFormat="1" applyFont="1" applyBorder="1" applyAlignment="1">
      <alignment horizontal="center"/>
    </xf>
    <xf numFmtId="0" fontId="27" fillId="0" borderId="0" xfId="4495" applyFont="1" applyAlignment="1">
      <alignment horizontal="center"/>
    </xf>
    <xf numFmtId="0" fontId="131" fillId="0" borderId="0" xfId="4495" applyFont="1" applyAlignment="1">
      <alignment horizontal="left" vertical="top" wrapText="1"/>
    </xf>
    <xf numFmtId="0" fontId="35" fillId="42" borderId="2" xfId="4495" applyFont="1" applyFill="1" applyBorder="1" applyAlignment="1">
      <alignment horizontal="center"/>
    </xf>
    <xf numFmtId="0" fontId="35" fillId="42" borderId="6" xfId="4495" applyFont="1" applyFill="1" applyBorder="1" applyAlignment="1">
      <alignment horizontal="center"/>
    </xf>
    <xf numFmtId="0" fontId="26" fillId="0" borderId="11" xfId="4495" applyFont="1" applyBorder="1" applyAlignment="1">
      <alignment horizontal="center"/>
    </xf>
    <xf numFmtId="0" fontId="122" fillId="5" borderId="55" xfId="4495" applyFill="1" applyBorder="1" applyAlignment="1" applyProtection="1">
      <alignment horizontal="center"/>
      <protection locked="0"/>
    </xf>
    <xf numFmtId="0" fontId="26" fillId="0" borderId="0" xfId="4495" applyFont="1" applyAlignment="1">
      <alignment horizontal="center"/>
    </xf>
    <xf numFmtId="0" fontId="26" fillId="0" borderId="54" xfId="4495" applyFont="1" applyBorder="1" applyAlignment="1">
      <alignment horizontal="center"/>
    </xf>
    <xf numFmtId="0" fontId="26" fillId="0" borderId="51" xfId="4495" applyFont="1" applyBorder="1" applyAlignment="1">
      <alignment horizontal="center" vertical="top"/>
    </xf>
    <xf numFmtId="0" fontId="26" fillId="0" borderId="52" xfId="4495" applyFont="1" applyBorder="1" applyAlignment="1">
      <alignment horizontal="center" vertical="top"/>
    </xf>
    <xf numFmtId="0" fontId="19" fillId="0" borderId="6" xfId="1192" applyBorder="1" applyAlignment="1">
      <alignment horizontal="right"/>
    </xf>
    <xf numFmtId="9" fontId="19" fillId="5" borderId="4" xfId="1192" applyNumberFormat="1" applyFill="1" applyBorder="1" applyAlignment="1" applyProtection="1">
      <alignment horizontal="left"/>
      <protection locked="0"/>
    </xf>
    <xf numFmtId="0" fontId="26" fillId="0" borderId="54" xfId="4495" applyFont="1" applyBorder="1" applyAlignment="1">
      <alignment horizontal="center" vertical="top"/>
    </xf>
    <xf numFmtId="0" fontId="122" fillId="0" borderId="53" xfId="4495" applyBorder="1" applyAlignment="1">
      <alignment horizontal="center"/>
    </xf>
    <xf numFmtId="0" fontId="27" fillId="5" borderId="0" xfId="4495" applyFont="1" applyFill="1" applyAlignment="1">
      <alignment horizontal="left" vertical="top"/>
    </xf>
    <xf numFmtId="0" fontId="122" fillId="5" borderId="53" xfId="4495" applyFill="1" applyBorder="1" applyAlignment="1">
      <alignment horizontal="center"/>
    </xf>
    <xf numFmtId="0" fontId="122" fillId="5" borderId="0" xfId="4495" applyFill="1" applyAlignment="1">
      <alignment horizontal="center"/>
    </xf>
    <xf numFmtId="0" fontId="122" fillId="5" borderId="55" xfId="4495" applyFill="1" applyBorder="1" applyAlignment="1">
      <alignment horizontal="center"/>
    </xf>
    <xf numFmtId="0" fontId="122" fillId="5" borderId="6" xfId="4495" applyFill="1" applyBorder="1" applyAlignment="1">
      <alignment horizontal="center"/>
    </xf>
    <xf numFmtId="0" fontId="27" fillId="5" borderId="0" xfId="4495" applyFont="1" applyFill="1" applyAlignment="1">
      <alignment horizontal="left" vertical="top" wrapText="1"/>
    </xf>
    <xf numFmtId="0" fontId="27" fillId="5" borderId="58" xfId="4495" applyFont="1" applyFill="1" applyBorder="1" applyAlignment="1">
      <alignment horizontal="left" vertical="top" wrapText="1"/>
    </xf>
    <xf numFmtId="0" fontId="26" fillId="0" borderId="4" xfId="4495" applyFont="1" applyBorder="1" applyAlignment="1">
      <alignment horizontal="left"/>
    </xf>
    <xf numFmtId="0" fontId="26" fillId="0" borderId="5" xfId="4495" applyFont="1" applyBorder="1" applyAlignment="1">
      <alignment horizontal="left"/>
    </xf>
    <xf numFmtId="1" fontId="26" fillId="0" borderId="11" xfId="4495" applyNumberFormat="1" applyFont="1" applyBorder="1" applyAlignment="1">
      <alignment horizontal="center"/>
    </xf>
    <xf numFmtId="0" fontId="26" fillId="0" borderId="3" xfId="4495" applyFont="1" applyBorder="1" applyAlignment="1">
      <alignment horizontal="center" wrapText="1"/>
    </xf>
    <xf numFmtId="0" fontId="26" fillId="0" borderId="4" xfId="4495" applyFont="1" applyBorder="1" applyAlignment="1">
      <alignment horizontal="center" wrapText="1"/>
    </xf>
    <xf numFmtId="0" fontId="26" fillId="0" borderId="5" xfId="4495" applyFont="1" applyBorder="1" applyAlignment="1">
      <alignment horizontal="center" wrapText="1"/>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11" xfId="4495" applyFont="1" applyBorder="1" applyAlignment="1">
      <alignment horizontal="center"/>
    </xf>
    <xf numFmtId="1" fontId="19" fillId="46" borderId="11" xfId="4495" applyNumberFormat="1" applyFont="1" applyFill="1" applyBorder="1" applyAlignment="1">
      <alignment horizontal="center"/>
    </xf>
    <xf numFmtId="0" fontId="26" fillId="0" borderId="3" xfId="4495" applyFont="1" applyBorder="1" applyAlignment="1">
      <alignment horizontal="center"/>
    </xf>
    <xf numFmtId="0" fontId="26" fillId="0" borderId="4" xfId="4495" applyFont="1" applyBorder="1" applyAlignment="1">
      <alignment horizontal="center"/>
    </xf>
    <xf numFmtId="0" fontId="26" fillId="0" borderId="5" xfId="4495" applyFont="1" applyBorder="1" applyAlignment="1">
      <alignment horizontal="center"/>
    </xf>
    <xf numFmtId="0" fontId="19" fillId="5" borderId="11" xfId="4495" applyFont="1" applyFill="1" applyBorder="1" applyAlignment="1" applyProtection="1">
      <alignment horizontal="center"/>
      <protection locked="0"/>
    </xf>
    <xf numFmtId="164" fontId="66" fillId="0" borderId="1" xfId="4495" applyNumberFormat="1" applyFont="1" applyBorder="1" applyAlignment="1">
      <alignment horizontal="right" vertical="center"/>
    </xf>
    <xf numFmtId="164" fontId="66" fillId="0" borderId="2" xfId="4495" applyNumberFormat="1" applyFont="1" applyBorder="1" applyAlignment="1">
      <alignment horizontal="right" vertical="center"/>
    </xf>
    <xf numFmtId="164" fontId="66" fillId="0" borderId="7" xfId="4495" applyNumberFormat="1" applyFont="1" applyBorder="1" applyAlignment="1">
      <alignment horizontal="right" vertical="center"/>
    </xf>
    <xf numFmtId="164" fontId="66" fillId="0" borderId="9" xfId="4495" applyNumberFormat="1" applyFont="1" applyBorder="1" applyAlignment="1">
      <alignment horizontal="right" vertical="center"/>
    </xf>
    <xf numFmtId="164" fontId="66" fillId="0" borderId="6" xfId="4495" applyNumberFormat="1" applyFont="1" applyBorder="1" applyAlignment="1">
      <alignment horizontal="right" vertical="center"/>
    </xf>
    <xf numFmtId="164" fontId="66" fillId="0" borderId="10" xfId="4495" applyNumberFormat="1" applyFont="1" applyBorder="1" applyAlignment="1">
      <alignment horizontal="right" vertical="center"/>
    </xf>
    <xf numFmtId="180" fontId="66" fillId="0" borderId="1" xfId="4495" applyNumberFormat="1" applyFont="1" applyBorder="1" applyAlignment="1">
      <alignment horizontal="center" vertical="center"/>
    </xf>
    <xf numFmtId="180" fontId="66" fillId="0" borderId="2" xfId="4495" applyNumberFormat="1" applyFont="1" applyBorder="1" applyAlignment="1">
      <alignment horizontal="center" vertical="center"/>
    </xf>
    <xf numFmtId="180" fontId="66" fillId="0" borderId="7" xfId="4495" applyNumberFormat="1" applyFont="1" applyBorder="1" applyAlignment="1">
      <alignment horizontal="center" vertical="center"/>
    </xf>
    <xf numFmtId="180" fontId="66" fillId="0" borderId="9" xfId="4495" applyNumberFormat="1" applyFont="1" applyBorder="1" applyAlignment="1">
      <alignment horizontal="center" vertical="center"/>
    </xf>
    <xf numFmtId="180" fontId="66" fillId="0" borderId="6" xfId="4495" applyNumberFormat="1" applyFont="1" applyBorder="1" applyAlignment="1">
      <alignment horizontal="center" vertical="center"/>
    </xf>
    <xf numFmtId="180" fontId="66" fillId="0" borderId="10" xfId="4495" applyNumberFormat="1" applyFont="1" applyBorder="1" applyAlignment="1">
      <alignment horizontal="center" vertical="center"/>
    </xf>
    <xf numFmtId="1" fontId="26" fillId="0" borderId="4" xfId="4495" applyNumberFormat="1" applyFont="1" applyBorder="1" applyAlignment="1">
      <alignment horizontal="center" wrapText="1"/>
    </xf>
    <xf numFmtId="0" fontId="19" fillId="0" borderId="50" xfId="4496" applyFont="1" applyBorder="1" applyAlignment="1">
      <alignment horizontal="left" wrapText="1"/>
    </xf>
    <xf numFmtId="0" fontId="19" fillId="0" borderId="51" xfId="4496" applyFont="1" applyBorder="1" applyAlignment="1">
      <alignment horizontal="left" wrapText="1"/>
    </xf>
    <xf numFmtId="0" fontId="19" fillId="0" borderId="52" xfId="4496" applyFont="1" applyBorder="1" applyAlignment="1">
      <alignment horizontal="left" wrapText="1"/>
    </xf>
    <xf numFmtId="0" fontId="19" fillId="0" borderId="53" xfId="4496" applyFont="1" applyBorder="1" applyAlignment="1">
      <alignment horizontal="left" wrapText="1"/>
    </xf>
    <xf numFmtId="0" fontId="19" fillId="0" borderId="0" xfId="4496" applyFont="1" applyAlignment="1">
      <alignment horizontal="left" wrapText="1"/>
    </xf>
    <xf numFmtId="0" fontId="19" fillId="0" borderId="54" xfId="4496" applyFont="1" applyBorder="1" applyAlignment="1">
      <alignment horizontal="left" wrapText="1"/>
    </xf>
    <xf numFmtId="0" fontId="19" fillId="0" borderId="57" xfId="4496" applyFont="1" applyBorder="1" applyAlignment="1">
      <alignment horizontal="left" wrapText="1"/>
    </xf>
    <xf numFmtId="0" fontId="19" fillId="0" borderId="58" xfId="4496" applyFont="1" applyBorder="1" applyAlignment="1">
      <alignment horizontal="left" wrapText="1"/>
    </xf>
    <xf numFmtId="0" fontId="19" fillId="0" borderId="59" xfId="4496" applyFont="1" applyBorder="1" applyAlignment="1">
      <alignment horizontal="left" wrapText="1"/>
    </xf>
    <xf numFmtId="1" fontId="19" fillId="0" borderId="4" xfId="4496" applyNumberFormat="1" applyFont="1" applyBorder="1" applyAlignment="1">
      <alignment horizontal="center"/>
    </xf>
    <xf numFmtId="1" fontId="19" fillId="0" borderId="5" xfId="4496" applyNumberFormat="1" applyFont="1" applyBorder="1" applyAlignment="1">
      <alignment horizontal="center"/>
    </xf>
    <xf numFmtId="49" fontId="25" fillId="3" borderId="2" xfId="4495" applyNumberFormat="1" applyFont="1" applyFill="1" applyBorder="1" applyAlignment="1">
      <alignment horizontal="center" vertical="center" wrapText="1"/>
    </xf>
    <xf numFmtId="49" fontId="25" fillId="3" borderId="2" xfId="4495" applyNumberFormat="1" applyFont="1" applyFill="1" applyBorder="1" applyAlignment="1">
      <alignment horizontal="center" vertical="center"/>
    </xf>
    <xf numFmtId="49" fontId="25" fillId="3" borderId="0" xfId="4495" applyNumberFormat="1" applyFont="1" applyFill="1" applyAlignment="1">
      <alignment horizontal="center" vertical="center"/>
    </xf>
    <xf numFmtId="0" fontId="26" fillId="0" borderId="1" xfId="4495" applyFont="1" applyBorder="1" applyAlignment="1">
      <alignment horizontal="center" wrapText="1"/>
    </xf>
    <xf numFmtId="0" fontId="26" fillId="0" borderId="2" xfId="4495" applyFont="1" applyBorder="1" applyAlignment="1">
      <alignment horizontal="center" wrapText="1"/>
    </xf>
    <xf numFmtId="0" fontId="26" fillId="0" borderId="7" xfId="4495" applyFont="1" applyBorder="1" applyAlignment="1">
      <alignment horizontal="center" wrapText="1"/>
    </xf>
    <xf numFmtId="0" fontId="26" fillId="0" borderId="9" xfId="4495" applyFont="1" applyBorder="1" applyAlignment="1">
      <alignment horizontal="center" wrapText="1"/>
    </xf>
    <xf numFmtId="0" fontId="26" fillId="0" borderId="6" xfId="4495" applyFont="1" applyBorder="1" applyAlignment="1">
      <alignment horizontal="center" wrapText="1"/>
    </xf>
    <xf numFmtId="0" fontId="26" fillId="0" borderId="10" xfId="4495" applyFont="1" applyBorder="1" applyAlignment="1">
      <alignment horizontal="center" wrapText="1"/>
    </xf>
    <xf numFmtId="0" fontId="19" fillId="45" borderId="11" xfId="4495" applyFont="1" applyFill="1" applyBorder="1" applyAlignment="1">
      <alignment horizontal="center"/>
    </xf>
    <xf numFmtId="0" fontId="131" fillId="0" borderId="0" xfId="4495" applyFont="1" applyAlignment="1">
      <alignment horizontal="left" vertical="center" wrapText="1"/>
    </xf>
    <xf numFmtId="0" fontId="26" fillId="0" borderId="0" xfId="4495" applyFont="1" applyAlignment="1">
      <alignment horizontal="left" vertical="top" wrapText="1"/>
    </xf>
    <xf numFmtId="0" fontId="19" fillId="0" borderId="0" xfId="4495" applyFont="1" applyAlignment="1">
      <alignment horizontal="left" vertical="top" wrapText="1" shrinkToFit="1"/>
    </xf>
    <xf numFmtId="44" fontId="19" fillId="0" borderId="0" xfId="707" applyFont="1" applyFill="1" applyBorder="1" applyAlignment="1" applyProtection="1">
      <alignment horizontal="left" vertical="top" wrapText="1"/>
    </xf>
    <xf numFmtId="0" fontId="19" fillId="0" borderId="0" xfId="4495" applyFont="1" applyAlignment="1">
      <alignment horizontal="left" vertical="center" wrapText="1" shrinkToFit="1"/>
    </xf>
    <xf numFmtId="0" fontId="19" fillId="5" borderId="6" xfId="4495" applyFont="1" applyFill="1" applyBorder="1" applyAlignment="1" applyProtection="1">
      <alignment horizontal="left" wrapText="1" shrinkToFit="1"/>
      <protection locked="0"/>
    </xf>
    <xf numFmtId="0" fontId="19" fillId="43" borderId="6" xfId="1192" applyFill="1" applyBorder="1" applyAlignment="1" applyProtection="1">
      <alignment horizontal="left" vertical="top"/>
      <protection locked="0"/>
    </xf>
    <xf numFmtId="0" fontId="158" fillId="0" borderId="0" xfId="0" applyFont="1" applyAlignment="1" applyProtection="1">
      <alignment horizontal="left"/>
      <protection locked="0"/>
    </xf>
    <xf numFmtId="168" fontId="157" fillId="0" borderId="0" xfId="0" applyNumberFormat="1" applyFont="1" applyAlignment="1">
      <alignment horizontal="center" vertical="top" wrapText="1"/>
    </xf>
    <xf numFmtId="168" fontId="157" fillId="0" borderId="12" xfId="0" applyNumberFormat="1" applyFont="1" applyBorder="1" applyAlignment="1">
      <alignment horizontal="center" vertical="top" wrapText="1"/>
    </xf>
    <xf numFmtId="0" fontId="19" fillId="43" borderId="53" xfId="4495" applyFont="1" applyFill="1" applyBorder="1" applyAlignment="1" applyProtection="1">
      <alignment vertical="top" wrapText="1"/>
      <protection locked="0"/>
    </xf>
    <xf numFmtId="0" fontId="19" fillId="43" borderId="0" xfId="4495" applyFont="1" applyFill="1" applyAlignment="1" applyProtection="1">
      <alignment vertical="top" wrapText="1"/>
      <protection locked="0"/>
    </xf>
    <xf numFmtId="0" fontId="19" fillId="43" borderId="54" xfId="4495" applyFont="1" applyFill="1" applyBorder="1" applyAlignment="1" applyProtection="1">
      <alignment vertical="top" wrapText="1"/>
      <protection locked="0"/>
    </xf>
    <xf numFmtId="0" fontId="19" fillId="43" borderId="55" xfId="4495" applyFont="1" applyFill="1" applyBorder="1" applyAlignment="1" applyProtection="1">
      <alignment vertical="top" wrapText="1"/>
      <protection locked="0"/>
    </xf>
    <xf numFmtId="0" fontId="19" fillId="43" borderId="6" xfId="4495" applyFont="1" applyFill="1" applyBorder="1" applyAlignment="1" applyProtection="1">
      <alignment vertical="top" wrapText="1"/>
      <protection locked="0"/>
    </xf>
    <xf numFmtId="0" fontId="19" fillId="43" borderId="56" xfId="4495" applyFont="1" applyFill="1" applyBorder="1" applyAlignment="1" applyProtection="1">
      <alignment vertical="top" wrapText="1"/>
      <protection locked="0"/>
    </xf>
    <xf numFmtId="0" fontId="19" fillId="43" borderId="0" xfId="4495" applyFont="1" applyFill="1" applyAlignment="1" applyProtection="1">
      <alignment horizontal="left" vertical="center" wrapText="1"/>
      <protection locked="0"/>
    </xf>
    <xf numFmtId="0" fontId="19" fillId="43" borderId="54" xfId="4495" applyFont="1" applyFill="1" applyBorder="1" applyAlignment="1" applyProtection="1">
      <alignment horizontal="left" vertical="center" wrapText="1"/>
      <protection locked="0"/>
    </xf>
    <xf numFmtId="0" fontId="19" fillId="43" borderId="6" xfId="4495" applyFont="1" applyFill="1" applyBorder="1" applyAlignment="1" applyProtection="1">
      <alignment horizontal="left" vertical="center" wrapText="1"/>
      <protection locked="0"/>
    </xf>
    <xf numFmtId="0" fontId="19" fillId="43" borderId="56" xfId="4495" applyFont="1" applyFill="1" applyBorder="1" applyAlignment="1" applyProtection="1">
      <alignment horizontal="left" vertical="center" wrapText="1"/>
      <protection locked="0"/>
    </xf>
    <xf numFmtId="0" fontId="122" fillId="5" borderId="62" xfId="4495" applyFill="1" applyBorder="1" applyAlignment="1" applyProtection="1">
      <alignment horizontal="center"/>
      <protection locked="0"/>
    </xf>
    <xf numFmtId="0" fontId="122" fillId="5" borderId="63" xfId="4495" applyFill="1" applyBorder="1" applyAlignment="1" applyProtection="1">
      <alignment horizontal="center"/>
      <protection locked="0"/>
    </xf>
    <xf numFmtId="0" fontId="124" fillId="0" borderId="50" xfId="4496" applyFont="1" applyBorder="1" applyAlignment="1">
      <alignment horizontal="left" wrapText="1"/>
    </xf>
    <xf numFmtId="0" fontId="124" fillId="0" borderId="51" xfId="4496" applyFont="1" applyBorder="1" applyAlignment="1">
      <alignment horizontal="left" wrapText="1"/>
    </xf>
    <xf numFmtId="0" fontId="124" fillId="0" borderId="52" xfId="4496" applyFont="1" applyBorder="1" applyAlignment="1">
      <alignment horizontal="left" wrapText="1"/>
    </xf>
    <xf numFmtId="0" fontId="124" fillId="0" borderId="57" xfId="4496" applyFont="1" applyBorder="1" applyAlignment="1">
      <alignment horizontal="left" wrapText="1"/>
    </xf>
    <xf numFmtId="0" fontId="124" fillId="0" borderId="58" xfId="4496" applyFont="1" applyBorder="1" applyAlignment="1">
      <alignment horizontal="left" wrapText="1"/>
    </xf>
    <xf numFmtId="0" fontId="124" fillId="0" borderId="59" xfId="4496" applyFont="1" applyBorder="1" applyAlignment="1">
      <alignment horizontal="left" wrapText="1"/>
    </xf>
    <xf numFmtId="0" fontId="19" fillId="5" borderId="6" xfId="1192" applyFill="1" applyBorder="1" applyAlignment="1" applyProtection="1">
      <alignment horizontal="left"/>
      <protection locked="0"/>
    </xf>
    <xf numFmtId="165" fontId="19" fillId="0" borderId="0" xfId="1192" applyNumberFormat="1" applyAlignment="1">
      <alignment horizontal="right"/>
    </xf>
    <xf numFmtId="0" fontId="19" fillId="0" borderId="59" xfId="4495" applyFont="1" applyBorder="1" applyAlignment="1">
      <alignment horizontal="left" vertical="top" wrapText="1"/>
    </xf>
    <xf numFmtId="0" fontId="19" fillId="0" borderId="4" xfId="4496" applyFont="1" applyBorder="1" applyAlignment="1">
      <alignment horizontal="center"/>
    </xf>
    <xf numFmtId="0" fontId="19" fillId="0" borderId="5" xfId="4496" applyFont="1" applyBorder="1" applyAlignment="1">
      <alignment horizontal="center"/>
    </xf>
    <xf numFmtId="0" fontId="19" fillId="0" borderId="50" xfId="4495" applyFont="1" applyBorder="1" applyAlignment="1">
      <alignment horizontal="left" vertical="top" wrapText="1"/>
    </xf>
    <xf numFmtId="0" fontId="19" fillId="0" borderId="51" xfId="4495" applyFont="1" applyBorder="1" applyAlignment="1">
      <alignment horizontal="left" vertical="top" wrapText="1"/>
    </xf>
    <xf numFmtId="0" fontId="19" fillId="0" borderId="52" xfId="4495" applyFont="1" applyBorder="1" applyAlignment="1">
      <alignment horizontal="left" vertical="top" wrapText="1"/>
    </xf>
    <xf numFmtId="0" fontId="26" fillId="0" borderId="0" xfId="4495" applyFont="1"/>
    <xf numFmtId="0" fontId="19" fillId="0" borderId="6" xfId="1192" applyBorder="1" applyAlignment="1">
      <alignment horizontal="left"/>
    </xf>
    <xf numFmtId="2" fontId="19" fillId="0" borderId="0" xfId="1192" applyNumberFormat="1" applyAlignment="1">
      <alignment horizontal="right"/>
    </xf>
    <xf numFmtId="0" fontId="26" fillId="0" borderId="0" xfId="4495" applyFont="1" applyAlignment="1">
      <alignment horizontal="left" vertical="top"/>
    </xf>
    <xf numFmtId="0" fontId="122" fillId="0" borderId="0" xfId="4495" applyAlignment="1" applyProtection="1">
      <alignment horizontal="center"/>
      <protection locked="0"/>
    </xf>
    <xf numFmtId="9" fontId="19" fillId="0" borderId="4" xfId="543" applyNumberFormat="1" applyBorder="1" applyAlignment="1">
      <alignment horizontal="center"/>
    </xf>
    <xf numFmtId="168" fontId="19" fillId="0" borderId="6" xfId="4495" applyNumberFormat="1" applyFont="1" applyBorder="1" applyAlignment="1">
      <alignment horizontal="right"/>
    </xf>
    <xf numFmtId="168" fontId="120" fillId="0" borderId="6" xfId="4495" applyNumberFormat="1" applyFont="1" applyBorder="1" applyAlignment="1">
      <alignment horizontal="right"/>
    </xf>
    <xf numFmtId="168" fontId="19" fillId="43" borderId="6" xfId="4495" applyNumberFormat="1" applyFont="1" applyFill="1" applyBorder="1" applyAlignment="1" applyProtection="1">
      <alignment horizontal="right"/>
      <protection locked="0"/>
    </xf>
    <xf numFmtId="6" fontId="19" fillId="0" borderId="3" xfId="1192" applyNumberFormat="1" applyBorder="1" applyAlignment="1">
      <alignment horizontal="right"/>
    </xf>
    <xf numFmtId="6" fontId="19" fillId="0" borderId="4" xfId="1192" applyNumberFormat="1" applyBorder="1" applyAlignment="1">
      <alignment horizontal="right"/>
    </xf>
    <xf numFmtId="6" fontId="19" fillId="0" borderId="5" xfId="1192" applyNumberFormat="1" applyBorder="1" applyAlignment="1">
      <alignment horizontal="right"/>
    </xf>
    <xf numFmtId="168" fontId="19" fillId="0" borderId="4" xfId="4495" applyNumberFormat="1" applyFont="1" applyBorder="1" applyAlignment="1">
      <alignment horizontal="right"/>
    </xf>
    <xf numFmtId="165" fontId="19" fillId="43" borderId="3" xfId="4495" applyNumberFormat="1" applyFont="1" applyFill="1" applyBorder="1" applyAlignment="1" applyProtection="1">
      <alignment horizontal="center"/>
      <protection locked="0"/>
    </xf>
    <xf numFmtId="165" fontId="19" fillId="43" borderId="4" xfId="4495" applyNumberFormat="1" applyFont="1" applyFill="1" applyBorder="1" applyAlignment="1" applyProtection="1">
      <alignment horizontal="center"/>
      <protection locked="0"/>
    </xf>
    <xf numFmtId="165" fontId="19" fillId="43" borderId="5" xfId="4495" applyNumberFormat="1" applyFont="1" applyFill="1" applyBorder="1" applyAlignment="1" applyProtection="1">
      <alignment horizontal="center"/>
      <protection locked="0"/>
    </xf>
    <xf numFmtId="165" fontId="19" fillId="0" borderId="6" xfId="1192" applyNumberFormat="1" applyBorder="1" applyAlignment="1">
      <alignment horizontal="right"/>
    </xf>
    <xf numFmtId="168" fontId="19" fillId="0" borderId="2" xfId="1192" applyNumberFormat="1" applyBorder="1" applyAlignment="1">
      <alignment horizontal="right"/>
    </xf>
    <xf numFmtId="1" fontId="19" fillId="0" borderId="3" xfId="4495" applyNumberFormat="1" applyFont="1" applyBorder="1" applyAlignment="1">
      <alignment horizontal="center"/>
    </xf>
    <xf numFmtId="1" fontId="19" fillId="0" borderId="4" xfId="4495" applyNumberFormat="1" applyFont="1" applyBorder="1" applyAlignment="1">
      <alignment horizontal="center"/>
    </xf>
    <xf numFmtId="1" fontId="19" fillId="0" borderId="5" xfId="4495" applyNumberFormat="1" applyFont="1" applyBorder="1" applyAlignment="1">
      <alignment horizontal="center"/>
    </xf>
    <xf numFmtId="0" fontId="27" fillId="5" borderId="6" xfId="4495" applyFont="1" applyFill="1" applyBorder="1" applyAlignment="1" applyProtection="1">
      <alignment horizontal="left"/>
      <protection locked="0"/>
    </xf>
    <xf numFmtId="0" fontId="19" fillId="5" borderId="6" xfId="4495" applyFont="1" applyFill="1" applyBorder="1" applyAlignment="1" applyProtection="1">
      <alignment horizontal="left"/>
      <protection locked="0"/>
    </xf>
    <xf numFmtId="0" fontId="55" fillId="5" borderId="6" xfId="4495" applyFont="1" applyFill="1" applyBorder="1" applyAlignment="1" applyProtection="1">
      <alignment horizontal="left"/>
      <protection locked="0"/>
    </xf>
    <xf numFmtId="0" fontId="19" fillId="44" borderId="6" xfId="4495" applyFont="1" applyFill="1" applyBorder="1" applyAlignment="1">
      <alignment horizontal="left"/>
    </xf>
    <xf numFmtId="0" fontId="19" fillId="0" borderId="0" xfId="1192" applyAlignment="1">
      <alignment horizontal="right"/>
    </xf>
    <xf numFmtId="0" fontId="124" fillId="5" borderId="6" xfId="4496" applyFont="1" applyFill="1" applyBorder="1" applyAlignment="1" applyProtection="1">
      <alignment horizontal="center"/>
      <protection locked="0"/>
    </xf>
    <xf numFmtId="0" fontId="124" fillId="0" borderId="50" xfId="4496" applyFont="1" applyBorder="1" applyAlignment="1">
      <alignment horizontal="left" vertical="top" wrapText="1"/>
    </xf>
    <xf numFmtId="0" fontId="124" fillId="0" borderId="51" xfId="4496" applyFont="1" applyBorder="1" applyAlignment="1">
      <alignment horizontal="left" vertical="top" wrapText="1"/>
    </xf>
    <xf numFmtId="0" fontId="124" fillId="0" borderId="52" xfId="4496" applyFont="1" applyBorder="1" applyAlignment="1">
      <alignment horizontal="left" vertical="top" wrapText="1"/>
    </xf>
    <xf numFmtId="0" fontId="124" fillId="0" borderId="53" xfId="4496" applyFont="1" applyBorder="1" applyAlignment="1">
      <alignment horizontal="left" vertical="top" wrapText="1"/>
    </xf>
    <xf numFmtId="0" fontId="124" fillId="0" borderId="0" xfId="4496" applyFont="1" applyAlignment="1">
      <alignment horizontal="left" vertical="top" wrapText="1"/>
    </xf>
    <xf numFmtId="0" fontId="124" fillId="0" borderId="54" xfId="4496" applyFont="1" applyBorder="1" applyAlignment="1">
      <alignment horizontal="left" vertical="top" wrapText="1"/>
    </xf>
    <xf numFmtId="9" fontId="19" fillId="0" borderId="6" xfId="1192" applyNumberFormat="1" applyBorder="1" applyAlignment="1">
      <alignment horizontal="center"/>
    </xf>
    <xf numFmtId="9" fontId="19" fillId="0" borderId="6" xfId="1192" quotePrefix="1" applyNumberFormat="1" applyBorder="1" applyAlignment="1">
      <alignment horizontal="center"/>
    </xf>
    <xf numFmtId="9" fontId="19" fillId="0" borderId="0" xfId="1192" quotePrefix="1" applyNumberFormat="1" applyAlignment="1">
      <alignment horizontal="center"/>
    </xf>
    <xf numFmtId="1" fontId="19" fillId="5" borderId="4" xfId="1192" applyNumberFormat="1" applyFill="1" applyBorder="1" applyAlignment="1" applyProtection="1">
      <alignment horizontal="center"/>
      <protection locked="0"/>
    </xf>
    <xf numFmtId="1" fontId="124" fillId="0" borderId="55" xfId="4496" applyNumberFormat="1" applyFont="1" applyBorder="1" applyAlignment="1">
      <alignment horizontal="center" vertical="top" wrapText="1"/>
    </xf>
    <xf numFmtId="1" fontId="124" fillId="0" borderId="6" xfId="4496" applyNumberFormat="1" applyFont="1" applyBorder="1" applyAlignment="1">
      <alignment horizontal="center" vertical="top" wrapText="1"/>
    </xf>
    <xf numFmtId="165" fontId="124" fillId="0" borderId="55" xfId="4496" applyNumberFormat="1" applyFont="1" applyBorder="1" applyAlignment="1">
      <alignment horizontal="center" vertical="top" wrapText="1"/>
    </xf>
    <xf numFmtId="165" fontId="124" fillId="0" borderId="6" xfId="4496" applyNumberFormat="1" applyFont="1" applyBorder="1" applyAlignment="1">
      <alignment horizontal="center" vertical="top" wrapText="1"/>
    </xf>
    <xf numFmtId="168" fontId="124" fillId="43" borderId="55" xfId="4496" applyNumberFormat="1" applyFont="1" applyFill="1" applyBorder="1" applyAlignment="1" applyProtection="1">
      <alignment horizontal="center" vertical="top" wrapText="1"/>
      <protection locked="0"/>
    </xf>
    <xf numFmtId="168" fontId="124" fillId="43" borderId="6" xfId="4496" applyNumberFormat="1" applyFont="1" applyFill="1" applyBorder="1" applyAlignment="1" applyProtection="1">
      <alignment horizontal="center" vertical="top" wrapText="1"/>
      <protection locked="0"/>
    </xf>
    <xf numFmtId="0" fontId="19" fillId="0" borderId="57" xfId="4495" applyFont="1" applyBorder="1" applyAlignment="1">
      <alignment horizontal="left" vertical="center" wrapText="1"/>
    </xf>
    <xf numFmtId="0" fontId="19" fillId="0" borderId="58" xfId="4495" applyFont="1" applyBorder="1" applyAlignment="1">
      <alignment horizontal="left" vertical="center" wrapText="1"/>
    </xf>
    <xf numFmtId="0" fontId="19" fillId="0" borderId="59" xfId="4495" applyFont="1" applyBorder="1" applyAlignment="1">
      <alignment horizontal="left" vertical="center" wrapText="1"/>
    </xf>
    <xf numFmtId="10" fontId="124" fillId="0" borderId="3" xfId="4496" applyNumberFormat="1" applyFont="1" applyBorder="1" applyAlignment="1">
      <alignment horizontal="center" vertical="top" wrapText="1"/>
    </xf>
    <xf numFmtId="10" fontId="124" fillId="0" borderId="4" xfId="4496" applyNumberFormat="1" applyFont="1" applyBorder="1" applyAlignment="1">
      <alignment horizontal="center" vertical="top" wrapText="1"/>
    </xf>
    <xf numFmtId="10" fontId="124" fillId="0" borderId="5" xfId="4496" applyNumberFormat="1" applyFont="1" applyBorder="1" applyAlignment="1">
      <alignment horizontal="center" vertical="top" wrapText="1"/>
    </xf>
    <xf numFmtId="168" fontId="124" fillId="0" borderId="6" xfId="4496" applyNumberFormat="1" applyFont="1" applyBorder="1" applyAlignment="1">
      <alignment horizontal="center" vertical="top"/>
    </xf>
    <xf numFmtId="0" fontId="124" fillId="0" borderId="55" xfId="4496" applyFont="1" applyBorder="1" applyAlignment="1">
      <alignment horizontal="center" vertical="top" wrapText="1"/>
    </xf>
    <xf numFmtId="0" fontId="124" fillId="0" borderId="6" xfId="4496" applyFont="1" applyBorder="1" applyAlignment="1">
      <alignment horizontal="center" vertical="top" wrapText="1"/>
    </xf>
    <xf numFmtId="0" fontId="19" fillId="0" borderId="47" xfId="4495" applyFont="1" applyBorder="1" applyAlignment="1">
      <alignment horizontal="left" vertical="center" wrapText="1"/>
    </xf>
    <xf numFmtId="0" fontId="19" fillId="0" borderId="48" xfId="4495" applyFont="1" applyBorder="1" applyAlignment="1">
      <alignment horizontal="left" vertical="center" wrapText="1"/>
    </xf>
    <xf numFmtId="0" fontId="19" fillId="0" borderId="49" xfId="4495" applyFont="1" applyBorder="1" applyAlignment="1">
      <alignment horizontal="left" vertical="center" wrapText="1"/>
    </xf>
    <xf numFmtId="0" fontId="25" fillId="3" borderId="2" xfId="4495" applyFont="1" applyFill="1" applyBorder="1" applyAlignment="1">
      <alignment horizontal="center" vertical="center"/>
    </xf>
    <xf numFmtId="0" fontId="25" fillId="3" borderId="16" xfId="4495" applyFont="1" applyFill="1" applyBorder="1" applyAlignment="1">
      <alignment horizontal="center" vertical="center"/>
    </xf>
    <xf numFmtId="0" fontId="26" fillId="0" borderId="48" xfId="4495" applyFont="1" applyBorder="1" applyAlignment="1">
      <alignment horizontal="left" vertical="top"/>
    </xf>
    <xf numFmtId="0" fontId="26" fillId="0" borderId="49" xfId="4495" applyFont="1" applyBorder="1" applyAlignment="1">
      <alignment horizontal="left" vertical="top"/>
    </xf>
    <xf numFmtId="0" fontId="19" fillId="0" borderId="50" xfId="4495" applyFont="1" applyBorder="1" applyAlignment="1">
      <alignment vertical="center" wrapText="1"/>
    </xf>
    <xf numFmtId="0" fontId="19" fillId="0" borderId="51" xfId="4495" applyFont="1" applyBorder="1" applyAlignment="1">
      <alignment vertical="center" wrapText="1"/>
    </xf>
    <xf numFmtId="0" fontId="19" fillId="0" borderId="52" xfId="4495" applyFont="1" applyBorder="1" applyAlignment="1">
      <alignment vertical="center" wrapText="1"/>
    </xf>
    <xf numFmtId="0" fontId="19" fillId="0" borderId="53" xfId="4495" applyFont="1" applyBorder="1" applyAlignment="1">
      <alignment vertical="center" wrapText="1"/>
    </xf>
    <xf numFmtId="0" fontId="19" fillId="0" borderId="0" xfId="4495" applyFont="1" applyAlignment="1">
      <alignment vertical="center" wrapText="1"/>
    </xf>
    <xf numFmtId="0" fontId="19" fillId="0" borderId="54" xfId="4495" applyFont="1" applyBorder="1" applyAlignment="1">
      <alignment vertical="center" wrapText="1"/>
    </xf>
    <xf numFmtId="0" fontId="19" fillId="0" borderId="57" xfId="4495" applyFont="1" applyBorder="1" applyAlignment="1">
      <alignment vertical="center" wrapText="1"/>
    </xf>
    <xf numFmtId="0" fontId="19" fillId="0" borderId="58" xfId="4495" applyFont="1" applyBorder="1" applyAlignment="1">
      <alignment vertical="center" wrapText="1"/>
    </xf>
    <xf numFmtId="0" fontId="19" fillId="0" borderId="59" xfId="4495" applyFont="1" applyBorder="1" applyAlignment="1">
      <alignment vertical="center" wrapText="1"/>
    </xf>
    <xf numFmtId="0" fontId="124" fillId="0" borderId="57" xfId="4496" applyFont="1" applyBorder="1" applyAlignment="1">
      <alignment horizontal="left" vertical="top" wrapText="1"/>
    </xf>
    <xf numFmtId="0" fontId="124" fillId="0" borderId="58" xfId="4496" applyFont="1" applyBorder="1" applyAlignment="1">
      <alignment horizontal="left" vertical="top" wrapText="1"/>
    </xf>
    <xf numFmtId="0" fontId="124" fillId="0" borderId="59" xfId="4496" applyFont="1" applyBorder="1" applyAlignment="1">
      <alignment horizontal="left" vertical="top" wrapText="1"/>
    </xf>
    <xf numFmtId="165" fontId="124" fillId="0" borderId="60" xfId="4496" applyNumberFormat="1" applyFont="1" applyBorder="1" applyAlignment="1">
      <alignment horizontal="center" vertical="top" wrapText="1"/>
    </xf>
    <xf numFmtId="0" fontId="124" fillId="5" borderId="60" xfId="4496" applyFont="1" applyFill="1" applyBorder="1" applyAlignment="1" applyProtection="1">
      <alignment horizontal="center"/>
      <protection locked="0"/>
    </xf>
    <xf numFmtId="0" fontId="124" fillId="5" borderId="4" xfId="4496" applyFont="1" applyFill="1" applyBorder="1" applyAlignment="1" applyProtection="1">
      <alignment horizontal="center"/>
      <protection locked="0"/>
    </xf>
    <xf numFmtId="0" fontId="124" fillId="5" borderId="55" xfId="4496" applyFont="1" applyFill="1" applyBorder="1" applyAlignment="1" applyProtection="1">
      <alignment horizontal="center"/>
      <protection locked="0"/>
    </xf>
    <xf numFmtId="168" fontId="124" fillId="0" borderId="55" xfId="4496" applyNumberFormat="1" applyFont="1" applyBorder="1" applyAlignment="1">
      <alignment horizontal="center" vertical="top"/>
    </xf>
    <xf numFmtId="0" fontId="100" fillId="0" borderId="3" xfId="4496" applyFont="1" applyBorder="1" applyAlignment="1">
      <alignment horizontal="left" indent="2"/>
    </xf>
    <xf numFmtId="0" fontId="100" fillId="0" borderId="4" xfId="4496" applyFont="1" applyBorder="1" applyAlignment="1">
      <alignment horizontal="left" indent="2"/>
    </xf>
    <xf numFmtId="0" fontId="100" fillId="0" borderId="5" xfId="4496" applyFont="1" applyBorder="1" applyAlignment="1">
      <alignment horizontal="left" indent="2"/>
    </xf>
    <xf numFmtId="9" fontId="138" fillId="45" borderId="3" xfId="4499" applyFont="1" applyFill="1" applyBorder="1" applyAlignment="1" applyProtection="1">
      <alignment horizontal="center" vertical="center"/>
    </xf>
    <xf numFmtId="9" fontId="138" fillId="45" borderId="4" xfId="4499" applyFont="1" applyFill="1" applyBorder="1" applyAlignment="1" applyProtection="1">
      <alignment horizontal="center" vertical="center"/>
    </xf>
    <xf numFmtId="9" fontId="138" fillId="45" borderId="5" xfId="4499" applyFont="1" applyFill="1" applyBorder="1" applyAlignment="1" applyProtection="1">
      <alignment horizontal="center" vertical="center"/>
    </xf>
    <xf numFmtId="0" fontId="100" fillId="0" borderId="0" xfId="4496" applyFont="1" applyAlignment="1">
      <alignment wrapText="1"/>
    </xf>
    <xf numFmtId="49" fontId="100" fillId="45" borderId="15" xfId="4496" applyNumberFormat="1" applyFont="1" applyFill="1" applyBorder="1" applyAlignment="1">
      <alignment horizontal="center" vertical="center" wrapText="1"/>
    </xf>
    <xf numFmtId="49" fontId="100" fillId="45" borderId="13" xfId="4496" applyNumberFormat="1" applyFont="1" applyFill="1" applyBorder="1" applyAlignment="1">
      <alignment horizontal="center" vertical="center" wrapText="1"/>
    </xf>
    <xf numFmtId="0" fontId="138" fillId="0" borderId="75" xfId="4496" applyFont="1" applyBorder="1" applyAlignment="1">
      <alignment horizontal="center" vertical="top" wrapText="1"/>
    </xf>
    <xf numFmtId="0" fontId="138" fillId="0" borderId="74" xfId="4496" applyFont="1" applyBorder="1" applyAlignment="1">
      <alignment horizontal="center" vertical="top" wrapText="1"/>
    </xf>
    <xf numFmtId="0" fontId="100" fillId="0" borderId="0" xfId="4496" applyFont="1" applyAlignment="1">
      <alignment horizontal="left" wrapText="1"/>
    </xf>
    <xf numFmtId="0" fontId="100" fillId="0" borderId="0" xfId="4496" applyFont="1" applyAlignment="1">
      <alignment horizontal="center" vertical="center" wrapText="1"/>
    </xf>
    <xf numFmtId="0" fontId="100" fillId="43" borderId="0" xfId="4496" applyFont="1" applyFill="1" applyAlignment="1" applyProtection="1">
      <alignment horizontal="left" vertical="top" wrapText="1"/>
      <protection locked="0"/>
    </xf>
    <xf numFmtId="0" fontId="100" fillId="43" borderId="6" xfId="4496" applyFont="1" applyFill="1" applyBorder="1" applyAlignment="1" applyProtection="1">
      <alignment horizontal="left" vertical="top" wrapText="1"/>
      <protection locked="0"/>
    </xf>
    <xf numFmtId="0" fontId="100" fillId="0" borderId="0" xfId="4496" applyFont="1" applyAlignment="1">
      <alignment horizontal="left" wrapText="1" indent="1"/>
    </xf>
    <xf numFmtId="168" fontId="100" fillId="0" borderId="11" xfId="4499" applyNumberFormat="1" applyFont="1" applyFill="1" applyBorder="1" applyAlignment="1" applyProtection="1">
      <alignment horizontal="left" vertical="center" indent="1"/>
    </xf>
    <xf numFmtId="0" fontId="138" fillId="0" borderId="68" xfId="4496" applyFont="1" applyBorder="1" applyAlignment="1">
      <alignment horizontal="left" indent="1"/>
    </xf>
    <xf numFmtId="168" fontId="100" fillId="0" borderId="70" xfId="4499" applyNumberFormat="1" applyFont="1" applyFill="1" applyBorder="1" applyAlignment="1" applyProtection="1">
      <alignment horizontal="left" vertical="center" indent="1"/>
    </xf>
    <xf numFmtId="49" fontId="137" fillId="3" borderId="0" xfId="1192" applyNumberFormat="1" applyFont="1" applyFill="1" applyAlignment="1">
      <alignment horizontal="center" vertical="center"/>
    </xf>
    <xf numFmtId="0" fontId="100" fillId="0" borderId="11" xfId="4496" applyFont="1" applyBorder="1" applyAlignment="1">
      <alignment horizontal="left" indent="1"/>
    </xf>
    <xf numFmtId="0" fontId="100" fillId="0" borderId="11" xfId="4496" applyFont="1" applyBorder="1" applyAlignment="1">
      <alignment horizontal="left" indent="2"/>
    </xf>
    <xf numFmtId="0" fontId="138" fillId="45" borderId="3" xfId="4496" applyFont="1" applyFill="1" applyBorder="1" applyAlignment="1">
      <alignment horizontal="center" vertical="center"/>
    </xf>
    <xf numFmtId="0" fontId="138" fillId="45" borderId="4" xfId="4496" applyFont="1" applyFill="1" applyBorder="1" applyAlignment="1">
      <alignment horizontal="center" vertical="center"/>
    </xf>
    <xf numFmtId="0" fontId="138" fillId="45" borderId="5" xfId="4496" applyFont="1" applyFill="1" applyBorder="1" applyAlignment="1">
      <alignment horizontal="center" vertical="center"/>
    </xf>
    <xf numFmtId="168" fontId="100" fillId="0" borderId="13" xfId="4499" applyNumberFormat="1" applyFont="1" applyFill="1" applyBorder="1" applyAlignment="1" applyProtection="1">
      <alignment horizontal="left" vertical="center" indent="1"/>
    </xf>
    <xf numFmtId="0" fontId="100" fillId="0" borderId="3" xfId="4496" applyFont="1" applyBorder="1" applyAlignment="1">
      <alignment horizontal="left" indent="1"/>
    </xf>
    <xf numFmtId="0" fontId="100" fillId="0" borderId="4" xfId="4496" applyFont="1" applyBorder="1" applyAlignment="1">
      <alignment horizontal="left" indent="1"/>
    </xf>
    <xf numFmtId="0" fontId="100" fillId="0" borderId="5" xfId="4496" applyFont="1" applyBorder="1" applyAlignment="1">
      <alignment horizontal="left" indent="1"/>
    </xf>
    <xf numFmtId="0" fontId="100" fillId="0" borderId="3" xfId="4496" applyFont="1" applyBorder="1"/>
    <xf numFmtId="0" fontId="100" fillId="0" borderId="81" xfId="4496" applyFont="1" applyBorder="1"/>
    <xf numFmtId="0" fontId="100" fillId="0" borderId="94" xfId="4496" applyFont="1" applyBorder="1"/>
    <xf numFmtId="0" fontId="100" fillId="0" borderId="85" xfId="4496" applyFont="1" applyBorder="1"/>
    <xf numFmtId="0" fontId="100" fillId="0" borderId="93" xfId="4496" applyFont="1" applyBorder="1" applyAlignment="1">
      <alignment horizontal="right"/>
    </xf>
    <xf numFmtId="0" fontId="100" fillId="0" borderId="74" xfId="4496" applyFont="1" applyBorder="1" applyAlignment="1">
      <alignment horizontal="right"/>
    </xf>
    <xf numFmtId="0" fontId="100" fillId="0" borderId="75" xfId="4496" applyFont="1" applyBorder="1"/>
    <xf numFmtId="0" fontId="100" fillId="0" borderId="91" xfId="4496" applyFont="1" applyBorder="1"/>
    <xf numFmtId="0" fontId="100" fillId="0" borderId="90" xfId="4496" applyFont="1" applyBorder="1" applyAlignment="1">
      <alignment horizontal="right"/>
    </xf>
    <xf numFmtId="0" fontId="100" fillId="0" borderId="5" xfId="4496" applyFont="1" applyBorder="1" applyAlignment="1">
      <alignment horizontal="right"/>
    </xf>
    <xf numFmtId="0" fontId="100" fillId="0" borderId="69" xfId="4496" applyFont="1" applyBorder="1" applyAlignment="1">
      <alignment horizontal="right"/>
    </xf>
    <xf numFmtId="0" fontId="100" fillId="0" borderId="70" xfId="4496" applyFont="1" applyBorder="1" applyAlignment="1">
      <alignment horizontal="right"/>
    </xf>
    <xf numFmtId="0" fontId="24" fillId="0" borderId="6" xfId="271" applyFont="1" applyBorder="1" applyAlignment="1">
      <alignment horizontal="center"/>
    </xf>
    <xf numFmtId="0" fontId="24" fillId="0" borderId="0" xfId="0" applyFont="1" applyAlignment="1" applyProtection="1">
      <alignment wrapText="1"/>
      <protection locked="0"/>
    </xf>
    <xf numFmtId="3" fontId="19" fillId="0" borderId="0" xfId="0" applyNumberFormat="1" applyFont="1" applyAlignment="1">
      <alignment horizontal="left" vertical="top" wrapText="1"/>
    </xf>
    <xf numFmtId="3" fontId="28" fillId="0" borderId="0" xfId="0" applyNumberFormat="1" applyFont="1" applyAlignment="1">
      <alignment horizontal="left" vertical="top" wrapText="1"/>
    </xf>
    <xf numFmtId="0" fontId="19" fillId="43" borderId="0" xfId="0" applyFont="1" applyFill="1" applyAlignment="1">
      <alignment horizontal="left"/>
    </xf>
  </cellXfs>
  <cellStyles count="44252">
    <cellStyle name="20% - Accent1" xfId="1" builtinId="30" customBuiltin="1"/>
    <cellStyle name="20% - Accent1 10" xfId="4504" xr:uid="{00000000-0005-0000-0000-000001000000}"/>
    <cellStyle name="20% - Accent1 10 2" xfId="40022" xr:uid="{2C88806D-3C2D-4048-9982-C685D23BA691}"/>
    <cellStyle name="20% - Accent1 10 3" xfId="31575" xr:uid="{0C1BE852-0896-445E-90E2-0CD76AFE8243}"/>
    <cellStyle name="20% - Accent1 10 4" xfId="23127" xr:uid="{1960E3C4-4EAA-4038-A890-BB62417A5DE3}"/>
    <cellStyle name="20% - Accent1 10 5" xfId="13830" xr:uid="{E7017A5E-180E-47B6-8FF8-C00EEFFA8BAB}"/>
    <cellStyle name="20% - Accent1 11" xfId="8758" xr:uid="{2F735C8D-70CB-4E84-A95A-4445894745BC}"/>
    <cellStyle name="20% - Accent1 11 2" xfId="35805" xr:uid="{813E3E3E-A581-4BC3-A27F-C49134B164F8}"/>
    <cellStyle name="20% - Accent1 11 3" xfId="18081" xr:uid="{D2CAFA1A-F3DD-44FC-B948-ACB9D26DD280}"/>
    <cellStyle name="20% - Accent1 12" xfId="27357" xr:uid="{D1591A83-7BC9-4F16-8FE8-5C00302B73E0}"/>
    <cellStyle name="20% - Accent1 13" xfId="18910" xr:uid="{13CCAA86-6385-42F9-BB11-34F2FAE751C6}"/>
    <cellStyle name="20% - Accent1 14" xfId="9613" xr:uid="{4C47463F-3F97-4BB9-8667-4192E00EB45F}"/>
    <cellStyle name="20% - Accent1 2" xfId="2" xr:uid="{00000000-0005-0000-0000-000002000000}"/>
    <cellStyle name="20% - Accent1 2 10" xfId="8797" xr:uid="{7F4BEAE6-CC35-4B07-89BD-8FC5D6B3D35B}"/>
    <cellStyle name="20% - Accent1 2 10 2" xfId="35806" xr:uid="{C290BE52-9309-4B1B-AD2C-323A4EDDC582}"/>
    <cellStyle name="20% - Accent1 2 10 3" xfId="18120" xr:uid="{0109B491-197C-43BF-BF68-C2AB6B80A38C}"/>
    <cellStyle name="20% - Accent1 2 11" xfId="27358" xr:uid="{A50F2E3F-FE7A-49C9-A8CD-84D8AEABE965}"/>
    <cellStyle name="20% - Accent1 2 12" xfId="18911" xr:uid="{015A7DFD-7C71-44BD-8D09-63B8311DB3D4}"/>
    <cellStyle name="20% - Accent1 2 13" xfId="9614" xr:uid="{9F3ED3C0-F86B-4A6A-AF31-D150994C6CAA}"/>
    <cellStyle name="20% - Accent1 2 2" xfId="3" xr:uid="{00000000-0005-0000-0000-000003000000}"/>
    <cellStyle name="20% - Accent1 2 2 10" xfId="27359" xr:uid="{9C7E73E3-03B8-4533-9462-0C500A2144C0}"/>
    <cellStyle name="20% - Accent1 2 2 11" xfId="18912" xr:uid="{261F2F91-B42B-4636-B94A-88A06F699E30}"/>
    <cellStyle name="20% - Accent1 2 2 12" xfId="9615" xr:uid="{02579895-FC1D-4B58-8987-B74F8CA95A74}"/>
    <cellStyle name="20% - Accent1 2 2 2" xfId="4" xr:uid="{00000000-0005-0000-0000-000004000000}"/>
    <cellStyle name="20% - Accent1 2 2 2 10" xfId="18913" xr:uid="{C6043407-980A-449B-A91F-E8D3A3D04C4E}"/>
    <cellStyle name="20% - Accent1 2 2 2 11" xfId="9616" xr:uid="{E40EF775-8E55-4991-9268-0B2E31AA9A7D}"/>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42584" xr:uid="{8F3A65B7-3722-4112-B858-10B2EE1206DB}"/>
    <cellStyle name="20% - Accent1 2 2 2 2 2 2 3" xfId="34137" xr:uid="{CB9D5E4E-CE91-4EF5-96ED-DA8E5F8B8921}"/>
    <cellStyle name="20% - Accent1 2 2 2 2 2 2 4" xfId="25689" xr:uid="{03974890-3F98-4927-9C3E-6F7DE080ACDE}"/>
    <cellStyle name="20% - Accent1 2 2 2 2 2 2 5" xfId="16392" xr:uid="{0363E54C-08E6-4EBB-9A07-89DB09CE925B}"/>
    <cellStyle name="20% - Accent1 2 2 2 2 2 3" xfId="38367" xr:uid="{9680EC62-2E8A-4B9D-B7C9-14B89C6EBB75}"/>
    <cellStyle name="20% - Accent1 2 2 2 2 2 4" xfId="29919" xr:uid="{5B0C4C52-EB16-4620-8FBA-C18616A7AE07}"/>
    <cellStyle name="20% - Accent1 2 2 2 2 2 5" xfId="21472" xr:uid="{A51768F4-34C4-4850-B79D-E35F0E4F9301}"/>
    <cellStyle name="20% - Accent1 2 2 2 2 2 6" xfId="12175" xr:uid="{DD39746D-8867-482F-B929-D756FD52D966}"/>
    <cellStyle name="20% - Accent1 2 2 2 2 3" xfId="4921" xr:uid="{00000000-0005-0000-0000-000008000000}"/>
    <cellStyle name="20% - Accent1 2 2 2 2 3 2" xfId="40439" xr:uid="{F44BC6F4-E5E3-4D5A-8418-0D4F41092D3D}"/>
    <cellStyle name="20% - Accent1 2 2 2 2 3 3" xfId="31992" xr:uid="{8BAB4D0F-1DFC-4DFF-9B4E-BFC51FC2CA6C}"/>
    <cellStyle name="20% - Accent1 2 2 2 2 3 4" xfId="23544" xr:uid="{9007B51A-5BA3-441E-A606-340578E313B4}"/>
    <cellStyle name="20% - Accent1 2 2 2 2 3 5" xfId="14247" xr:uid="{5BA25FB4-222A-49C6-8E68-3D0BA753F368}"/>
    <cellStyle name="20% - Accent1 2 2 2 2 4" xfId="9532" xr:uid="{D5FAB462-C5A9-4306-AA37-C118C84F9393}"/>
    <cellStyle name="20% - Accent1 2 2 2 2 4 2" xfId="36222" xr:uid="{A1A93CA0-5BF2-410D-AA96-916BB686EE02}"/>
    <cellStyle name="20% - Accent1 2 2 2 2 4 3" xfId="18845" xr:uid="{CCB37A62-BEBF-465F-9F3F-A0275D397652}"/>
    <cellStyle name="20% - Accent1 2 2 2 2 5" xfId="27774" xr:uid="{64B82ACF-9F79-452D-BE1E-E00E3426A3CA}"/>
    <cellStyle name="20% - Accent1 2 2 2 2 6" xfId="19327" xr:uid="{2816345C-F48F-4A8F-BD91-B85A18CCC4EF}"/>
    <cellStyle name="20% - Accent1 2 2 2 2 7" xfId="10030" xr:uid="{EC76AFC2-8428-4FED-8979-B88563E18B2B}"/>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42997" xr:uid="{78B5E51E-F5F0-437B-9656-77953397C99C}"/>
    <cellStyle name="20% - Accent1 2 2 2 3 2 2 3" xfId="34550" xr:uid="{0776529D-1E0B-40BE-AB72-074631D71431}"/>
    <cellStyle name="20% - Accent1 2 2 2 3 2 2 4" xfId="26102" xr:uid="{18094846-FDDF-4289-9D3E-C6740867D33D}"/>
    <cellStyle name="20% - Accent1 2 2 2 3 2 2 5" xfId="16805" xr:uid="{81458F5F-3E58-4237-A1EB-18CC560B65A0}"/>
    <cellStyle name="20% - Accent1 2 2 2 3 2 3" xfId="38780" xr:uid="{30A92C89-F88B-4F7E-9000-E126E81360E0}"/>
    <cellStyle name="20% - Accent1 2 2 2 3 2 4" xfId="30332" xr:uid="{2FD85BE4-996B-4E65-986D-A0F4EBEE31B9}"/>
    <cellStyle name="20% - Accent1 2 2 2 3 2 5" xfId="21885" xr:uid="{A42D13D9-A66B-4525-99E1-FDE921B93AD0}"/>
    <cellStyle name="20% - Accent1 2 2 2 3 2 6" xfId="12588" xr:uid="{913F63A0-2416-4366-8C44-323DD895171C}"/>
    <cellStyle name="20% - Accent1 2 2 2 3 3" xfId="5334" xr:uid="{00000000-0005-0000-0000-00000C000000}"/>
    <cellStyle name="20% - Accent1 2 2 2 3 3 2" xfId="40852" xr:uid="{1AAE03A9-4BE0-4D3C-9B9B-506EE982915B}"/>
    <cellStyle name="20% - Accent1 2 2 2 3 3 3" xfId="32405" xr:uid="{226311CC-4561-46EC-8782-4E3D023700BA}"/>
    <cellStyle name="20% - Accent1 2 2 2 3 3 4" xfId="23957" xr:uid="{66D09712-D015-4457-A7E7-C45951E6CB73}"/>
    <cellStyle name="20% - Accent1 2 2 2 3 3 5" xfId="14660" xr:uid="{FED9BD37-8CD6-4D6B-B546-B2577C2F1E47}"/>
    <cellStyle name="20% - Accent1 2 2 2 3 4" xfId="36635" xr:uid="{D81957FC-DCEE-47F4-B4F2-F6D83CB92897}"/>
    <cellStyle name="20% - Accent1 2 2 2 3 5" xfId="28187" xr:uid="{6158645F-AC30-45F6-A406-9C821426CF5F}"/>
    <cellStyle name="20% - Accent1 2 2 2 3 6" xfId="19740" xr:uid="{4881C55E-F5BE-4C4F-8A1A-5701876E426F}"/>
    <cellStyle name="20% - Accent1 2 2 2 3 7" xfId="10443" xr:uid="{D48B7524-CFB4-45BF-9C0B-F43F216F8264}"/>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43410" xr:uid="{F4BFFB0A-9E69-46FD-ACDC-C80617BB8DBF}"/>
    <cellStyle name="20% - Accent1 2 2 2 4 2 2 3" xfId="34963" xr:uid="{E28BA498-CF10-43AD-A4B9-52B05B12D46E}"/>
    <cellStyle name="20% - Accent1 2 2 2 4 2 2 4" xfId="26515" xr:uid="{B128F361-F94E-4693-AAE2-EAE214694EE6}"/>
    <cellStyle name="20% - Accent1 2 2 2 4 2 2 5" xfId="17218" xr:uid="{9D69D80B-9B7C-47C8-9A09-1BAFE7DB0570}"/>
    <cellStyle name="20% - Accent1 2 2 2 4 2 3" xfId="39193" xr:uid="{736ED918-D27B-4918-BCBA-064F22C3565E}"/>
    <cellStyle name="20% - Accent1 2 2 2 4 2 4" xfId="30745" xr:uid="{54A28CE2-281C-4386-860C-07E7B7B65CA7}"/>
    <cellStyle name="20% - Accent1 2 2 2 4 2 5" xfId="22298" xr:uid="{1AC2208B-DCDD-4870-BF3E-B13B9894A031}"/>
    <cellStyle name="20% - Accent1 2 2 2 4 2 6" xfId="13001" xr:uid="{0B801558-42AD-47A5-A65D-48422D3FF10B}"/>
    <cellStyle name="20% - Accent1 2 2 2 4 3" xfId="5747" xr:uid="{00000000-0005-0000-0000-000010000000}"/>
    <cellStyle name="20% - Accent1 2 2 2 4 3 2" xfId="41265" xr:uid="{2AA75000-C001-4880-8E08-3FBC36E429EA}"/>
    <cellStyle name="20% - Accent1 2 2 2 4 3 3" xfId="32818" xr:uid="{369C6091-AD88-48E7-A9DD-66F6635490F8}"/>
    <cellStyle name="20% - Accent1 2 2 2 4 3 4" xfId="24370" xr:uid="{B0638547-AE49-4998-AAAA-C08CBF2EDC0A}"/>
    <cellStyle name="20% - Accent1 2 2 2 4 3 5" xfId="15073" xr:uid="{3CC60C3A-F1E4-4626-8D8D-95097D09A1F1}"/>
    <cellStyle name="20% - Accent1 2 2 2 4 4" xfId="37048" xr:uid="{33106799-210B-4784-B13B-DEA9B3F082E0}"/>
    <cellStyle name="20% - Accent1 2 2 2 4 5" xfId="28600" xr:uid="{1F123E5E-AE69-46F8-84D4-21138D86C2A0}"/>
    <cellStyle name="20% - Accent1 2 2 2 4 6" xfId="20153" xr:uid="{07EB5214-0773-4186-87A3-9E0F52DBC2E5}"/>
    <cellStyle name="20% - Accent1 2 2 2 4 7" xfId="10856" xr:uid="{AFC559A8-C38E-4F3E-9D78-9D27EC683739}"/>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43823" xr:uid="{DC59B728-1D67-4156-AB3F-1C517ECCFD72}"/>
    <cellStyle name="20% - Accent1 2 2 2 5 2 2 3" xfId="35376" xr:uid="{895F2918-6122-4151-AB77-2A5F3C031970}"/>
    <cellStyle name="20% - Accent1 2 2 2 5 2 2 4" xfId="26928" xr:uid="{217D6D55-C991-446F-AEDD-623342392A50}"/>
    <cellStyle name="20% - Accent1 2 2 2 5 2 2 5" xfId="17631" xr:uid="{8413582E-6A2D-462E-8CEE-410E710CE586}"/>
    <cellStyle name="20% - Accent1 2 2 2 5 2 3" xfId="39606" xr:uid="{0D6F73F4-BCB6-4198-AF2E-D41B3634219C}"/>
    <cellStyle name="20% - Accent1 2 2 2 5 2 4" xfId="31158" xr:uid="{EFCE416F-1954-4A9D-A781-8BABB53D4C56}"/>
    <cellStyle name="20% - Accent1 2 2 2 5 2 5" xfId="22711" xr:uid="{84D96FEA-100D-400C-81A7-393FEB708451}"/>
    <cellStyle name="20% - Accent1 2 2 2 5 2 6" xfId="13414" xr:uid="{3455D107-92C2-4782-9FFB-2C667E330CC4}"/>
    <cellStyle name="20% - Accent1 2 2 2 5 3" xfId="6160" xr:uid="{00000000-0005-0000-0000-000014000000}"/>
    <cellStyle name="20% - Accent1 2 2 2 5 3 2" xfId="41678" xr:uid="{3DCC6D55-E7D8-456A-B834-E7446253E9A4}"/>
    <cellStyle name="20% - Accent1 2 2 2 5 3 3" xfId="33231" xr:uid="{2358D65D-BE16-4902-BF9A-0B45A73F4617}"/>
    <cellStyle name="20% - Accent1 2 2 2 5 3 4" xfId="24783" xr:uid="{DA0C8187-272D-4377-AE33-5DA0DD359999}"/>
    <cellStyle name="20% - Accent1 2 2 2 5 3 5" xfId="15486" xr:uid="{3A3F105C-9E90-4F0A-B326-C4935AE58929}"/>
    <cellStyle name="20% - Accent1 2 2 2 5 4" xfId="37461" xr:uid="{6864C562-0EE7-42E8-9C53-7CCFF164F107}"/>
    <cellStyle name="20% - Accent1 2 2 2 5 5" xfId="29013" xr:uid="{45B96B98-268B-4AA7-8DE7-C52C1A92F575}"/>
    <cellStyle name="20% - Accent1 2 2 2 5 6" xfId="20566" xr:uid="{ED990106-0EB7-4AB7-92CA-9A394605CEBB}"/>
    <cellStyle name="20% - Accent1 2 2 2 5 7" xfId="11269" xr:uid="{B09F4889-188A-452C-A7A9-B782C05BC0E5}"/>
    <cellStyle name="20% - Accent1 2 2 2 6" xfId="2267" xr:uid="{00000000-0005-0000-0000-000015000000}"/>
    <cellStyle name="20% - Accent1 2 2 2 6 2" xfId="6573" xr:uid="{00000000-0005-0000-0000-000016000000}"/>
    <cellStyle name="20% - Accent1 2 2 2 6 2 2" xfId="42091" xr:uid="{4793E574-63E3-46DE-9738-84DAC866B0F3}"/>
    <cellStyle name="20% - Accent1 2 2 2 6 2 3" xfId="33644" xr:uid="{083E78AA-59E2-4A0E-8807-A69BD6C80F8D}"/>
    <cellStyle name="20% - Accent1 2 2 2 6 2 4" xfId="25196" xr:uid="{FC7C38EE-64D5-4608-921A-E0F92F055219}"/>
    <cellStyle name="20% - Accent1 2 2 2 6 2 5" xfId="15899" xr:uid="{DA54F5D0-A801-452D-859D-917A676F0532}"/>
    <cellStyle name="20% - Accent1 2 2 2 6 3" xfId="37874" xr:uid="{D47FB1CC-354D-4F1E-9BE3-DBC7679E4302}"/>
    <cellStyle name="20% - Accent1 2 2 2 6 4" xfId="29426" xr:uid="{D264D8A5-974B-4D4D-905C-FF42675384F4}"/>
    <cellStyle name="20% - Accent1 2 2 2 6 5" xfId="20979" xr:uid="{67B7AF9D-4BDE-483E-B94A-C5F1DE954256}"/>
    <cellStyle name="20% - Accent1 2 2 2 6 6" xfId="11682" xr:uid="{8AC5EED2-0D7D-404F-9D8F-C4560A966459}"/>
    <cellStyle name="20% - Accent1 2 2 2 7" xfId="4507" xr:uid="{00000000-0005-0000-0000-000017000000}"/>
    <cellStyle name="20% - Accent1 2 2 2 7 2" xfId="40025" xr:uid="{4E0324A1-A237-4EEA-B2C8-6DA5CE0BDFE6}"/>
    <cellStyle name="20% - Accent1 2 2 2 7 3" xfId="31578" xr:uid="{C558AAA4-E128-4E96-BDDA-60929495CDA0}"/>
    <cellStyle name="20% - Accent1 2 2 2 7 4" xfId="23130" xr:uid="{1A4378FF-CB63-47CD-ADAE-B6A539D468D7}"/>
    <cellStyle name="20% - Accent1 2 2 2 7 5" xfId="13833" xr:uid="{10D8FD30-25A7-405F-AF8A-AEDF24E7C4F6}"/>
    <cellStyle name="20% - Accent1 2 2 2 8" xfId="9107" xr:uid="{4168D01E-823F-4E8F-9A1D-70697AC1F241}"/>
    <cellStyle name="20% - Accent1 2 2 2 8 2" xfId="35808" xr:uid="{95FF0E83-2811-4065-899B-F3D56DA96C3E}"/>
    <cellStyle name="20% - Accent1 2 2 2 8 3" xfId="18430" xr:uid="{DC07BF03-2ADD-4678-B0E3-9EC80A715E35}"/>
    <cellStyle name="20% - Accent1 2 2 2 9" xfId="27360" xr:uid="{F5E0E21E-F2D7-44AB-BAB3-0AB9CEC617C4}"/>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42583" xr:uid="{60C72F95-E103-4136-9F66-E5913120E181}"/>
    <cellStyle name="20% - Accent1 2 2 3 2 2 3" xfId="34136" xr:uid="{B30978C9-E033-48C1-85DE-715CB5363C44}"/>
    <cellStyle name="20% - Accent1 2 2 3 2 2 4" xfId="25688" xr:uid="{64A01871-EADC-4E0E-AA1F-F2B77E4C1C99}"/>
    <cellStyle name="20% - Accent1 2 2 3 2 2 5" xfId="16391" xr:uid="{7BB52CE7-4BED-4769-9460-4D939EE07DFB}"/>
    <cellStyle name="20% - Accent1 2 2 3 2 3" xfId="38366" xr:uid="{8F93494B-099A-49B0-AFFE-827F4CB16619}"/>
    <cellStyle name="20% - Accent1 2 2 3 2 4" xfId="29918" xr:uid="{7C717BAF-47AB-40E9-9564-AA27304CE01E}"/>
    <cellStyle name="20% - Accent1 2 2 3 2 5" xfId="21471" xr:uid="{737BD421-3C3B-4D08-BE15-78B8815D3B4D}"/>
    <cellStyle name="20% - Accent1 2 2 3 2 6" xfId="12174" xr:uid="{43A9E2C7-266A-4C21-B52C-2C1B07502742}"/>
    <cellStyle name="20% - Accent1 2 2 3 3" xfId="4920" xr:uid="{00000000-0005-0000-0000-00001B000000}"/>
    <cellStyle name="20% - Accent1 2 2 3 3 2" xfId="40438" xr:uid="{3F3AED6A-7D74-45B3-9B80-24D5EB067D13}"/>
    <cellStyle name="20% - Accent1 2 2 3 3 3" xfId="31991" xr:uid="{D50A7674-1B3F-4A90-96C7-1F04FE039344}"/>
    <cellStyle name="20% - Accent1 2 2 3 3 4" xfId="23543" xr:uid="{A24CF168-B864-4259-BC23-421EF107502E}"/>
    <cellStyle name="20% - Accent1 2 2 3 3 5" xfId="14246" xr:uid="{916B978B-000B-4C73-B1BB-B3B9D005AC0C}"/>
    <cellStyle name="20% - Accent1 2 2 3 4" xfId="9325" xr:uid="{DE19910B-698B-4F31-B25F-3533B35DDA95}"/>
    <cellStyle name="20% - Accent1 2 2 3 4 2" xfId="36221" xr:uid="{563EEB14-DFAB-43DC-B5B1-AAB86905F6F1}"/>
    <cellStyle name="20% - Accent1 2 2 3 4 3" xfId="18638" xr:uid="{2223931C-DA8E-414F-90D8-3AB94FB65A32}"/>
    <cellStyle name="20% - Accent1 2 2 3 5" xfId="27773" xr:uid="{C79B4FEF-D02D-41D1-8963-BF2E3631642D}"/>
    <cellStyle name="20% - Accent1 2 2 3 6" xfId="19326" xr:uid="{B3F80FEB-E032-4E2F-9723-257E9BC64367}"/>
    <cellStyle name="20% - Accent1 2 2 3 7" xfId="10029" xr:uid="{AC6C376F-B9C4-4C9E-9A98-B167EA7B2F3E}"/>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42996" xr:uid="{D15FA311-87CC-47DD-81A1-7F4D92956E0D}"/>
    <cellStyle name="20% - Accent1 2 2 4 2 2 3" xfId="34549" xr:uid="{1BA38238-78F8-4415-8924-D487DC8C7E56}"/>
    <cellStyle name="20% - Accent1 2 2 4 2 2 4" xfId="26101" xr:uid="{BA9EC202-2222-4DD5-8BB1-7567B3E70AAF}"/>
    <cellStyle name="20% - Accent1 2 2 4 2 2 5" xfId="16804" xr:uid="{67325F2D-768F-4D42-95CC-58ED6C1D5F37}"/>
    <cellStyle name="20% - Accent1 2 2 4 2 3" xfId="38779" xr:uid="{BF1C0261-82BF-4C58-81E6-2A0603A20B6C}"/>
    <cellStyle name="20% - Accent1 2 2 4 2 4" xfId="30331" xr:uid="{440C73EC-9C47-4414-8447-7FECC1025374}"/>
    <cellStyle name="20% - Accent1 2 2 4 2 5" xfId="21884" xr:uid="{D14E2292-EEA7-4900-B967-5E689EE5E6D4}"/>
    <cellStyle name="20% - Accent1 2 2 4 2 6" xfId="12587" xr:uid="{F7230603-1233-443F-9F78-5824D2A87D2B}"/>
    <cellStyle name="20% - Accent1 2 2 4 3" xfId="5333" xr:uid="{00000000-0005-0000-0000-00001F000000}"/>
    <cellStyle name="20% - Accent1 2 2 4 3 2" xfId="40851" xr:uid="{B1B92C3A-53E4-4E8E-9D6E-ED065628AC17}"/>
    <cellStyle name="20% - Accent1 2 2 4 3 3" xfId="32404" xr:uid="{00B59C43-567D-46EB-A5D8-90FA2BFF367F}"/>
    <cellStyle name="20% - Accent1 2 2 4 3 4" xfId="23956" xr:uid="{861D6925-F78E-4C07-BB7E-19A4E6D9CA3C}"/>
    <cellStyle name="20% - Accent1 2 2 4 3 5" xfId="14659" xr:uid="{006062BB-0250-4564-AFCB-E5F1D8EC3F83}"/>
    <cellStyle name="20% - Accent1 2 2 4 4" xfId="36634" xr:uid="{ABA1FF33-BC71-484E-90DC-FC5326A42C30}"/>
    <cellStyle name="20% - Accent1 2 2 4 5" xfId="28186" xr:uid="{56456BFE-2C12-4CF6-9820-FA53650F3F3A}"/>
    <cellStyle name="20% - Accent1 2 2 4 6" xfId="19739" xr:uid="{B27DBCA9-AD02-4578-9548-C8E0A4A2063F}"/>
    <cellStyle name="20% - Accent1 2 2 4 7" xfId="10442" xr:uid="{16DFF7AC-6A37-47AE-AC8B-C845C0B31965}"/>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43409" xr:uid="{F490CDC6-9DEB-467B-B67B-48226ECE42D8}"/>
    <cellStyle name="20% - Accent1 2 2 5 2 2 3" xfId="34962" xr:uid="{1F63EFE1-5621-4E08-9019-A3C80F1F2687}"/>
    <cellStyle name="20% - Accent1 2 2 5 2 2 4" xfId="26514" xr:uid="{9D9BFB1F-7601-41E8-8617-0532CAEE4C4B}"/>
    <cellStyle name="20% - Accent1 2 2 5 2 2 5" xfId="17217" xr:uid="{BC9D98A2-F21E-4F03-AAA8-0E73BCEA1A61}"/>
    <cellStyle name="20% - Accent1 2 2 5 2 3" xfId="39192" xr:uid="{CC24C720-BF8A-4F14-B4DD-9557BE6CA640}"/>
    <cellStyle name="20% - Accent1 2 2 5 2 4" xfId="30744" xr:uid="{63D1C929-164A-4FD5-906B-F5CACEA6E749}"/>
    <cellStyle name="20% - Accent1 2 2 5 2 5" xfId="22297" xr:uid="{3110E398-AF56-488A-99D1-C5828D0B4AF1}"/>
    <cellStyle name="20% - Accent1 2 2 5 2 6" xfId="13000" xr:uid="{63621621-CF69-4EA3-A211-397012CF5041}"/>
    <cellStyle name="20% - Accent1 2 2 5 3" xfId="5746" xr:uid="{00000000-0005-0000-0000-000023000000}"/>
    <cellStyle name="20% - Accent1 2 2 5 3 2" xfId="41264" xr:uid="{C65367AB-FC02-4126-B72F-BB6B6AAE9B2C}"/>
    <cellStyle name="20% - Accent1 2 2 5 3 3" xfId="32817" xr:uid="{0D592D93-D024-4484-A4FA-0667EBE6B559}"/>
    <cellStyle name="20% - Accent1 2 2 5 3 4" xfId="24369" xr:uid="{7F1C0B9F-F154-433B-AE54-B8969498B65D}"/>
    <cellStyle name="20% - Accent1 2 2 5 3 5" xfId="15072" xr:uid="{9CD359C2-5A29-490D-8CC1-F3CEE04F4DEB}"/>
    <cellStyle name="20% - Accent1 2 2 5 4" xfId="37047" xr:uid="{78672461-2968-4433-B291-403467B893EF}"/>
    <cellStyle name="20% - Accent1 2 2 5 5" xfId="28599" xr:uid="{C90BFB35-06CE-47D9-A54B-12F1B1C3A718}"/>
    <cellStyle name="20% - Accent1 2 2 5 6" xfId="20152" xr:uid="{8D3BC166-7C34-4A37-9C6B-B10DC0FBFA13}"/>
    <cellStyle name="20% - Accent1 2 2 5 7" xfId="10855" xr:uid="{8CFF68F7-AEBC-441F-9188-069F62EA5578}"/>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43822" xr:uid="{57979550-1786-46AC-948F-12F55B91BFD5}"/>
    <cellStyle name="20% - Accent1 2 2 6 2 2 3" xfId="35375" xr:uid="{E3CAD946-9A51-4EBB-9273-BDCDD236B3A1}"/>
    <cellStyle name="20% - Accent1 2 2 6 2 2 4" xfId="26927" xr:uid="{BC496D93-E34A-428A-B94B-279A58964E64}"/>
    <cellStyle name="20% - Accent1 2 2 6 2 2 5" xfId="17630" xr:uid="{F3410F2D-05AF-4258-8C4C-565B463F7B46}"/>
    <cellStyle name="20% - Accent1 2 2 6 2 3" xfId="39605" xr:uid="{F69E6EA3-F9B7-4C3B-B1AB-4E34D03A38F9}"/>
    <cellStyle name="20% - Accent1 2 2 6 2 4" xfId="31157" xr:uid="{504C6454-756A-4AC5-9CD7-4DDFBF9A72E6}"/>
    <cellStyle name="20% - Accent1 2 2 6 2 5" xfId="22710" xr:uid="{D337C591-5E8F-4F9F-ACCB-7ADF6E18A394}"/>
    <cellStyle name="20% - Accent1 2 2 6 2 6" xfId="13413" xr:uid="{D29B43AC-F9A7-4D85-B7DC-AB0D4986E776}"/>
    <cellStyle name="20% - Accent1 2 2 6 3" xfId="6159" xr:uid="{00000000-0005-0000-0000-000027000000}"/>
    <cellStyle name="20% - Accent1 2 2 6 3 2" xfId="41677" xr:uid="{086A21CC-9678-4EE6-B39A-E3DA70DDA8D1}"/>
    <cellStyle name="20% - Accent1 2 2 6 3 3" xfId="33230" xr:uid="{9121E2BA-87A3-49AE-8A46-06B38B3FE957}"/>
    <cellStyle name="20% - Accent1 2 2 6 3 4" xfId="24782" xr:uid="{CC2F26F5-1456-4F55-BD4F-1D6B9D018A78}"/>
    <cellStyle name="20% - Accent1 2 2 6 3 5" xfId="15485" xr:uid="{82FE02E5-115E-4B05-BFD8-828974934D47}"/>
    <cellStyle name="20% - Accent1 2 2 6 4" xfId="37460" xr:uid="{55F6ADA1-3405-42B4-9D6D-076DB29C9CC4}"/>
    <cellStyle name="20% - Accent1 2 2 6 5" xfId="29012" xr:uid="{EA2AB321-28D0-422F-92ED-C5D1A0F4536B}"/>
    <cellStyle name="20% - Accent1 2 2 6 6" xfId="20565" xr:uid="{91254EF4-D2D1-4DA2-A323-573D4292E2FF}"/>
    <cellStyle name="20% - Accent1 2 2 6 7" xfId="11268" xr:uid="{ACBC72A8-D81C-4D62-98C3-341BA7FD26B0}"/>
    <cellStyle name="20% - Accent1 2 2 7" xfId="2266" xr:uid="{00000000-0005-0000-0000-000028000000}"/>
    <cellStyle name="20% - Accent1 2 2 7 2" xfId="6572" xr:uid="{00000000-0005-0000-0000-000029000000}"/>
    <cellStyle name="20% - Accent1 2 2 7 2 2" xfId="42090" xr:uid="{D2DBB342-E5DE-46AA-AF4C-65C012B82AEE}"/>
    <cellStyle name="20% - Accent1 2 2 7 2 3" xfId="33643" xr:uid="{79EBC39D-BB2E-4126-B444-A21EA9A5D394}"/>
    <cellStyle name="20% - Accent1 2 2 7 2 4" xfId="25195" xr:uid="{7558FE1A-788B-4D7B-B6CB-07E486225DC8}"/>
    <cellStyle name="20% - Accent1 2 2 7 2 5" xfId="15898" xr:uid="{A799EF26-9F7F-4F43-B173-3794107BA962}"/>
    <cellStyle name="20% - Accent1 2 2 7 3" xfId="37873" xr:uid="{4E1137C4-C486-46EF-BBE3-094A8DA8E144}"/>
    <cellStyle name="20% - Accent1 2 2 7 4" xfId="29425" xr:uid="{3CCB402F-526A-4D29-B23D-334296A56CC5}"/>
    <cellStyle name="20% - Accent1 2 2 7 5" xfId="20978" xr:uid="{C1160E26-E164-4C66-855C-C1F5CC647F9B}"/>
    <cellStyle name="20% - Accent1 2 2 7 6" xfId="11681" xr:uid="{6EFC459E-37E4-4341-8E6E-D09790909459}"/>
    <cellStyle name="20% - Accent1 2 2 8" xfId="4506" xr:uid="{00000000-0005-0000-0000-00002A000000}"/>
    <cellStyle name="20% - Accent1 2 2 8 2" xfId="40024" xr:uid="{7CD69A6D-32D7-40D4-947A-6EE9C192DE03}"/>
    <cellStyle name="20% - Accent1 2 2 8 3" xfId="31577" xr:uid="{39E3D9F4-8970-4166-B226-050AE42553C7}"/>
    <cellStyle name="20% - Accent1 2 2 8 4" xfId="23129" xr:uid="{8288E80E-01F7-41FC-8FAB-345D8FA0793D}"/>
    <cellStyle name="20% - Accent1 2 2 8 5" xfId="13832" xr:uid="{95B69650-E606-470E-AC33-97DF6C050974}"/>
    <cellStyle name="20% - Accent1 2 2 9" xfId="8900" xr:uid="{7D7E3EAF-DF6A-403F-8C20-66BB9757790F}"/>
    <cellStyle name="20% - Accent1 2 2 9 2" xfId="35807" xr:uid="{8F9A90B3-7273-4CDF-91B3-150F51E4FEC7}"/>
    <cellStyle name="20% - Accent1 2 2 9 3" xfId="18223" xr:uid="{2DDF2100-AAE1-46F6-BF51-EC1F8A383D0F}"/>
    <cellStyle name="20% - Accent1 2 3" xfId="5" xr:uid="{00000000-0005-0000-0000-00002B000000}"/>
    <cellStyle name="20% - Accent1 2 3 10" xfId="18914" xr:uid="{D72CC4E9-DB49-4CFE-8CFD-551A7CD24A07}"/>
    <cellStyle name="20% - Accent1 2 3 11" xfId="9617" xr:uid="{AB23A299-3377-41D7-B904-4176CF29DEB2}"/>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42585" xr:uid="{065F2A64-E8F0-4EA5-B85F-8D9507B111AE}"/>
    <cellStyle name="20% - Accent1 2 3 2 2 2 3" xfId="34138" xr:uid="{AFD53374-5C86-465A-B036-067CF371CC98}"/>
    <cellStyle name="20% - Accent1 2 3 2 2 2 4" xfId="25690" xr:uid="{425497DE-4BEC-4FE2-9F7E-6E37CA0BCB41}"/>
    <cellStyle name="20% - Accent1 2 3 2 2 2 5" xfId="16393" xr:uid="{9B2302CE-736D-433A-A48B-B097B3B93ACD}"/>
    <cellStyle name="20% - Accent1 2 3 2 2 3" xfId="38368" xr:uid="{DC645F16-3D11-40D0-9341-25FCE856C009}"/>
    <cellStyle name="20% - Accent1 2 3 2 2 4" xfId="29920" xr:uid="{8170CC1F-5782-49B0-9EC6-A1FFE6719735}"/>
    <cellStyle name="20% - Accent1 2 3 2 2 5" xfId="21473" xr:uid="{A1CFD540-415E-4ECB-A520-5236A148FAE0}"/>
    <cellStyle name="20% - Accent1 2 3 2 2 6" xfId="12176" xr:uid="{645136C7-3234-4843-BE2F-BCC9A3B7D913}"/>
    <cellStyle name="20% - Accent1 2 3 2 3" xfId="4922" xr:uid="{00000000-0005-0000-0000-00002F000000}"/>
    <cellStyle name="20% - Accent1 2 3 2 3 2" xfId="40440" xr:uid="{D1F09411-2085-4B8A-85C5-CE86EF6BBE1B}"/>
    <cellStyle name="20% - Accent1 2 3 2 3 3" xfId="31993" xr:uid="{54BC598F-DA95-4E10-9E24-A49C98FB31B0}"/>
    <cellStyle name="20% - Accent1 2 3 2 3 4" xfId="23545" xr:uid="{82DC8276-5AFB-4F76-80A7-1C521E4D01C6}"/>
    <cellStyle name="20% - Accent1 2 3 2 3 5" xfId="14248" xr:uid="{A4FD7919-0889-4BEC-A3B5-BD65D4FF953C}"/>
    <cellStyle name="20% - Accent1 2 3 2 4" xfId="9429" xr:uid="{CCD4BD61-3143-497B-A316-8024A8762A6C}"/>
    <cellStyle name="20% - Accent1 2 3 2 4 2" xfId="36223" xr:uid="{DBDE1C71-8A61-457A-B2C8-E4C4036B3C10}"/>
    <cellStyle name="20% - Accent1 2 3 2 4 3" xfId="18742" xr:uid="{D8FA277E-8751-4FA1-9C7A-FCA1CD060C3F}"/>
    <cellStyle name="20% - Accent1 2 3 2 5" xfId="27775" xr:uid="{19802900-D136-4E08-AA1D-309B4E4B2A0E}"/>
    <cellStyle name="20% - Accent1 2 3 2 6" xfId="19328" xr:uid="{0B94FAC1-9768-4147-867B-B599F3ADE891}"/>
    <cellStyle name="20% - Accent1 2 3 2 7" xfId="10031" xr:uid="{5D8E1B17-A076-4DD5-B85B-88C013D75AC6}"/>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42998" xr:uid="{F75F1857-86A0-4016-A131-BFE87D2530DB}"/>
    <cellStyle name="20% - Accent1 2 3 3 2 2 3" xfId="34551" xr:uid="{E7C0F594-FDB1-46E7-8168-61796D030FC9}"/>
    <cellStyle name="20% - Accent1 2 3 3 2 2 4" xfId="26103" xr:uid="{BCFF3B71-EF76-43CE-BFF9-FA6F00DB5643}"/>
    <cellStyle name="20% - Accent1 2 3 3 2 2 5" xfId="16806" xr:uid="{B657DB09-3615-44CE-A66B-2F0BB0830B45}"/>
    <cellStyle name="20% - Accent1 2 3 3 2 3" xfId="38781" xr:uid="{F9DF634A-640A-4415-B0F4-D9F1E8B6526C}"/>
    <cellStyle name="20% - Accent1 2 3 3 2 4" xfId="30333" xr:uid="{C16FE8D4-42A6-4E44-AAE7-6D4173CC7A6E}"/>
    <cellStyle name="20% - Accent1 2 3 3 2 5" xfId="21886" xr:uid="{FC572649-D50D-452B-AA55-7A2E4C427991}"/>
    <cellStyle name="20% - Accent1 2 3 3 2 6" xfId="12589" xr:uid="{E9439C38-DEE6-4CC2-B7E8-F28573F6C3C0}"/>
    <cellStyle name="20% - Accent1 2 3 3 3" xfId="5335" xr:uid="{00000000-0005-0000-0000-000033000000}"/>
    <cellStyle name="20% - Accent1 2 3 3 3 2" xfId="40853" xr:uid="{60B8A8AF-6370-4AE8-B5AA-F5E80381DECA}"/>
    <cellStyle name="20% - Accent1 2 3 3 3 3" xfId="32406" xr:uid="{430F173E-D9AB-4607-B2A6-4F5DEDF043E8}"/>
    <cellStyle name="20% - Accent1 2 3 3 3 4" xfId="23958" xr:uid="{D2FF0109-2EBC-4756-B05B-34BF8C5E39F1}"/>
    <cellStyle name="20% - Accent1 2 3 3 3 5" xfId="14661" xr:uid="{BB9993AB-DD4C-43E5-B317-C7A1533A9117}"/>
    <cellStyle name="20% - Accent1 2 3 3 4" xfId="36636" xr:uid="{FF7B697E-9345-45F6-8FF5-FA45AADE5E17}"/>
    <cellStyle name="20% - Accent1 2 3 3 5" xfId="28188" xr:uid="{E99B1D94-5C42-4D58-A0E4-3F6F085007D1}"/>
    <cellStyle name="20% - Accent1 2 3 3 6" xfId="19741" xr:uid="{567A6669-E9D4-47F0-9627-3392354DE2BA}"/>
    <cellStyle name="20% - Accent1 2 3 3 7" xfId="10444" xr:uid="{FEDC6B4C-B3B3-4C75-89F6-54C2F9BF6DBA}"/>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43411" xr:uid="{A82B2976-AD55-4FD6-B4DB-A856D137E20B}"/>
    <cellStyle name="20% - Accent1 2 3 4 2 2 3" xfId="34964" xr:uid="{2A5E945E-3825-4047-9B2D-F72C6DB7198B}"/>
    <cellStyle name="20% - Accent1 2 3 4 2 2 4" xfId="26516" xr:uid="{7CBD13FC-6722-4EDA-B3F2-4D965032ED3A}"/>
    <cellStyle name="20% - Accent1 2 3 4 2 2 5" xfId="17219" xr:uid="{6FD303E5-F5D2-4AF3-B822-B6D632312B5B}"/>
    <cellStyle name="20% - Accent1 2 3 4 2 3" xfId="39194" xr:uid="{82E19B13-8823-4852-B2EE-88B84C30386C}"/>
    <cellStyle name="20% - Accent1 2 3 4 2 4" xfId="30746" xr:uid="{05B6AD98-47BD-4285-8AB6-E9626648EEEE}"/>
    <cellStyle name="20% - Accent1 2 3 4 2 5" xfId="22299" xr:uid="{B530E4E9-DD9F-4253-863E-FD6DFB5C03A9}"/>
    <cellStyle name="20% - Accent1 2 3 4 2 6" xfId="13002" xr:uid="{D42EB0DA-2B31-4F9C-A53A-ABDD4BE46747}"/>
    <cellStyle name="20% - Accent1 2 3 4 3" xfId="5748" xr:uid="{00000000-0005-0000-0000-000037000000}"/>
    <cellStyle name="20% - Accent1 2 3 4 3 2" xfId="41266" xr:uid="{B5B69799-C3CC-4BEA-AB56-DDA9EB6CD31A}"/>
    <cellStyle name="20% - Accent1 2 3 4 3 3" xfId="32819" xr:uid="{8EB9322F-1998-414E-A805-35ECA815A55A}"/>
    <cellStyle name="20% - Accent1 2 3 4 3 4" xfId="24371" xr:uid="{A1095B24-E1E0-4AEB-B879-E502B19EA98B}"/>
    <cellStyle name="20% - Accent1 2 3 4 3 5" xfId="15074" xr:uid="{E09A4408-3998-4DC0-A1D2-D858E48B0F25}"/>
    <cellStyle name="20% - Accent1 2 3 4 4" xfId="37049" xr:uid="{1B083B01-123E-495A-B27F-C67D1F0EC689}"/>
    <cellStyle name="20% - Accent1 2 3 4 5" xfId="28601" xr:uid="{D5763BC4-ED2C-43CF-BC0B-8BE96A643390}"/>
    <cellStyle name="20% - Accent1 2 3 4 6" xfId="20154" xr:uid="{74DE33CC-8C08-4F3E-A2C7-C16AF39A4C0B}"/>
    <cellStyle name="20% - Accent1 2 3 4 7" xfId="10857" xr:uid="{EDC7E1C6-51FE-4386-A58C-900F6CDCA9B3}"/>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43824" xr:uid="{07E441BE-BE51-4EB5-8507-7AC74E976602}"/>
    <cellStyle name="20% - Accent1 2 3 5 2 2 3" xfId="35377" xr:uid="{5852EE0E-791E-48E1-B8AD-DB574BC3AA75}"/>
    <cellStyle name="20% - Accent1 2 3 5 2 2 4" xfId="26929" xr:uid="{028532AF-F940-446B-8817-D749A656FAD3}"/>
    <cellStyle name="20% - Accent1 2 3 5 2 2 5" xfId="17632" xr:uid="{9D9B0A8E-6EDC-4A76-8BA3-D3894D5F4AD5}"/>
    <cellStyle name="20% - Accent1 2 3 5 2 3" xfId="39607" xr:uid="{5B2327D9-5992-45E0-B696-A95B1991087D}"/>
    <cellStyle name="20% - Accent1 2 3 5 2 4" xfId="31159" xr:uid="{3E6A89DA-EE8B-415A-98AB-EEA318B24E52}"/>
    <cellStyle name="20% - Accent1 2 3 5 2 5" xfId="22712" xr:uid="{165777A0-1182-4A49-AA47-BEB8FD1AEBBC}"/>
    <cellStyle name="20% - Accent1 2 3 5 2 6" xfId="13415" xr:uid="{008D01CC-C648-42F8-8261-C712B169101B}"/>
    <cellStyle name="20% - Accent1 2 3 5 3" xfId="6161" xr:uid="{00000000-0005-0000-0000-00003B000000}"/>
    <cellStyle name="20% - Accent1 2 3 5 3 2" xfId="41679" xr:uid="{749774E6-28D3-4D84-A07D-435441576E5B}"/>
    <cellStyle name="20% - Accent1 2 3 5 3 3" xfId="33232" xr:uid="{BCFB24C4-B46D-4565-AE34-03C39C88F649}"/>
    <cellStyle name="20% - Accent1 2 3 5 3 4" xfId="24784" xr:uid="{F6CBDF41-290D-4396-911D-B3D9B2A3C59A}"/>
    <cellStyle name="20% - Accent1 2 3 5 3 5" xfId="15487" xr:uid="{70271052-5DF4-41AD-911F-E0FBAE02906A}"/>
    <cellStyle name="20% - Accent1 2 3 5 4" xfId="37462" xr:uid="{9BD8A964-613B-4DFC-90B8-09387DDBE6FC}"/>
    <cellStyle name="20% - Accent1 2 3 5 5" xfId="29014" xr:uid="{6E53E15B-B40F-40D7-A1E8-CA8320EA89E4}"/>
    <cellStyle name="20% - Accent1 2 3 5 6" xfId="20567" xr:uid="{415261E6-3AFB-45A7-8107-049E818EC794}"/>
    <cellStyle name="20% - Accent1 2 3 5 7" xfId="11270" xr:uid="{ED5AB7FE-BE24-496C-AD10-7311D69526B1}"/>
    <cellStyle name="20% - Accent1 2 3 6" xfId="2268" xr:uid="{00000000-0005-0000-0000-00003C000000}"/>
    <cellStyle name="20% - Accent1 2 3 6 2" xfId="6574" xr:uid="{00000000-0005-0000-0000-00003D000000}"/>
    <cellStyle name="20% - Accent1 2 3 6 2 2" xfId="42092" xr:uid="{5C743057-399E-4462-B953-32487FD7BB92}"/>
    <cellStyle name="20% - Accent1 2 3 6 2 3" xfId="33645" xr:uid="{8BC0E566-2906-46C0-BD74-DEB2ABFA4519}"/>
    <cellStyle name="20% - Accent1 2 3 6 2 4" xfId="25197" xr:uid="{7EE83113-E1EF-4408-B1E1-E83BD4E9DCF9}"/>
    <cellStyle name="20% - Accent1 2 3 6 2 5" xfId="15900" xr:uid="{74CD4EB5-0AD9-48EF-8718-9E114C60AD9D}"/>
    <cellStyle name="20% - Accent1 2 3 6 3" xfId="37875" xr:uid="{9D2A175C-D271-497C-926B-9D97C943B526}"/>
    <cellStyle name="20% - Accent1 2 3 6 4" xfId="29427" xr:uid="{62C90C84-2B3D-48A9-A603-62AF524745E7}"/>
    <cellStyle name="20% - Accent1 2 3 6 5" xfId="20980" xr:uid="{825CB8CD-7AE5-43B6-AE3F-2D003F25D564}"/>
    <cellStyle name="20% - Accent1 2 3 6 6" xfId="11683" xr:uid="{C0F3413C-BB7C-408C-8349-9568C5F556B1}"/>
    <cellStyle name="20% - Accent1 2 3 7" xfId="4508" xr:uid="{00000000-0005-0000-0000-00003E000000}"/>
    <cellStyle name="20% - Accent1 2 3 7 2" xfId="40026" xr:uid="{8E0E0433-E88B-4326-87C4-A85ADCC647ED}"/>
    <cellStyle name="20% - Accent1 2 3 7 3" xfId="31579" xr:uid="{A0386B3F-31C5-4676-B3FB-DED01D78ED4B}"/>
    <cellStyle name="20% - Accent1 2 3 7 4" xfId="23131" xr:uid="{8EA4D3C7-29DD-4A8A-B339-70CCA94FBF38}"/>
    <cellStyle name="20% - Accent1 2 3 7 5" xfId="13834" xr:uid="{7C729BFB-94F4-48F7-846F-813B7266F70A}"/>
    <cellStyle name="20% - Accent1 2 3 8" xfId="9004" xr:uid="{14A9C135-BB7B-44DD-97E1-B6B10773DEE2}"/>
    <cellStyle name="20% - Accent1 2 3 8 2" xfId="35809" xr:uid="{4C24A3B0-05FB-4C66-9C36-EBC0BF26AADD}"/>
    <cellStyle name="20% - Accent1 2 3 8 3" xfId="18327" xr:uid="{EF16FC36-B74F-4D56-B20A-030473E002FE}"/>
    <cellStyle name="20% - Accent1 2 3 9" xfId="27361" xr:uid="{C393FACD-A90C-45A4-932F-B6398A478539}"/>
    <cellStyle name="20% - Accent1 2 4" xfId="571" xr:uid="{00000000-0005-0000-0000-00003F000000}"/>
    <cellStyle name="20% - Accent1 2 4 2" xfId="2842" xr:uid="{00000000-0005-0000-0000-000040000000}"/>
    <cellStyle name="20% - Accent1 2 4 2 2" xfId="7064" xr:uid="{00000000-0005-0000-0000-000041000000}"/>
    <cellStyle name="20% - Accent1 2 4 2 2 2" xfId="42582" xr:uid="{0D326B39-43F0-49C1-86A6-BC0BDB875B22}"/>
    <cellStyle name="20% - Accent1 2 4 2 2 3" xfId="34135" xr:uid="{8D4E6ACB-B998-43F4-A732-BF5FFF92766C}"/>
    <cellStyle name="20% - Accent1 2 4 2 2 4" xfId="25687" xr:uid="{B1A2AEE3-7F7B-468E-8638-E2DD014F7023}"/>
    <cellStyle name="20% - Accent1 2 4 2 2 5" xfId="16390" xr:uid="{AE7CCF9B-312D-406B-9B88-09B70AA220F2}"/>
    <cellStyle name="20% - Accent1 2 4 2 3" xfId="38365" xr:uid="{2FACFE26-D94A-4955-8954-36195F69A1AB}"/>
    <cellStyle name="20% - Accent1 2 4 2 4" xfId="29917" xr:uid="{E442DB61-06ED-4DB6-8895-FE142C07FF56}"/>
    <cellStyle name="20% - Accent1 2 4 2 5" xfId="21470" xr:uid="{2C08B198-D5C8-407B-8BFD-2823799C41DE}"/>
    <cellStyle name="20% - Accent1 2 4 2 6" xfId="12173" xr:uid="{32C95A3E-E624-455D-9A2B-43623A068C52}"/>
    <cellStyle name="20% - Accent1 2 4 3" xfId="4919" xr:uid="{00000000-0005-0000-0000-000042000000}"/>
    <cellStyle name="20% - Accent1 2 4 3 2" xfId="40437" xr:uid="{5F4E3233-3234-458A-9A69-EDA83212E770}"/>
    <cellStyle name="20% - Accent1 2 4 3 3" xfId="31990" xr:uid="{8BCDFDCA-1566-4DE8-A015-D52A1E1A6446}"/>
    <cellStyle name="20% - Accent1 2 4 3 4" xfId="23542" xr:uid="{9BDB804A-C8FD-493D-9ECD-65BBF632E5D2}"/>
    <cellStyle name="20% - Accent1 2 4 3 5" xfId="14245" xr:uid="{8338BF57-B0B5-4795-B837-C0C86EE42C05}"/>
    <cellStyle name="20% - Accent1 2 4 4" xfId="9221" xr:uid="{11532E3F-E59C-4FF7-9F45-291A17A69435}"/>
    <cellStyle name="20% - Accent1 2 4 4 2" xfId="36220" xr:uid="{6D3ABB78-F200-4A4D-876B-CB91B0068BBD}"/>
    <cellStyle name="20% - Accent1 2 4 4 3" xfId="18535" xr:uid="{DCAD9AE7-E92E-4F57-8BC6-940964ABC1D8}"/>
    <cellStyle name="20% - Accent1 2 4 5" xfId="27772" xr:uid="{6BC9F48D-3AF7-44F1-8F8E-30314A9C30BF}"/>
    <cellStyle name="20% - Accent1 2 4 6" xfId="19325" xr:uid="{6C4FB715-AA65-4D0E-85F7-DD0E005E8A3B}"/>
    <cellStyle name="20% - Accent1 2 4 7" xfId="10028" xr:uid="{F892495D-6558-4DEC-AA9D-ECC8F29C955C}"/>
    <cellStyle name="20% - Accent1 2 5" xfId="1024" xr:uid="{00000000-0005-0000-0000-000043000000}"/>
    <cellStyle name="20% - Accent1 2 5 2" xfId="3255" xr:uid="{00000000-0005-0000-0000-000044000000}"/>
    <cellStyle name="20% - Accent1 2 5 2 2" xfId="7477" xr:uid="{00000000-0005-0000-0000-000045000000}"/>
    <cellStyle name="20% - Accent1 2 5 2 2 2" xfId="42995" xr:uid="{1A4FEC39-833A-4891-AB60-2E0338F417F6}"/>
    <cellStyle name="20% - Accent1 2 5 2 2 3" xfId="34548" xr:uid="{58630864-DF4E-4296-8A7C-8D063EB7D1B2}"/>
    <cellStyle name="20% - Accent1 2 5 2 2 4" xfId="26100" xr:uid="{ADA88522-CB9D-4CFB-8B64-A883F39ED3EB}"/>
    <cellStyle name="20% - Accent1 2 5 2 2 5" xfId="16803" xr:uid="{EB87E9A8-CE20-4C68-BB3C-E85B92BC68C5}"/>
    <cellStyle name="20% - Accent1 2 5 2 3" xfId="38778" xr:uid="{C392E983-E0CF-4410-A915-BD3D53D743F5}"/>
    <cellStyle name="20% - Accent1 2 5 2 4" xfId="30330" xr:uid="{3C2731B9-4ABF-48AB-BA66-B816F5F3E4F8}"/>
    <cellStyle name="20% - Accent1 2 5 2 5" xfId="21883" xr:uid="{3417C60E-6B1E-40D4-B0E2-CBE82E777253}"/>
    <cellStyle name="20% - Accent1 2 5 2 6" xfId="12586" xr:uid="{A63C6582-A733-45C3-A215-6440A06B9993}"/>
    <cellStyle name="20% - Accent1 2 5 3" xfId="5332" xr:uid="{00000000-0005-0000-0000-000046000000}"/>
    <cellStyle name="20% - Accent1 2 5 3 2" xfId="40850" xr:uid="{BA489A04-AE20-4248-9B6D-46A9ACD9714A}"/>
    <cellStyle name="20% - Accent1 2 5 3 3" xfId="32403" xr:uid="{4F2D41AB-943B-4E9D-9532-8D3100BAFB63}"/>
    <cellStyle name="20% - Accent1 2 5 3 4" xfId="23955" xr:uid="{BA2DA6B0-08E7-4FCD-9AA3-6FF945B06F27}"/>
    <cellStyle name="20% - Accent1 2 5 3 5" xfId="14658" xr:uid="{C3B197A1-8B05-4E75-A7F3-8B841855E21C}"/>
    <cellStyle name="20% - Accent1 2 5 4" xfId="36633" xr:uid="{C5BA4AF5-982A-4BAF-ACB0-0FFE4B98CC4C}"/>
    <cellStyle name="20% - Accent1 2 5 5" xfId="28185" xr:uid="{8C67CDC6-4EE2-4A72-B756-7E0FADEFF7E5}"/>
    <cellStyle name="20% - Accent1 2 5 6" xfId="19738" xr:uid="{F20D6CA9-50D6-4492-8662-F43DB10A37CD}"/>
    <cellStyle name="20% - Accent1 2 5 7" xfId="10441" xr:uid="{E1681716-818B-4D23-A223-7DFD4ED4AD6F}"/>
    <cellStyle name="20% - Accent1 2 6" xfId="1438" xr:uid="{00000000-0005-0000-0000-000047000000}"/>
    <cellStyle name="20% - Accent1 2 6 2" xfId="3668" xr:uid="{00000000-0005-0000-0000-000048000000}"/>
    <cellStyle name="20% - Accent1 2 6 2 2" xfId="7890" xr:uid="{00000000-0005-0000-0000-000049000000}"/>
    <cellStyle name="20% - Accent1 2 6 2 2 2" xfId="43408" xr:uid="{79D3079E-CA90-4E4A-A3FC-13D899238CF2}"/>
    <cellStyle name="20% - Accent1 2 6 2 2 3" xfId="34961" xr:uid="{686E04E3-40F6-43DE-8BA7-A866E8A1B74B}"/>
    <cellStyle name="20% - Accent1 2 6 2 2 4" xfId="26513" xr:uid="{4702A4E2-D7CA-41E8-B5B0-8904E68527EF}"/>
    <cellStyle name="20% - Accent1 2 6 2 2 5" xfId="17216" xr:uid="{1F2FC093-D460-4E2D-AB52-0B1A2848D13D}"/>
    <cellStyle name="20% - Accent1 2 6 2 3" xfId="39191" xr:uid="{98FE398A-4EFB-47F5-A493-0EA27245E06A}"/>
    <cellStyle name="20% - Accent1 2 6 2 4" xfId="30743" xr:uid="{73463AC8-D3FA-4A1B-B04D-B3987ABA5FA8}"/>
    <cellStyle name="20% - Accent1 2 6 2 5" xfId="22296" xr:uid="{540D22EC-72FE-4334-9485-0C722BC1CB8E}"/>
    <cellStyle name="20% - Accent1 2 6 2 6" xfId="12999" xr:uid="{D5EEDB19-86E0-421E-82A9-D314798FAB74}"/>
    <cellStyle name="20% - Accent1 2 6 3" xfId="5745" xr:uid="{00000000-0005-0000-0000-00004A000000}"/>
    <cellStyle name="20% - Accent1 2 6 3 2" xfId="41263" xr:uid="{5643DAE4-61CC-4D72-8CDA-A55D67CA0807}"/>
    <cellStyle name="20% - Accent1 2 6 3 3" xfId="32816" xr:uid="{3F4A668D-E4D6-485F-B0A8-81207D64F6FB}"/>
    <cellStyle name="20% - Accent1 2 6 3 4" xfId="24368" xr:uid="{852081BE-0F47-4E04-845B-B17BF976AC7F}"/>
    <cellStyle name="20% - Accent1 2 6 3 5" xfId="15071" xr:uid="{21999A2E-9103-4642-AEB2-F65A2DE32AD5}"/>
    <cellStyle name="20% - Accent1 2 6 4" xfId="37046" xr:uid="{3A45D7B2-7EAF-4BA7-BF39-FBF6F310E151}"/>
    <cellStyle name="20% - Accent1 2 6 5" xfId="28598" xr:uid="{4B6AAE4D-3C29-4BE7-AEB6-AB6C11D958E4}"/>
    <cellStyle name="20% - Accent1 2 6 6" xfId="20151" xr:uid="{D06BD809-DC3F-46C0-985C-56C39892C668}"/>
    <cellStyle name="20% - Accent1 2 6 7" xfId="10854" xr:uid="{744F6494-D449-4707-B280-E78C659CFCDF}"/>
    <cellStyle name="20% - Accent1 2 7" xfId="1852" xr:uid="{00000000-0005-0000-0000-00004B000000}"/>
    <cellStyle name="20% - Accent1 2 7 2" xfId="4081" xr:uid="{00000000-0005-0000-0000-00004C000000}"/>
    <cellStyle name="20% - Accent1 2 7 2 2" xfId="8303" xr:uid="{00000000-0005-0000-0000-00004D000000}"/>
    <cellStyle name="20% - Accent1 2 7 2 2 2" xfId="43821" xr:uid="{56C9ED55-89E1-4730-87E6-2C4D678E9D1B}"/>
    <cellStyle name="20% - Accent1 2 7 2 2 3" xfId="35374" xr:uid="{F871E5CB-925B-4F2E-BDFC-3D943CD656CA}"/>
    <cellStyle name="20% - Accent1 2 7 2 2 4" xfId="26926" xr:uid="{CF0EE77E-4467-4586-A0E0-7654CF608676}"/>
    <cellStyle name="20% - Accent1 2 7 2 2 5" xfId="17629" xr:uid="{0E814DCB-6969-4A98-AEBB-31DEEB3914EE}"/>
    <cellStyle name="20% - Accent1 2 7 2 3" xfId="39604" xr:uid="{C5031F13-E56F-4708-8A43-5C725354EB16}"/>
    <cellStyle name="20% - Accent1 2 7 2 4" xfId="31156" xr:uid="{291D4E10-9E87-4310-BC64-FBA4D117A19F}"/>
    <cellStyle name="20% - Accent1 2 7 2 5" xfId="22709" xr:uid="{8949BE09-0B33-41D1-AFD9-CA0A1991B76F}"/>
    <cellStyle name="20% - Accent1 2 7 2 6" xfId="13412" xr:uid="{EC7BA249-075B-4DBA-9200-3393BDD2B0FE}"/>
    <cellStyle name="20% - Accent1 2 7 3" xfId="6158" xr:uid="{00000000-0005-0000-0000-00004E000000}"/>
    <cellStyle name="20% - Accent1 2 7 3 2" xfId="41676" xr:uid="{4969481D-CD08-460D-AF88-C8D4AF8DA71F}"/>
    <cellStyle name="20% - Accent1 2 7 3 3" xfId="33229" xr:uid="{36072A3D-7F7D-459B-82D6-A0BAE5F1BBDC}"/>
    <cellStyle name="20% - Accent1 2 7 3 4" xfId="24781" xr:uid="{7E130242-B31B-4E7D-93A0-A12FA1110D80}"/>
    <cellStyle name="20% - Accent1 2 7 3 5" xfId="15484" xr:uid="{B0F4E3B8-C5E3-474F-A991-E1371ABF6309}"/>
    <cellStyle name="20% - Accent1 2 7 4" xfId="37459" xr:uid="{3534D792-7F07-4BD9-915C-21CF02B27C83}"/>
    <cellStyle name="20% - Accent1 2 7 5" xfId="29011" xr:uid="{3184FB60-CE11-4445-B885-B60563D98575}"/>
    <cellStyle name="20% - Accent1 2 7 6" xfId="20564" xr:uid="{48263B82-34D2-4FA0-A914-A79F468E0B2A}"/>
    <cellStyle name="20% - Accent1 2 7 7" xfId="11267" xr:uid="{B4281B39-7FAD-41E4-817B-43806957A566}"/>
    <cellStyle name="20% - Accent1 2 8" xfId="2265" xr:uid="{00000000-0005-0000-0000-00004F000000}"/>
    <cellStyle name="20% - Accent1 2 8 2" xfId="6571" xr:uid="{00000000-0005-0000-0000-000050000000}"/>
    <cellStyle name="20% - Accent1 2 8 2 2" xfId="42089" xr:uid="{18672CED-2F8B-4670-A8E3-60DEC1EF57DA}"/>
    <cellStyle name="20% - Accent1 2 8 2 3" xfId="33642" xr:uid="{2F75EED2-1CCA-4751-8596-8DA1DC544E5C}"/>
    <cellStyle name="20% - Accent1 2 8 2 4" xfId="25194" xr:uid="{69213690-D50E-4210-8B6B-F086DEB1FBD5}"/>
    <cellStyle name="20% - Accent1 2 8 2 5" xfId="15897" xr:uid="{70E30165-2CDA-4BC6-8271-62B806BAE177}"/>
    <cellStyle name="20% - Accent1 2 8 3" xfId="37872" xr:uid="{FC39484C-461D-4CDB-9E39-F64C83D0CC66}"/>
    <cellStyle name="20% - Accent1 2 8 4" xfId="29424" xr:uid="{0BF6A576-B55D-49CF-A3CC-D54D56A90603}"/>
    <cellStyle name="20% - Accent1 2 8 5" xfId="20977" xr:uid="{2AF17317-938E-46AB-8B20-11B308810B63}"/>
    <cellStyle name="20% - Accent1 2 8 6" xfId="11680" xr:uid="{5181DB7F-5C11-496F-A652-7B1B4904FB77}"/>
    <cellStyle name="20% - Accent1 2 9" xfId="4505" xr:uid="{00000000-0005-0000-0000-000051000000}"/>
    <cellStyle name="20% - Accent1 2 9 2" xfId="40023" xr:uid="{CE4B5180-109B-483D-AF2A-5D57F1BF3AD5}"/>
    <cellStyle name="20% - Accent1 2 9 3" xfId="31576" xr:uid="{81DA4526-9259-41D4-9060-9BDC4028207A}"/>
    <cellStyle name="20% - Accent1 2 9 4" xfId="23128" xr:uid="{9C46155F-EBF4-4E75-9E4B-380E2CB54E70}"/>
    <cellStyle name="20% - Accent1 2 9 5" xfId="13831" xr:uid="{13511952-0A8C-4609-9A5F-5B05541B611C}"/>
    <cellStyle name="20% - Accent1 3" xfId="6" xr:uid="{00000000-0005-0000-0000-000052000000}"/>
    <cellStyle name="20% - Accent1 3 10" xfId="27362" xr:uid="{95A19006-4058-4D35-962D-D492F0E69078}"/>
    <cellStyle name="20% - Accent1 3 11" xfId="18915" xr:uid="{240ADAD5-D4D7-4C57-B73D-A0FB7FA52427}"/>
    <cellStyle name="20% - Accent1 3 12" xfId="9618" xr:uid="{5F8EEE00-9E6C-48B2-B701-85C3EDB234B8}"/>
    <cellStyle name="20% - Accent1 3 2" xfId="7" xr:uid="{00000000-0005-0000-0000-000053000000}"/>
    <cellStyle name="20% - Accent1 3 2 10" xfId="18916" xr:uid="{DD00166D-8D4A-4A76-A0AF-5CF5710722AD}"/>
    <cellStyle name="20% - Accent1 3 2 11" xfId="9619" xr:uid="{B6D6B528-CD94-4CAA-8DE2-7013C24750B3}"/>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42587" xr:uid="{CFACE1EB-8A25-474D-B29C-8C9D33DC2923}"/>
    <cellStyle name="20% - Accent1 3 2 2 2 2 3" xfId="34140" xr:uid="{F67C2D9D-3AB4-467D-B3FD-BCCA557BD2B3}"/>
    <cellStyle name="20% - Accent1 3 2 2 2 2 4" xfId="25692" xr:uid="{B93D779D-CE67-4D00-9492-C8B5029E9F53}"/>
    <cellStyle name="20% - Accent1 3 2 2 2 2 5" xfId="16395" xr:uid="{447B43C3-24F2-4F99-8018-0B22A70313AA}"/>
    <cellStyle name="20% - Accent1 3 2 2 2 3" xfId="38370" xr:uid="{D6A1F3BD-A4B2-4187-AD72-382607A7A230}"/>
    <cellStyle name="20% - Accent1 3 2 2 2 4" xfId="29922" xr:uid="{FCDF2AB6-2EDD-4B7F-91C5-0D2D271E456C}"/>
    <cellStyle name="20% - Accent1 3 2 2 2 5" xfId="21475" xr:uid="{856AA287-5177-4012-9610-743F61BB7C42}"/>
    <cellStyle name="20% - Accent1 3 2 2 2 6" xfId="12178" xr:uid="{2B907D6A-AFA1-435F-A1CB-28980857B7CF}"/>
    <cellStyle name="20% - Accent1 3 2 2 3" xfId="4924" xr:uid="{00000000-0005-0000-0000-000057000000}"/>
    <cellStyle name="20% - Accent1 3 2 2 3 2" xfId="40442" xr:uid="{05AE6D5F-E8A7-4132-A530-70C9BFDD15BB}"/>
    <cellStyle name="20% - Accent1 3 2 2 3 3" xfId="31995" xr:uid="{B9298D99-ABD9-4B1E-962A-30C491F0219A}"/>
    <cellStyle name="20% - Accent1 3 2 2 3 4" xfId="23547" xr:uid="{3F408E65-B095-4DEC-8D72-F264D2C68555}"/>
    <cellStyle name="20% - Accent1 3 2 2 3 5" xfId="14250" xr:uid="{49C6339C-456F-4BA9-9D1C-56D9586C2DD1}"/>
    <cellStyle name="20% - Accent1 3 2 2 4" xfId="9493" xr:uid="{FCEFE71D-2A04-4899-B62A-B225DBF7F0BF}"/>
    <cellStyle name="20% - Accent1 3 2 2 4 2" xfId="36225" xr:uid="{DE0EE8F6-7B1A-44CE-A6D9-F9C4A0E1C141}"/>
    <cellStyle name="20% - Accent1 3 2 2 4 3" xfId="18806" xr:uid="{6DA99BFF-BAA0-470D-93AA-488C633E1CDB}"/>
    <cellStyle name="20% - Accent1 3 2 2 5" xfId="27777" xr:uid="{78359BA9-1752-45D8-897A-216D398AA74D}"/>
    <cellStyle name="20% - Accent1 3 2 2 6" xfId="19330" xr:uid="{2C24FF58-C3F3-47C2-B69C-F6938A6BF620}"/>
    <cellStyle name="20% - Accent1 3 2 2 7" xfId="10033" xr:uid="{6AB8F059-C924-47F3-9027-84CF1122EA85}"/>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43000" xr:uid="{D279CA2C-EBBF-4C38-8AC1-00A164E471A9}"/>
    <cellStyle name="20% - Accent1 3 2 3 2 2 3" xfId="34553" xr:uid="{D5E01942-147E-40F7-9BCD-28807ED78040}"/>
    <cellStyle name="20% - Accent1 3 2 3 2 2 4" xfId="26105" xr:uid="{0BF90428-9136-41DE-9D38-05E987729418}"/>
    <cellStyle name="20% - Accent1 3 2 3 2 2 5" xfId="16808" xr:uid="{F28796BF-B660-46DF-AE51-E2FAA0F93502}"/>
    <cellStyle name="20% - Accent1 3 2 3 2 3" xfId="38783" xr:uid="{5DC178D8-2D2E-4FD2-9C93-BD1D2A6C11C1}"/>
    <cellStyle name="20% - Accent1 3 2 3 2 4" xfId="30335" xr:uid="{844A4578-6B3D-40D5-A28D-D594A5605BCC}"/>
    <cellStyle name="20% - Accent1 3 2 3 2 5" xfId="21888" xr:uid="{0382C0BD-B0FF-4F0F-A24F-227CE58C8E2A}"/>
    <cellStyle name="20% - Accent1 3 2 3 2 6" xfId="12591" xr:uid="{C4056D64-A313-4F13-8711-0A3723A3F08F}"/>
    <cellStyle name="20% - Accent1 3 2 3 3" xfId="5337" xr:uid="{00000000-0005-0000-0000-00005B000000}"/>
    <cellStyle name="20% - Accent1 3 2 3 3 2" xfId="40855" xr:uid="{19559881-8A07-4CA7-8502-57B849976668}"/>
    <cellStyle name="20% - Accent1 3 2 3 3 3" xfId="32408" xr:uid="{49459BC2-FBC6-4F6F-9912-420314E3598C}"/>
    <cellStyle name="20% - Accent1 3 2 3 3 4" xfId="23960" xr:uid="{ABA94597-E2C8-4251-AA52-8FA1745B4D48}"/>
    <cellStyle name="20% - Accent1 3 2 3 3 5" xfId="14663" xr:uid="{E7341128-CFF9-4515-A04F-CCA75E6B5EDF}"/>
    <cellStyle name="20% - Accent1 3 2 3 4" xfId="36638" xr:uid="{0E16A3DD-0592-45A5-B038-FE3193234C40}"/>
    <cellStyle name="20% - Accent1 3 2 3 5" xfId="28190" xr:uid="{338F91F5-28CE-417C-982E-11E39776B39D}"/>
    <cellStyle name="20% - Accent1 3 2 3 6" xfId="19743" xr:uid="{BAE729D4-B112-4A5C-A65C-F07729ADD580}"/>
    <cellStyle name="20% - Accent1 3 2 3 7" xfId="10446" xr:uid="{783CD48D-0214-4981-AEB9-8C9F1DF7EFFF}"/>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43413" xr:uid="{4CFE1452-4DC0-47A1-85EE-FA51032348B2}"/>
    <cellStyle name="20% - Accent1 3 2 4 2 2 3" xfId="34966" xr:uid="{937A1C78-C237-4AF8-B178-EF884A65996B}"/>
    <cellStyle name="20% - Accent1 3 2 4 2 2 4" xfId="26518" xr:uid="{FB9F16FA-2162-4EBE-BC0B-8AD7F685884E}"/>
    <cellStyle name="20% - Accent1 3 2 4 2 2 5" xfId="17221" xr:uid="{5BAD63CB-9988-4ED4-A742-DE9CB395639D}"/>
    <cellStyle name="20% - Accent1 3 2 4 2 3" xfId="39196" xr:uid="{7CAA93B0-D4A3-4023-863B-49E5E4DD5CD8}"/>
    <cellStyle name="20% - Accent1 3 2 4 2 4" xfId="30748" xr:uid="{731CC542-D2F4-4A03-85DF-F4AFFEAE20AB}"/>
    <cellStyle name="20% - Accent1 3 2 4 2 5" xfId="22301" xr:uid="{DBDA60F4-8462-4A7C-92E1-E6B2E0712C6E}"/>
    <cellStyle name="20% - Accent1 3 2 4 2 6" xfId="13004" xr:uid="{B3846D15-A6D3-4EEA-A2D3-304D9AADC044}"/>
    <cellStyle name="20% - Accent1 3 2 4 3" xfId="5750" xr:uid="{00000000-0005-0000-0000-00005F000000}"/>
    <cellStyle name="20% - Accent1 3 2 4 3 2" xfId="41268" xr:uid="{7C07CC53-070B-4292-B9D7-D9C619887591}"/>
    <cellStyle name="20% - Accent1 3 2 4 3 3" xfId="32821" xr:uid="{389FC925-E798-447C-9947-6D7AF2901282}"/>
    <cellStyle name="20% - Accent1 3 2 4 3 4" xfId="24373" xr:uid="{3FECBD5D-2CAF-4346-8D04-215E4C1DAB01}"/>
    <cellStyle name="20% - Accent1 3 2 4 3 5" xfId="15076" xr:uid="{A4F50F2A-9C23-40FE-9DF4-658EDB1463A3}"/>
    <cellStyle name="20% - Accent1 3 2 4 4" xfId="37051" xr:uid="{E0AA3A1C-5A6D-46C1-8243-11C9A8F280DE}"/>
    <cellStyle name="20% - Accent1 3 2 4 5" xfId="28603" xr:uid="{E2A1AEDD-1C8A-4EA5-BD10-14F71409162C}"/>
    <cellStyle name="20% - Accent1 3 2 4 6" xfId="20156" xr:uid="{2D44137E-81DA-4DA1-984C-4E7EE295B001}"/>
    <cellStyle name="20% - Accent1 3 2 4 7" xfId="10859" xr:uid="{B7562DAA-B2BA-4FED-ADAA-172133C91604}"/>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43826" xr:uid="{2F3A68E4-E315-4D46-ADD2-565FE3AB7A0E}"/>
    <cellStyle name="20% - Accent1 3 2 5 2 2 3" xfId="35379" xr:uid="{29AC2554-D6FA-44DB-9C25-DEE9B88D7EF4}"/>
    <cellStyle name="20% - Accent1 3 2 5 2 2 4" xfId="26931" xr:uid="{4DE507B2-A234-46F3-88DD-95F78F440E0F}"/>
    <cellStyle name="20% - Accent1 3 2 5 2 2 5" xfId="17634" xr:uid="{17C5B7DF-DA47-4384-9B58-4EF184DF793A}"/>
    <cellStyle name="20% - Accent1 3 2 5 2 3" xfId="39609" xr:uid="{5ACAEBFA-7146-483A-94B9-06B18CCE8F74}"/>
    <cellStyle name="20% - Accent1 3 2 5 2 4" xfId="31161" xr:uid="{0360EF4D-DC4F-4006-B3C0-144B0066DBB9}"/>
    <cellStyle name="20% - Accent1 3 2 5 2 5" xfId="22714" xr:uid="{1BD5997C-FA4B-4A86-BAB0-E3452881545A}"/>
    <cellStyle name="20% - Accent1 3 2 5 2 6" xfId="13417" xr:uid="{83BF8432-CFB4-40B4-A5CE-16BBE82F19A8}"/>
    <cellStyle name="20% - Accent1 3 2 5 3" xfId="6163" xr:uid="{00000000-0005-0000-0000-000063000000}"/>
    <cellStyle name="20% - Accent1 3 2 5 3 2" xfId="41681" xr:uid="{49481659-8B1E-4F8F-8BE3-0FA8BBBBF3EB}"/>
    <cellStyle name="20% - Accent1 3 2 5 3 3" xfId="33234" xr:uid="{72AD9449-35A6-4ADF-8838-B3644D8E3BE2}"/>
    <cellStyle name="20% - Accent1 3 2 5 3 4" xfId="24786" xr:uid="{5C531DB1-CB22-427A-BB27-2424AE7588DB}"/>
    <cellStyle name="20% - Accent1 3 2 5 3 5" xfId="15489" xr:uid="{470F2F68-85F7-4669-839C-C513438751FB}"/>
    <cellStyle name="20% - Accent1 3 2 5 4" xfId="37464" xr:uid="{EEDFA9B5-89BB-46B4-B32C-0B22A53804ED}"/>
    <cellStyle name="20% - Accent1 3 2 5 5" xfId="29016" xr:uid="{F9A16A3F-D2C9-4BB8-A899-6DD90FC0A3FC}"/>
    <cellStyle name="20% - Accent1 3 2 5 6" xfId="20569" xr:uid="{2529C62B-418D-474D-9B9F-6EB98350C238}"/>
    <cellStyle name="20% - Accent1 3 2 5 7" xfId="11272" xr:uid="{9939C15E-CFFF-4785-BD2B-68F7C555E6A7}"/>
    <cellStyle name="20% - Accent1 3 2 6" xfId="2270" xr:uid="{00000000-0005-0000-0000-000064000000}"/>
    <cellStyle name="20% - Accent1 3 2 6 2" xfId="6576" xr:uid="{00000000-0005-0000-0000-000065000000}"/>
    <cellStyle name="20% - Accent1 3 2 6 2 2" xfId="42094" xr:uid="{094D2F54-205B-4BFC-8D24-7C0488888F54}"/>
    <cellStyle name="20% - Accent1 3 2 6 2 3" xfId="33647" xr:uid="{32A27ECA-4AFE-42C9-AB94-B54F5F9A5CF5}"/>
    <cellStyle name="20% - Accent1 3 2 6 2 4" xfId="25199" xr:uid="{1DF87A34-2270-4E55-97E2-41C652E45E88}"/>
    <cellStyle name="20% - Accent1 3 2 6 2 5" xfId="15902" xr:uid="{75F1404A-0977-436E-9CB2-8E1A1935E3EF}"/>
    <cellStyle name="20% - Accent1 3 2 6 3" xfId="37877" xr:uid="{E5A5CBA8-3D82-4EC9-B2C4-4C40854DA45E}"/>
    <cellStyle name="20% - Accent1 3 2 6 4" xfId="29429" xr:uid="{96601AAC-E74A-4DEC-8161-0A52918D7EC4}"/>
    <cellStyle name="20% - Accent1 3 2 6 5" xfId="20982" xr:uid="{8303B217-0B42-4E28-BF0E-04E33667E4DD}"/>
    <cellStyle name="20% - Accent1 3 2 6 6" xfId="11685" xr:uid="{6701713B-8BF4-42BB-9EB7-EFCC45D7C230}"/>
    <cellStyle name="20% - Accent1 3 2 7" xfId="4510" xr:uid="{00000000-0005-0000-0000-000066000000}"/>
    <cellStyle name="20% - Accent1 3 2 7 2" xfId="40028" xr:uid="{2BA50290-F86C-4445-A3A1-97E4F7DA6D46}"/>
    <cellStyle name="20% - Accent1 3 2 7 3" xfId="31581" xr:uid="{CEC3D249-9D72-4A45-8A9E-76B8035AB715}"/>
    <cellStyle name="20% - Accent1 3 2 7 4" xfId="23133" xr:uid="{B12BCF00-1072-4E6E-B2E6-895210D27E3F}"/>
    <cellStyle name="20% - Accent1 3 2 7 5" xfId="13836" xr:uid="{CFE641BF-E706-47AB-B411-AE8151E142F4}"/>
    <cellStyle name="20% - Accent1 3 2 8" xfId="9068" xr:uid="{354460C9-AD38-4FCD-882B-4DFB81DE5890}"/>
    <cellStyle name="20% - Accent1 3 2 8 2" xfId="35811" xr:uid="{08C7D3C0-3E47-44A1-BD26-884ACCD2BB2E}"/>
    <cellStyle name="20% - Accent1 3 2 8 3" xfId="18391" xr:uid="{82AD18F7-1033-4661-B82E-E541DD3DD47B}"/>
    <cellStyle name="20% - Accent1 3 2 9" xfId="27363" xr:uid="{A821EDB7-3D6F-4E8E-A4AB-AF96D91E3F58}"/>
    <cellStyle name="20% - Accent1 3 3" xfId="575" xr:uid="{00000000-0005-0000-0000-000067000000}"/>
    <cellStyle name="20% - Accent1 3 3 2" xfId="2846" xr:uid="{00000000-0005-0000-0000-000068000000}"/>
    <cellStyle name="20% - Accent1 3 3 2 2" xfId="7068" xr:uid="{00000000-0005-0000-0000-000069000000}"/>
    <cellStyle name="20% - Accent1 3 3 2 2 2" xfId="42586" xr:uid="{7718556A-75C8-4F65-A1B6-6FA0E48FE4FA}"/>
    <cellStyle name="20% - Accent1 3 3 2 2 3" xfId="34139" xr:uid="{9F64B040-1B7C-4F27-9835-5E595ED20F94}"/>
    <cellStyle name="20% - Accent1 3 3 2 2 4" xfId="25691" xr:uid="{C8C82A52-983A-4E25-B628-64B1425C5678}"/>
    <cellStyle name="20% - Accent1 3 3 2 2 5" xfId="16394" xr:uid="{BE71C644-B60B-46BB-80C0-285FA4938F6F}"/>
    <cellStyle name="20% - Accent1 3 3 2 3" xfId="38369" xr:uid="{268E00ED-700A-4728-A9D8-BC4E88885BFC}"/>
    <cellStyle name="20% - Accent1 3 3 2 4" xfId="29921" xr:uid="{C5133F5B-5902-45DB-A4F2-5E832F2897AD}"/>
    <cellStyle name="20% - Accent1 3 3 2 5" xfId="21474" xr:uid="{3E9518E7-6615-4A4C-A5CB-84C6FCC6AAE0}"/>
    <cellStyle name="20% - Accent1 3 3 2 6" xfId="12177" xr:uid="{0FB8F93F-E720-45C3-BD5E-879784A3CA18}"/>
    <cellStyle name="20% - Accent1 3 3 3" xfId="4923" xr:uid="{00000000-0005-0000-0000-00006A000000}"/>
    <cellStyle name="20% - Accent1 3 3 3 2" xfId="40441" xr:uid="{99A79727-5645-424B-9D3F-932BA14A84EB}"/>
    <cellStyle name="20% - Accent1 3 3 3 3" xfId="31994" xr:uid="{A57BD0E6-1938-48F6-A53A-2FEF495799E6}"/>
    <cellStyle name="20% - Accent1 3 3 3 4" xfId="23546" xr:uid="{FE0E9C67-C050-4883-B621-3827A3AC339B}"/>
    <cellStyle name="20% - Accent1 3 3 3 5" xfId="14249" xr:uid="{880EE0A4-F9C0-450E-9611-41936BA4FEEE}"/>
    <cellStyle name="20% - Accent1 3 3 4" xfId="9286" xr:uid="{B5220C4B-EBE7-4AD0-9A24-7F16FA378184}"/>
    <cellStyle name="20% - Accent1 3 3 4 2" xfId="36224" xr:uid="{592A592C-F911-4476-B774-86C968CCEACD}"/>
    <cellStyle name="20% - Accent1 3 3 4 3" xfId="18599" xr:uid="{7564F643-FB45-4DB4-B031-D536AE2903AE}"/>
    <cellStyle name="20% - Accent1 3 3 5" xfId="27776" xr:uid="{FF0088B5-C5EB-4200-BE38-F942CDA3C4B3}"/>
    <cellStyle name="20% - Accent1 3 3 6" xfId="19329" xr:uid="{3C250A18-07DA-4F47-8907-E98BD601A154}"/>
    <cellStyle name="20% - Accent1 3 3 7" xfId="10032" xr:uid="{1F68890A-EAB1-43D0-BDE7-408A2820E689}"/>
    <cellStyle name="20% - Accent1 3 4" xfId="1028" xr:uid="{00000000-0005-0000-0000-00006B000000}"/>
    <cellStyle name="20% - Accent1 3 4 2" xfId="3259" xr:uid="{00000000-0005-0000-0000-00006C000000}"/>
    <cellStyle name="20% - Accent1 3 4 2 2" xfId="7481" xr:uid="{00000000-0005-0000-0000-00006D000000}"/>
    <cellStyle name="20% - Accent1 3 4 2 2 2" xfId="42999" xr:uid="{84EC3FCB-666F-4388-9877-4C797E9D775C}"/>
    <cellStyle name="20% - Accent1 3 4 2 2 3" xfId="34552" xr:uid="{2539FBE6-4628-4A22-9E8C-0053C29D8926}"/>
    <cellStyle name="20% - Accent1 3 4 2 2 4" xfId="26104" xr:uid="{4D41C9FF-14EA-4EA1-8D82-AACCB3506B9A}"/>
    <cellStyle name="20% - Accent1 3 4 2 2 5" xfId="16807" xr:uid="{F054ECD8-1AE1-4FA9-B030-5900CA1B738A}"/>
    <cellStyle name="20% - Accent1 3 4 2 3" xfId="38782" xr:uid="{66DB53DB-D6D1-4DAB-BC24-D67B86CE4823}"/>
    <cellStyle name="20% - Accent1 3 4 2 4" xfId="30334" xr:uid="{4B4D96C4-B54D-4A31-9E2F-2D0513F42285}"/>
    <cellStyle name="20% - Accent1 3 4 2 5" xfId="21887" xr:uid="{DFC35227-887D-41ED-A3C8-84D1E926137D}"/>
    <cellStyle name="20% - Accent1 3 4 2 6" xfId="12590" xr:uid="{B4B86098-9457-42F9-8DCE-6F0B36B70EEE}"/>
    <cellStyle name="20% - Accent1 3 4 3" xfId="5336" xr:uid="{00000000-0005-0000-0000-00006E000000}"/>
    <cellStyle name="20% - Accent1 3 4 3 2" xfId="40854" xr:uid="{ECB71906-1789-425B-95DB-2E2BF63E3164}"/>
    <cellStyle name="20% - Accent1 3 4 3 3" xfId="32407" xr:uid="{4F38CD89-68F4-4923-8A0B-C48AF4095116}"/>
    <cellStyle name="20% - Accent1 3 4 3 4" xfId="23959" xr:uid="{E1467544-CFE6-40CC-BCB5-1BAF7A21FD50}"/>
    <cellStyle name="20% - Accent1 3 4 3 5" xfId="14662" xr:uid="{BC82DAC8-C974-4EA5-BF91-4B8D4133224A}"/>
    <cellStyle name="20% - Accent1 3 4 4" xfId="36637" xr:uid="{2EE4355E-F9FD-46A6-8245-184E33831C79}"/>
    <cellStyle name="20% - Accent1 3 4 5" xfId="28189" xr:uid="{2E32A9B1-413C-448D-A738-78ADF362384D}"/>
    <cellStyle name="20% - Accent1 3 4 6" xfId="19742" xr:uid="{74EE97C0-9901-4615-BDA3-CB609B2EA8DD}"/>
    <cellStyle name="20% - Accent1 3 4 7" xfId="10445" xr:uid="{AEE51BBA-0C96-4527-871C-3E96BBEC9DB8}"/>
    <cellStyle name="20% - Accent1 3 5" xfId="1442" xr:uid="{00000000-0005-0000-0000-00006F000000}"/>
    <cellStyle name="20% - Accent1 3 5 2" xfId="3672" xr:uid="{00000000-0005-0000-0000-000070000000}"/>
    <cellStyle name="20% - Accent1 3 5 2 2" xfId="7894" xr:uid="{00000000-0005-0000-0000-000071000000}"/>
    <cellStyle name="20% - Accent1 3 5 2 2 2" xfId="43412" xr:uid="{3B15788B-71C5-4D30-A8AD-DED8C4710891}"/>
    <cellStyle name="20% - Accent1 3 5 2 2 3" xfId="34965" xr:uid="{D4087C4A-4BBB-4826-AF61-055DF69768FF}"/>
    <cellStyle name="20% - Accent1 3 5 2 2 4" xfId="26517" xr:uid="{A0259E5C-37F2-4BA2-9C75-2BCADB1C9D92}"/>
    <cellStyle name="20% - Accent1 3 5 2 2 5" xfId="17220" xr:uid="{11C15F1F-189B-4323-BCE1-C5AD3022E6A9}"/>
    <cellStyle name="20% - Accent1 3 5 2 3" xfId="39195" xr:uid="{149DC3CE-333F-4C04-A8A9-E80E42126850}"/>
    <cellStyle name="20% - Accent1 3 5 2 4" xfId="30747" xr:uid="{CB0A2D4F-AD70-4540-BE0A-61D8D1662796}"/>
    <cellStyle name="20% - Accent1 3 5 2 5" xfId="22300" xr:uid="{52E5C64F-09F5-4E47-86D7-D20C394E4D3B}"/>
    <cellStyle name="20% - Accent1 3 5 2 6" xfId="13003" xr:uid="{B000C15B-99E9-4104-981B-03451A207AB0}"/>
    <cellStyle name="20% - Accent1 3 5 3" xfId="5749" xr:uid="{00000000-0005-0000-0000-000072000000}"/>
    <cellStyle name="20% - Accent1 3 5 3 2" xfId="41267" xr:uid="{FC89CE67-BA7F-4883-B67E-7E992EBD03B8}"/>
    <cellStyle name="20% - Accent1 3 5 3 3" xfId="32820" xr:uid="{B2E5863C-65CB-42F3-827A-4A15C60E8AB7}"/>
    <cellStyle name="20% - Accent1 3 5 3 4" xfId="24372" xr:uid="{9154D56C-7A53-42FF-BE10-3FF95178011B}"/>
    <cellStyle name="20% - Accent1 3 5 3 5" xfId="15075" xr:uid="{64AE9850-A9B7-4979-AB6B-39F4523FD81D}"/>
    <cellStyle name="20% - Accent1 3 5 4" xfId="37050" xr:uid="{C7663737-728C-42F8-96AF-417AACD8BAE2}"/>
    <cellStyle name="20% - Accent1 3 5 5" xfId="28602" xr:uid="{7A525A98-B04C-4805-A43B-A8420D207270}"/>
    <cellStyle name="20% - Accent1 3 5 6" xfId="20155" xr:uid="{1C62AEDA-38EA-47C3-96DC-1D1852724308}"/>
    <cellStyle name="20% - Accent1 3 5 7" xfId="10858" xr:uid="{86D86DA7-9F18-4C6F-A439-9242CCAEF5EC}"/>
    <cellStyle name="20% - Accent1 3 6" xfId="1856" xr:uid="{00000000-0005-0000-0000-000073000000}"/>
    <cellStyle name="20% - Accent1 3 6 2" xfId="4085" xr:uid="{00000000-0005-0000-0000-000074000000}"/>
    <cellStyle name="20% - Accent1 3 6 2 2" xfId="8307" xr:uid="{00000000-0005-0000-0000-000075000000}"/>
    <cellStyle name="20% - Accent1 3 6 2 2 2" xfId="43825" xr:uid="{E1F3E267-42EF-4617-9596-FB0BED0FB3B1}"/>
    <cellStyle name="20% - Accent1 3 6 2 2 3" xfId="35378" xr:uid="{626DDED4-7978-44E8-B444-353BA28BE4A4}"/>
    <cellStyle name="20% - Accent1 3 6 2 2 4" xfId="26930" xr:uid="{67E5692D-114E-4BF6-9940-46D3FB734309}"/>
    <cellStyle name="20% - Accent1 3 6 2 2 5" xfId="17633" xr:uid="{8BE4E457-E011-44B2-B8BD-85E62ECDEF0C}"/>
    <cellStyle name="20% - Accent1 3 6 2 3" xfId="39608" xr:uid="{25EC33EF-5FE2-4DC1-A552-B1CC850187FD}"/>
    <cellStyle name="20% - Accent1 3 6 2 4" xfId="31160" xr:uid="{8E720ADB-2904-4490-8761-02F1EA561181}"/>
    <cellStyle name="20% - Accent1 3 6 2 5" xfId="22713" xr:uid="{D65B86DD-DA5C-4CFB-81B3-001972DF3E7E}"/>
    <cellStyle name="20% - Accent1 3 6 2 6" xfId="13416" xr:uid="{36BA5805-CD56-4726-B9B5-5F59A417C56E}"/>
    <cellStyle name="20% - Accent1 3 6 3" xfId="6162" xr:uid="{00000000-0005-0000-0000-000076000000}"/>
    <cellStyle name="20% - Accent1 3 6 3 2" xfId="41680" xr:uid="{1B41060B-913C-4CD2-B86B-50761FEA6634}"/>
    <cellStyle name="20% - Accent1 3 6 3 3" xfId="33233" xr:uid="{04191D32-8E0F-4BAD-8C16-A17C8E335A3D}"/>
    <cellStyle name="20% - Accent1 3 6 3 4" xfId="24785" xr:uid="{3A94018A-003E-4273-B37B-367E27746306}"/>
    <cellStyle name="20% - Accent1 3 6 3 5" xfId="15488" xr:uid="{5D9B9D9F-9241-4641-AD37-5463734BAB46}"/>
    <cellStyle name="20% - Accent1 3 6 4" xfId="37463" xr:uid="{6863B893-4130-437C-9B5F-E8379F7925CC}"/>
    <cellStyle name="20% - Accent1 3 6 5" xfId="29015" xr:uid="{A3093502-C9C2-49C6-B582-30FD0E592F56}"/>
    <cellStyle name="20% - Accent1 3 6 6" xfId="20568" xr:uid="{58B74238-F52B-427D-883E-727BF57A0A6E}"/>
    <cellStyle name="20% - Accent1 3 6 7" xfId="11271" xr:uid="{990BBD73-7530-4EE7-AD91-0826E6949469}"/>
    <cellStyle name="20% - Accent1 3 7" xfId="2269" xr:uid="{00000000-0005-0000-0000-000077000000}"/>
    <cellStyle name="20% - Accent1 3 7 2" xfId="6575" xr:uid="{00000000-0005-0000-0000-000078000000}"/>
    <cellStyle name="20% - Accent1 3 7 2 2" xfId="42093" xr:uid="{FAE45C5C-33B0-4ADF-B6EF-94EAAC7BE470}"/>
    <cellStyle name="20% - Accent1 3 7 2 3" xfId="33646" xr:uid="{37604386-66D7-4456-BB50-DC594EECD7CF}"/>
    <cellStyle name="20% - Accent1 3 7 2 4" xfId="25198" xr:uid="{5FCFB45B-A000-48CF-8516-1ABF80263827}"/>
    <cellStyle name="20% - Accent1 3 7 2 5" xfId="15901" xr:uid="{FD403816-701A-427C-9323-F9A9BFC39748}"/>
    <cellStyle name="20% - Accent1 3 7 3" xfId="37876" xr:uid="{3A7E94AA-B64F-45E0-A553-C45DF2C4EF0D}"/>
    <cellStyle name="20% - Accent1 3 7 4" xfId="29428" xr:uid="{17137D84-E101-49EB-8668-5F0990EBA7C2}"/>
    <cellStyle name="20% - Accent1 3 7 5" xfId="20981" xr:uid="{417E6D87-0ABE-49C1-AD54-2CA7FAA91DC0}"/>
    <cellStyle name="20% - Accent1 3 7 6" xfId="11684" xr:uid="{FDCAD7AD-BA86-429A-B3D5-592071F17A66}"/>
    <cellStyle name="20% - Accent1 3 8" xfId="4509" xr:uid="{00000000-0005-0000-0000-000079000000}"/>
    <cellStyle name="20% - Accent1 3 8 2" xfId="40027" xr:uid="{68E100EC-BC25-4BAB-BCEB-0B18814A84D9}"/>
    <cellStyle name="20% - Accent1 3 8 3" xfId="31580" xr:uid="{4A3EAA6C-6079-4002-ADC2-4F89C78FACDE}"/>
    <cellStyle name="20% - Accent1 3 8 4" xfId="23132" xr:uid="{1F3BD91D-FCB2-44C6-9168-1EEB2DEB596C}"/>
    <cellStyle name="20% - Accent1 3 8 5" xfId="13835" xr:uid="{6ACD4390-5B1B-4886-BC1B-64A7DE59FABC}"/>
    <cellStyle name="20% - Accent1 3 9" xfId="8861" xr:uid="{C1B75176-75E3-4E31-86A7-851E7FD67A9E}"/>
    <cellStyle name="20% - Accent1 3 9 2" xfId="35810" xr:uid="{4C1F37F2-BFD8-4D94-B110-96785D6496C6}"/>
    <cellStyle name="20% - Accent1 3 9 3" xfId="18184" xr:uid="{62388689-4E2D-41C2-8424-6C2ECF7C5800}"/>
    <cellStyle name="20% - Accent1 4" xfId="8" xr:uid="{00000000-0005-0000-0000-00007A000000}"/>
    <cellStyle name="20% - Accent1 4 10" xfId="18917" xr:uid="{F3D2EAC8-C0D8-4984-BF68-208459A0EA51}"/>
    <cellStyle name="20% - Accent1 4 11" xfId="9620" xr:uid="{F64F9DB1-3854-4114-8088-EDF98E94B5F0}"/>
    <cellStyle name="20% - Accent1 4 2" xfId="577" xr:uid="{00000000-0005-0000-0000-00007B000000}"/>
    <cellStyle name="20% - Accent1 4 2 2" xfId="2848" xr:uid="{00000000-0005-0000-0000-00007C000000}"/>
    <cellStyle name="20% - Accent1 4 2 2 2" xfId="7070" xr:uid="{00000000-0005-0000-0000-00007D000000}"/>
    <cellStyle name="20% - Accent1 4 2 2 2 2" xfId="42588" xr:uid="{5FFCABB3-64ED-4655-B6CF-33106FFFD25B}"/>
    <cellStyle name="20% - Accent1 4 2 2 2 3" xfId="34141" xr:uid="{30EAED62-D96D-4E05-AB6F-34DCD050E5AA}"/>
    <cellStyle name="20% - Accent1 4 2 2 2 4" xfId="25693" xr:uid="{2CDE3CB3-4603-4ABD-9EF6-B9F22826AF12}"/>
    <cellStyle name="20% - Accent1 4 2 2 2 5" xfId="16396" xr:uid="{21FAD20D-A35A-4313-B6B4-BC7B1FE66B3C}"/>
    <cellStyle name="20% - Accent1 4 2 2 3" xfId="38371" xr:uid="{78E82DEC-3A37-41AE-85FE-C5F587B453D0}"/>
    <cellStyle name="20% - Accent1 4 2 2 4" xfId="29923" xr:uid="{F3B7B846-0731-4911-A844-D8BB2236DA62}"/>
    <cellStyle name="20% - Accent1 4 2 2 5" xfId="21476" xr:uid="{13E53478-5471-454B-9A89-2E2380EBA5F2}"/>
    <cellStyle name="20% - Accent1 4 2 2 6" xfId="12179" xr:uid="{2E853726-F63C-466B-93B3-8B1835BE536D}"/>
    <cellStyle name="20% - Accent1 4 2 3" xfId="4925" xr:uid="{00000000-0005-0000-0000-00007E000000}"/>
    <cellStyle name="20% - Accent1 4 2 3 2" xfId="40443" xr:uid="{15114B74-A4E2-4326-852C-8C280EAFB894}"/>
    <cellStyle name="20% - Accent1 4 2 3 3" xfId="31996" xr:uid="{32094A87-52C0-43BB-8138-5466BAD59071}"/>
    <cellStyle name="20% - Accent1 4 2 3 4" xfId="23548" xr:uid="{5774B9BB-E4D9-43DB-99EC-74BE64596567}"/>
    <cellStyle name="20% - Accent1 4 2 3 5" xfId="14251" xr:uid="{42BF760C-F408-48A7-8421-975BD4B5A68F}"/>
    <cellStyle name="20% - Accent1 4 2 4" xfId="9372" xr:uid="{E6B08341-6F7D-4580-9BCF-4BFC252FAE31}"/>
    <cellStyle name="20% - Accent1 4 2 4 2" xfId="36226" xr:uid="{DBB935EF-C7A5-4B7E-B321-B261EE0048A5}"/>
    <cellStyle name="20% - Accent1 4 2 4 3" xfId="18685" xr:uid="{A1C1FDBA-3E6E-4D56-B54D-A56F44E4E18C}"/>
    <cellStyle name="20% - Accent1 4 2 5" xfId="27778" xr:uid="{1091F29A-B911-4833-AA5E-18D6A8658989}"/>
    <cellStyle name="20% - Accent1 4 2 6" xfId="19331" xr:uid="{EF53B897-1050-4F14-9134-7DB7D2F879EB}"/>
    <cellStyle name="20% - Accent1 4 2 7" xfId="10034" xr:uid="{BD86372C-C12C-4E57-B3D4-F005EE96690E}"/>
    <cellStyle name="20% - Accent1 4 3" xfId="1030" xr:uid="{00000000-0005-0000-0000-00007F000000}"/>
    <cellStyle name="20% - Accent1 4 3 2" xfId="3261" xr:uid="{00000000-0005-0000-0000-000080000000}"/>
    <cellStyle name="20% - Accent1 4 3 2 2" xfId="7483" xr:uid="{00000000-0005-0000-0000-000081000000}"/>
    <cellStyle name="20% - Accent1 4 3 2 2 2" xfId="43001" xr:uid="{D468367F-B5A6-495C-9378-63C3006E8303}"/>
    <cellStyle name="20% - Accent1 4 3 2 2 3" xfId="34554" xr:uid="{16938C6F-F47B-447C-82B2-875A1DF115F1}"/>
    <cellStyle name="20% - Accent1 4 3 2 2 4" xfId="26106" xr:uid="{EC602137-532C-4028-B3E4-BEB303B033F5}"/>
    <cellStyle name="20% - Accent1 4 3 2 2 5" xfId="16809" xr:uid="{94A9BAB6-171A-4FD3-B8C9-31CB3018B324}"/>
    <cellStyle name="20% - Accent1 4 3 2 3" xfId="38784" xr:uid="{CFD199DE-B797-457E-9E6E-82DED9C168BA}"/>
    <cellStyle name="20% - Accent1 4 3 2 4" xfId="30336" xr:uid="{4F251F29-7610-456D-BB49-B254F7AA03C4}"/>
    <cellStyle name="20% - Accent1 4 3 2 5" xfId="21889" xr:uid="{FA4FF82C-688E-4A94-BB6D-74F0B3B0F054}"/>
    <cellStyle name="20% - Accent1 4 3 2 6" xfId="12592" xr:uid="{4578FF18-4691-49E3-ADB8-DA738836F514}"/>
    <cellStyle name="20% - Accent1 4 3 3" xfId="5338" xr:uid="{00000000-0005-0000-0000-000082000000}"/>
    <cellStyle name="20% - Accent1 4 3 3 2" xfId="40856" xr:uid="{2860945A-C453-4848-8BC9-FCA63BEAF131}"/>
    <cellStyle name="20% - Accent1 4 3 3 3" xfId="32409" xr:uid="{B20545B8-DC86-4243-A207-850334430B25}"/>
    <cellStyle name="20% - Accent1 4 3 3 4" xfId="23961" xr:uid="{94412BBE-A18E-4B3D-B300-B2D285EE63D0}"/>
    <cellStyle name="20% - Accent1 4 3 3 5" xfId="14664" xr:uid="{8355CEA9-B3A8-46A0-BBBA-1E5A43DA2E2C}"/>
    <cellStyle name="20% - Accent1 4 3 4" xfId="36639" xr:uid="{EF92392B-3284-4508-AA39-548C1F8BF2D1}"/>
    <cellStyle name="20% - Accent1 4 3 5" xfId="28191" xr:uid="{59F4A241-7408-4295-9A03-E47606178EE6}"/>
    <cellStyle name="20% - Accent1 4 3 6" xfId="19744" xr:uid="{B482473B-A098-4A72-B911-040C4512BE21}"/>
    <cellStyle name="20% - Accent1 4 3 7" xfId="10447" xr:uid="{FE86003B-F7A0-406A-97DF-A84D7ECB9280}"/>
    <cellStyle name="20% - Accent1 4 4" xfId="1444" xr:uid="{00000000-0005-0000-0000-000083000000}"/>
    <cellStyle name="20% - Accent1 4 4 2" xfId="3674" xr:uid="{00000000-0005-0000-0000-000084000000}"/>
    <cellStyle name="20% - Accent1 4 4 2 2" xfId="7896" xr:uid="{00000000-0005-0000-0000-000085000000}"/>
    <cellStyle name="20% - Accent1 4 4 2 2 2" xfId="43414" xr:uid="{6928315F-9E48-42F2-A35E-45531389FEC9}"/>
    <cellStyle name="20% - Accent1 4 4 2 2 3" xfId="34967" xr:uid="{45C30287-8279-48B5-9C8B-D63CE92CDDA9}"/>
    <cellStyle name="20% - Accent1 4 4 2 2 4" xfId="26519" xr:uid="{2DFA5D3C-6720-46EE-AEFE-A3B583BAB979}"/>
    <cellStyle name="20% - Accent1 4 4 2 2 5" xfId="17222" xr:uid="{4B9DA865-6C31-4D79-9950-D1D04BAA0231}"/>
    <cellStyle name="20% - Accent1 4 4 2 3" xfId="39197" xr:uid="{9DB49DFA-D8A0-427C-9218-092DE83677F5}"/>
    <cellStyle name="20% - Accent1 4 4 2 4" xfId="30749" xr:uid="{65A51C67-DD24-452A-B0B5-3E6F13BB22D7}"/>
    <cellStyle name="20% - Accent1 4 4 2 5" xfId="22302" xr:uid="{01467FC9-A299-483B-9880-6A75F3D858CE}"/>
    <cellStyle name="20% - Accent1 4 4 2 6" xfId="13005" xr:uid="{FCDDCE2E-BAF9-4E37-A829-09FAD69626BC}"/>
    <cellStyle name="20% - Accent1 4 4 3" xfId="5751" xr:uid="{00000000-0005-0000-0000-000086000000}"/>
    <cellStyle name="20% - Accent1 4 4 3 2" xfId="41269" xr:uid="{7C1AD666-EBBD-43DE-8E85-2BFC33F0B9DC}"/>
    <cellStyle name="20% - Accent1 4 4 3 3" xfId="32822" xr:uid="{EA2613BE-DBC8-4381-93A0-9DD3358AEB4A}"/>
    <cellStyle name="20% - Accent1 4 4 3 4" xfId="24374" xr:uid="{15E5B2B4-04D4-4A29-94C8-85B68BB9B575}"/>
    <cellStyle name="20% - Accent1 4 4 3 5" xfId="15077" xr:uid="{EAB2AE87-3FD3-4B62-B719-C4341E20596D}"/>
    <cellStyle name="20% - Accent1 4 4 4" xfId="37052" xr:uid="{DEF096E3-BBD4-426A-825A-7D93C60709AA}"/>
    <cellStyle name="20% - Accent1 4 4 5" xfId="28604" xr:uid="{5D77B225-4F89-4514-8CF0-22D250483D03}"/>
    <cellStyle name="20% - Accent1 4 4 6" xfId="20157" xr:uid="{BD95C961-5C7E-4FA2-89E3-F5B2612B6E85}"/>
    <cellStyle name="20% - Accent1 4 4 7" xfId="10860" xr:uid="{76E6DD04-9648-43E0-AE28-C98862051C4F}"/>
    <cellStyle name="20% - Accent1 4 5" xfId="1858" xr:uid="{00000000-0005-0000-0000-000087000000}"/>
    <cellStyle name="20% - Accent1 4 5 2" xfId="4087" xr:uid="{00000000-0005-0000-0000-000088000000}"/>
    <cellStyle name="20% - Accent1 4 5 2 2" xfId="8309" xr:uid="{00000000-0005-0000-0000-000089000000}"/>
    <cellStyle name="20% - Accent1 4 5 2 2 2" xfId="43827" xr:uid="{CBEF62F4-B9F3-4AEE-B214-229C2F639563}"/>
    <cellStyle name="20% - Accent1 4 5 2 2 3" xfId="35380" xr:uid="{DFA0C95A-1D6C-4589-8F04-6C00563A85E1}"/>
    <cellStyle name="20% - Accent1 4 5 2 2 4" xfId="26932" xr:uid="{3B3CEF3D-C956-4DF7-B2CB-ECC9EAA72811}"/>
    <cellStyle name="20% - Accent1 4 5 2 2 5" xfId="17635" xr:uid="{DA94C691-4A54-4DC2-90B4-BEB1F1C4801D}"/>
    <cellStyle name="20% - Accent1 4 5 2 3" xfId="39610" xr:uid="{27279B6D-2548-4B2E-9E8B-85A1EC197B0C}"/>
    <cellStyle name="20% - Accent1 4 5 2 4" xfId="31162" xr:uid="{59B5ADC3-72CC-4D7B-ADC7-E1D247FAFD25}"/>
    <cellStyle name="20% - Accent1 4 5 2 5" xfId="22715" xr:uid="{BFE36FF2-762A-4062-BA78-9CE71A82DB82}"/>
    <cellStyle name="20% - Accent1 4 5 2 6" xfId="13418" xr:uid="{4FB90354-B1FA-46BC-9B41-D4B2D6F3CF50}"/>
    <cellStyle name="20% - Accent1 4 5 3" xfId="6164" xr:uid="{00000000-0005-0000-0000-00008A000000}"/>
    <cellStyle name="20% - Accent1 4 5 3 2" xfId="41682" xr:uid="{FEC58133-2D0A-4E4C-BBD3-9C5FB5333E74}"/>
    <cellStyle name="20% - Accent1 4 5 3 3" xfId="33235" xr:uid="{69B5052B-A77F-47B9-9FA7-C03D85066F36}"/>
    <cellStyle name="20% - Accent1 4 5 3 4" xfId="24787" xr:uid="{B0E147B3-869F-42E6-BEF4-E39B566BFA8C}"/>
    <cellStyle name="20% - Accent1 4 5 3 5" xfId="15490" xr:uid="{F8747953-D22A-43F4-A2C5-264202BBF21B}"/>
    <cellStyle name="20% - Accent1 4 5 4" xfId="37465" xr:uid="{D0577240-178F-4A28-AFFE-09E7A0ED1B83}"/>
    <cellStyle name="20% - Accent1 4 5 5" xfId="29017" xr:uid="{7FC82146-5FA3-4319-A194-DA4AD37F71FD}"/>
    <cellStyle name="20% - Accent1 4 5 6" xfId="20570" xr:uid="{9FF7D60E-364A-49EB-B292-ACD4111FEEE7}"/>
    <cellStyle name="20% - Accent1 4 5 7" xfId="11273" xr:uid="{F5D5133E-225A-4180-8957-22490905FB02}"/>
    <cellStyle name="20% - Accent1 4 6" xfId="2271" xr:uid="{00000000-0005-0000-0000-00008B000000}"/>
    <cellStyle name="20% - Accent1 4 6 2" xfId="6577" xr:uid="{00000000-0005-0000-0000-00008C000000}"/>
    <cellStyle name="20% - Accent1 4 6 2 2" xfId="42095" xr:uid="{69A3DD39-0DEB-49E6-AD88-465B7BE49965}"/>
    <cellStyle name="20% - Accent1 4 6 2 3" xfId="33648" xr:uid="{6BDB1B7D-7844-4F51-A8AD-99593F6602F0}"/>
    <cellStyle name="20% - Accent1 4 6 2 4" xfId="25200" xr:uid="{E4FE5222-228B-4ACE-9060-2F1931A40EEC}"/>
    <cellStyle name="20% - Accent1 4 6 2 5" xfId="15903" xr:uid="{65739E2A-D2DF-42C5-B9D7-AEB343E39F08}"/>
    <cellStyle name="20% - Accent1 4 6 3" xfId="37878" xr:uid="{55394C8E-1B84-4F0F-8705-82BA2C9F4E1D}"/>
    <cellStyle name="20% - Accent1 4 6 4" xfId="29430" xr:uid="{25B99591-A190-485C-8B69-7CAF8835A1EF}"/>
    <cellStyle name="20% - Accent1 4 6 5" xfId="20983" xr:uid="{A45DD7AD-51D9-419B-9B4E-070FF3A1EB3E}"/>
    <cellStyle name="20% - Accent1 4 6 6" xfId="11686" xr:uid="{7757FB8E-21FA-4CC8-9874-C52B3025987D}"/>
    <cellStyle name="20% - Accent1 4 7" xfId="4511" xr:uid="{00000000-0005-0000-0000-00008D000000}"/>
    <cellStyle name="20% - Accent1 4 7 2" xfId="40029" xr:uid="{530FB1F8-2990-456D-A160-82747F0AC8DE}"/>
    <cellStyle name="20% - Accent1 4 7 3" xfId="31582" xr:uid="{9E6EA639-3D8E-4B0A-81B4-CEFAB8828596}"/>
    <cellStyle name="20% - Accent1 4 7 4" xfId="23134" xr:uid="{F9A1676C-C68F-42C6-835A-41418FB8D3D4}"/>
    <cellStyle name="20% - Accent1 4 7 5" xfId="13837" xr:uid="{E87218BD-9724-419D-8A0C-5A2CE0F08AB9}"/>
    <cellStyle name="20% - Accent1 4 8" xfId="8947" xr:uid="{1FCDBFE2-CC86-42DD-AD9B-D3EAF476002E}"/>
    <cellStyle name="20% - Accent1 4 8 2" xfId="35812" xr:uid="{A6CE4FE1-D394-45BE-9C14-DB7DC85B14BD}"/>
    <cellStyle name="20% - Accent1 4 8 3" xfId="18270" xr:uid="{04DDAF93-3FF2-4BF9-8B96-085C091493A5}"/>
    <cellStyle name="20% - Accent1 4 9" xfId="27364" xr:uid="{3A7CF71A-3418-48BF-B735-DC9E5C0353F3}"/>
    <cellStyle name="20% - Accent1 5" xfId="570" xr:uid="{00000000-0005-0000-0000-00008E000000}"/>
    <cellStyle name="20% - Accent1 5 2" xfId="2841" xr:uid="{00000000-0005-0000-0000-00008F000000}"/>
    <cellStyle name="20% - Accent1 5 2 2" xfId="7063" xr:uid="{00000000-0005-0000-0000-000090000000}"/>
    <cellStyle name="20% - Accent1 5 2 2 2" xfId="42581" xr:uid="{B63A79FF-3821-436E-A97A-CDBEE2DE8D33}"/>
    <cellStyle name="20% - Accent1 5 2 2 3" xfId="34134" xr:uid="{7F43241E-592A-4B2B-A449-2FD99943E04F}"/>
    <cellStyle name="20% - Accent1 5 2 2 4" xfId="25686" xr:uid="{24900378-E293-41AF-8EEC-13D033B050B0}"/>
    <cellStyle name="20% - Accent1 5 2 2 5" xfId="16389" xr:uid="{C96DB04D-50E2-495A-B1A7-A1A52AF9DEDA}"/>
    <cellStyle name="20% - Accent1 5 2 3" xfId="38364" xr:uid="{EB87933C-643B-4FD3-8C97-27789ED080FC}"/>
    <cellStyle name="20% - Accent1 5 2 4" xfId="29916" xr:uid="{08D096C9-D5DA-4544-AF69-99D13E05EEF2}"/>
    <cellStyle name="20% - Accent1 5 2 5" xfId="21469" xr:uid="{38010264-6E46-4326-92F6-0523FA989C78}"/>
    <cellStyle name="20% - Accent1 5 2 6" xfId="12172" xr:uid="{19B1A3A5-AEF9-4CC3-9047-8CD28C70E701}"/>
    <cellStyle name="20% - Accent1 5 3" xfId="4918" xr:uid="{00000000-0005-0000-0000-000091000000}"/>
    <cellStyle name="20% - Accent1 5 3 2" xfId="40436" xr:uid="{35128801-ED3B-49F3-9341-D21A1AA1007D}"/>
    <cellStyle name="20% - Accent1 5 3 3" xfId="31989" xr:uid="{BD19E4DC-565F-4090-A158-74C58FAFF3BD}"/>
    <cellStyle name="20% - Accent1 5 3 4" xfId="23541" xr:uid="{DF76F467-18FD-4DC4-A72B-E39F1985B8B1}"/>
    <cellStyle name="20% - Accent1 5 3 5" xfId="14244" xr:uid="{1235A742-9DAD-4BD4-9939-4D028E59408C}"/>
    <cellStyle name="20% - Accent1 5 4" xfId="9180" xr:uid="{D0AEF57E-25E3-47C5-B910-DC1A0019F498}"/>
    <cellStyle name="20% - Accent1 5 4 2" xfId="36219" xr:uid="{7A86B47B-1CB0-4319-BFAE-0EC958B152DB}"/>
    <cellStyle name="20% - Accent1 5 4 3" xfId="18496" xr:uid="{E59B1E97-449D-4407-BF6E-08231D9F5321}"/>
    <cellStyle name="20% - Accent1 5 5" xfId="27771" xr:uid="{88A9C12E-C7FC-4985-A913-3B327D967FF9}"/>
    <cellStyle name="20% - Accent1 5 6" xfId="19324" xr:uid="{AFF4B6A8-A47B-48E3-9BE8-56B92F2FD9CF}"/>
    <cellStyle name="20% - Accent1 5 7" xfId="10027" xr:uid="{1F172280-A516-49C5-AA6F-DFFA5701675A}"/>
    <cellStyle name="20% - Accent1 6" xfId="1023" xr:uid="{00000000-0005-0000-0000-000092000000}"/>
    <cellStyle name="20% - Accent1 6 2" xfId="3254" xr:uid="{00000000-0005-0000-0000-000093000000}"/>
    <cellStyle name="20% - Accent1 6 2 2" xfId="7476" xr:uid="{00000000-0005-0000-0000-000094000000}"/>
    <cellStyle name="20% - Accent1 6 2 2 2" xfId="42994" xr:uid="{E5275A81-3E48-497A-9160-95BCF7ECD9B6}"/>
    <cellStyle name="20% - Accent1 6 2 2 3" xfId="34547" xr:uid="{B1FED937-EC57-43B4-8F30-2808E076A071}"/>
    <cellStyle name="20% - Accent1 6 2 2 4" xfId="26099" xr:uid="{4BCD2E3E-CC7A-4C21-B3BB-2A3BE6604C11}"/>
    <cellStyle name="20% - Accent1 6 2 2 5" xfId="16802" xr:uid="{B680489D-DBBB-45A3-81D0-1491435617E8}"/>
    <cellStyle name="20% - Accent1 6 2 3" xfId="38777" xr:uid="{6D3B35F7-AE95-48F7-A2AB-143867054F8C}"/>
    <cellStyle name="20% - Accent1 6 2 4" xfId="30329" xr:uid="{5BB2825A-7211-4994-9060-37D05A53C6B3}"/>
    <cellStyle name="20% - Accent1 6 2 5" xfId="21882" xr:uid="{9F9D6915-FC25-4CF0-83E1-97D435B43D77}"/>
    <cellStyle name="20% - Accent1 6 2 6" xfId="12585" xr:uid="{084B9C9D-3E95-46AC-A7FB-E02BE4BDB217}"/>
    <cellStyle name="20% - Accent1 6 3" xfId="5331" xr:uid="{00000000-0005-0000-0000-000095000000}"/>
    <cellStyle name="20% - Accent1 6 3 2" xfId="40849" xr:uid="{614BA9DA-01FD-4C90-9154-B1A523147199}"/>
    <cellStyle name="20% - Accent1 6 3 3" xfId="32402" xr:uid="{505E8525-2F16-4950-AA72-0E122B0F4A74}"/>
    <cellStyle name="20% - Accent1 6 3 4" xfId="23954" xr:uid="{7A8119B1-C9AD-4C92-B1F0-FD8D96898087}"/>
    <cellStyle name="20% - Accent1 6 3 5" xfId="14657" xr:uid="{307C6BEA-02BE-4D94-82CB-A0D17C1CE6F5}"/>
    <cellStyle name="20% - Accent1 6 4" xfId="36632" xr:uid="{022740E1-5415-4219-8B1A-59B81F27E1F9}"/>
    <cellStyle name="20% - Accent1 6 5" xfId="28184" xr:uid="{9F5C1806-F6B1-4DDF-901C-3FBA79E7CBA2}"/>
    <cellStyle name="20% - Accent1 6 6" xfId="19737" xr:uid="{455786D8-99F1-4701-B29C-8860E0F37B6C}"/>
    <cellStyle name="20% - Accent1 6 7" xfId="10440" xr:uid="{65B63262-DA5A-4CC3-AF15-D42DA73419E4}"/>
    <cellStyle name="20% - Accent1 7" xfId="1437" xr:uid="{00000000-0005-0000-0000-000096000000}"/>
    <cellStyle name="20% - Accent1 7 2" xfId="3667" xr:uid="{00000000-0005-0000-0000-000097000000}"/>
    <cellStyle name="20% - Accent1 7 2 2" xfId="7889" xr:uid="{00000000-0005-0000-0000-000098000000}"/>
    <cellStyle name="20% - Accent1 7 2 2 2" xfId="43407" xr:uid="{0B1FED13-F381-4F53-B869-3832A3F385ED}"/>
    <cellStyle name="20% - Accent1 7 2 2 3" xfId="34960" xr:uid="{BF5D839F-4844-4EC0-9E32-EC16A4A7BBD5}"/>
    <cellStyle name="20% - Accent1 7 2 2 4" xfId="26512" xr:uid="{B3CFB2DA-D9D6-42F4-A623-DBFEF09D3295}"/>
    <cellStyle name="20% - Accent1 7 2 2 5" xfId="17215" xr:uid="{D5D821C5-BAAB-4A91-8CF7-F9614EC03509}"/>
    <cellStyle name="20% - Accent1 7 2 3" xfId="39190" xr:uid="{CA1118A3-4F46-4E03-B31F-82C94AD80749}"/>
    <cellStyle name="20% - Accent1 7 2 4" xfId="30742" xr:uid="{68EF1073-831B-433F-B088-65E9130247AA}"/>
    <cellStyle name="20% - Accent1 7 2 5" xfId="22295" xr:uid="{0A60FA82-A1FC-4AB7-BE00-81DEE7B111AD}"/>
    <cellStyle name="20% - Accent1 7 2 6" xfId="12998" xr:uid="{A786347D-B312-415C-9158-FCEF4433C103}"/>
    <cellStyle name="20% - Accent1 7 3" xfId="5744" xr:uid="{00000000-0005-0000-0000-000099000000}"/>
    <cellStyle name="20% - Accent1 7 3 2" xfId="41262" xr:uid="{D631A436-96E5-4613-A46B-010CDD60BD2D}"/>
    <cellStyle name="20% - Accent1 7 3 3" xfId="32815" xr:uid="{42B301BF-C070-4258-90C4-BE3DC60822C1}"/>
    <cellStyle name="20% - Accent1 7 3 4" xfId="24367" xr:uid="{0AE3153E-AD13-4809-AE0F-F37F8CB2ACE0}"/>
    <cellStyle name="20% - Accent1 7 3 5" xfId="15070" xr:uid="{329A2974-2F38-4345-833E-84741C8A1193}"/>
    <cellStyle name="20% - Accent1 7 4" xfId="37045" xr:uid="{F941C41A-DB45-468C-A629-9F75AD8DC8DE}"/>
    <cellStyle name="20% - Accent1 7 5" xfId="28597" xr:uid="{A6D5E93A-B2F9-4DE0-A381-F609C77C3DB0}"/>
    <cellStyle name="20% - Accent1 7 6" xfId="20150" xr:uid="{2B568382-EBC4-4B8B-A1C4-D320E623554A}"/>
    <cellStyle name="20% - Accent1 7 7" xfId="10853" xr:uid="{7C34BDA4-D965-4210-B106-199BFE20B3CE}"/>
    <cellStyle name="20% - Accent1 8" xfId="1851" xr:uid="{00000000-0005-0000-0000-00009A000000}"/>
    <cellStyle name="20% - Accent1 8 2" xfId="4080" xr:uid="{00000000-0005-0000-0000-00009B000000}"/>
    <cellStyle name="20% - Accent1 8 2 2" xfId="8302" xr:uid="{00000000-0005-0000-0000-00009C000000}"/>
    <cellStyle name="20% - Accent1 8 2 2 2" xfId="43820" xr:uid="{772E68D4-AF86-48BC-B7DF-92610963AC35}"/>
    <cellStyle name="20% - Accent1 8 2 2 3" xfId="35373" xr:uid="{03A1AD4E-0F40-4837-A13E-AC1AE6A82B4D}"/>
    <cellStyle name="20% - Accent1 8 2 2 4" xfId="26925" xr:uid="{B68BF96C-4179-4DBF-8AA7-34887D60AA66}"/>
    <cellStyle name="20% - Accent1 8 2 2 5" xfId="17628" xr:uid="{A4DC51D4-405A-4F01-96BE-573FFB35FEB5}"/>
    <cellStyle name="20% - Accent1 8 2 3" xfId="39603" xr:uid="{4FD44166-BAFA-4260-B38D-4403BDAF3C43}"/>
    <cellStyle name="20% - Accent1 8 2 4" xfId="31155" xr:uid="{0DCEA42C-AE57-444A-8269-FAABDAEF3FF9}"/>
    <cellStyle name="20% - Accent1 8 2 5" xfId="22708" xr:uid="{47C238A1-F5A5-48F3-9979-18E5CF2C21E6}"/>
    <cellStyle name="20% - Accent1 8 2 6" xfId="13411" xr:uid="{1B7F3308-88FA-4393-ABFD-959C9FA4CE10}"/>
    <cellStyle name="20% - Accent1 8 3" xfId="6157" xr:uid="{00000000-0005-0000-0000-00009D000000}"/>
    <cellStyle name="20% - Accent1 8 3 2" xfId="41675" xr:uid="{7E1B6AB6-493E-49A9-B225-29E6B381AE66}"/>
    <cellStyle name="20% - Accent1 8 3 3" xfId="33228" xr:uid="{2E25AFF1-783B-4DAF-8A48-EFC4DEDAB63E}"/>
    <cellStyle name="20% - Accent1 8 3 4" xfId="24780" xr:uid="{1C52D2E6-9A71-4C0E-AB7C-AB1B7031FECA}"/>
    <cellStyle name="20% - Accent1 8 3 5" xfId="15483" xr:uid="{2C3147EB-60D2-44DC-BB31-A41103FB8717}"/>
    <cellStyle name="20% - Accent1 8 4" xfId="37458" xr:uid="{B607DF08-7A84-48EB-964E-D03C613BC161}"/>
    <cellStyle name="20% - Accent1 8 5" xfId="29010" xr:uid="{39BBA699-10DC-407F-BE59-1EECDB799935}"/>
    <cellStyle name="20% - Accent1 8 6" xfId="20563" xr:uid="{1EFC4C92-09A4-45BA-82D0-B3710B13C3F5}"/>
    <cellStyle name="20% - Accent1 8 7" xfId="11266" xr:uid="{58C1101C-88B2-4334-AD93-1E77DBA6CE3B}"/>
    <cellStyle name="20% - Accent1 9" xfId="2264" xr:uid="{00000000-0005-0000-0000-00009E000000}"/>
    <cellStyle name="20% - Accent1 9 2" xfId="6570" xr:uid="{00000000-0005-0000-0000-00009F000000}"/>
    <cellStyle name="20% - Accent1 9 2 2" xfId="42088" xr:uid="{EEB052C5-1F45-4D7B-A768-B5C2109DF3F0}"/>
    <cellStyle name="20% - Accent1 9 2 3" xfId="33641" xr:uid="{BF2933E3-00F7-47C6-AB8F-783A2A384F1F}"/>
    <cellStyle name="20% - Accent1 9 2 4" xfId="25193" xr:uid="{41607783-E127-451B-96D9-8267C7D168C2}"/>
    <cellStyle name="20% - Accent1 9 2 5" xfId="15896" xr:uid="{E7A79FCE-2B82-473D-9BE0-DC85CD0D54BF}"/>
    <cellStyle name="20% - Accent1 9 3" xfId="37871" xr:uid="{B9F2D818-1D8D-4D08-9B7A-EF31BDFAC64B}"/>
    <cellStyle name="20% - Accent1 9 4" xfId="29423" xr:uid="{6B39D20E-0D02-4CE7-82EF-702B02FD1307}"/>
    <cellStyle name="20% - Accent1 9 5" xfId="20976" xr:uid="{230D23F1-8D92-40FD-B218-550C83BE0A5C}"/>
    <cellStyle name="20% - Accent1 9 6" xfId="11679" xr:uid="{9F109B61-5087-4108-ADDF-443B1505A0D1}"/>
    <cellStyle name="20% - Accent2" xfId="9" builtinId="34" customBuiltin="1"/>
    <cellStyle name="20% - Accent2 10" xfId="4512" xr:uid="{00000000-0005-0000-0000-0000A1000000}"/>
    <cellStyle name="20% - Accent2 10 2" xfId="40030" xr:uid="{D9E4921D-DFCD-468F-8E64-AFC198963C6D}"/>
    <cellStyle name="20% - Accent2 10 3" xfId="31583" xr:uid="{C5FFFD4F-25D7-4691-809C-C24BC8C8B314}"/>
    <cellStyle name="20% - Accent2 10 4" xfId="23135" xr:uid="{3EB58B80-C6E0-4A90-B95C-135336AC9F15}"/>
    <cellStyle name="20% - Accent2 10 5" xfId="13838" xr:uid="{F61E5CEE-3228-41A4-8B84-7DDF5F3396AC}"/>
    <cellStyle name="20% - Accent2 11" xfId="8760" xr:uid="{2F9D8AF1-C115-467C-ADFB-3BF13039D076}"/>
    <cellStyle name="20% - Accent2 11 2" xfId="35813" xr:uid="{FE700774-43FE-4D15-B749-F7AEA8963C09}"/>
    <cellStyle name="20% - Accent2 11 3" xfId="18083" xr:uid="{639C2F3C-8D41-4AF9-976E-25F3B96E5875}"/>
    <cellStyle name="20% - Accent2 12" xfId="27365" xr:uid="{F40ED88C-354B-4FDE-9473-C0F3E709D5FE}"/>
    <cellStyle name="20% - Accent2 13" xfId="18918" xr:uid="{AB737F0C-9673-440C-8C37-771EADB8EE5D}"/>
    <cellStyle name="20% - Accent2 14" xfId="9621" xr:uid="{3BD0D35A-D057-4521-A4E1-A4A57BEA9118}"/>
    <cellStyle name="20% - Accent2 2" xfId="10" xr:uid="{00000000-0005-0000-0000-0000A2000000}"/>
    <cellStyle name="20% - Accent2 2 10" xfId="8793" xr:uid="{AA7C3473-3A75-4F75-9E25-D7658C57F3A0}"/>
    <cellStyle name="20% - Accent2 2 10 2" xfId="35814" xr:uid="{DF00790A-8827-4A3B-8737-8AA3A1CEB875}"/>
    <cellStyle name="20% - Accent2 2 10 3" xfId="18116" xr:uid="{BAB8241F-EFE0-40FF-9369-3FA07EBAFCFC}"/>
    <cellStyle name="20% - Accent2 2 11" xfId="27366" xr:uid="{71A316C1-73D3-4EC9-85E8-CF5BC126F8A8}"/>
    <cellStyle name="20% - Accent2 2 12" xfId="18919" xr:uid="{18FFA5E3-7265-4A5D-8C37-661AD516E861}"/>
    <cellStyle name="20% - Accent2 2 13" xfId="9622" xr:uid="{39C71300-C43B-4F7B-B79A-FE7A32330305}"/>
    <cellStyle name="20% - Accent2 2 2" xfId="11" xr:uid="{00000000-0005-0000-0000-0000A3000000}"/>
    <cellStyle name="20% - Accent2 2 2 10" xfId="27367" xr:uid="{B2F0954A-E520-4268-AAF2-DA86CD63D2FE}"/>
    <cellStyle name="20% - Accent2 2 2 11" xfId="18920" xr:uid="{ADF9B4B6-C50F-4E53-89D6-0EF065901F03}"/>
    <cellStyle name="20% - Accent2 2 2 12" xfId="9623" xr:uid="{E8C96214-DEE5-4F38-9EA7-D1DA8D971470}"/>
    <cellStyle name="20% - Accent2 2 2 2" xfId="12" xr:uid="{00000000-0005-0000-0000-0000A4000000}"/>
    <cellStyle name="20% - Accent2 2 2 2 10" xfId="18921" xr:uid="{2D4518A4-75BF-4FD8-9DCA-D7DED39138DD}"/>
    <cellStyle name="20% - Accent2 2 2 2 11" xfId="9624" xr:uid="{B68F9113-C1DB-4748-94AE-3C88F98DF74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42592" xr:uid="{3441CB02-61F9-4A0E-A7F0-3D1968E1010C}"/>
    <cellStyle name="20% - Accent2 2 2 2 2 2 2 3" xfId="34145" xr:uid="{228049FB-A461-41D0-A760-8FBAB289A208}"/>
    <cellStyle name="20% - Accent2 2 2 2 2 2 2 4" xfId="25697" xr:uid="{9AEA5E20-6A3C-4676-AB5C-7AF2E0F93554}"/>
    <cellStyle name="20% - Accent2 2 2 2 2 2 2 5" xfId="16400" xr:uid="{F660308B-FAD6-48B9-AC54-CDE8F7877FA4}"/>
    <cellStyle name="20% - Accent2 2 2 2 2 2 3" xfId="38375" xr:uid="{30A6EC6F-6DE5-46B8-8632-158149B3CEE8}"/>
    <cellStyle name="20% - Accent2 2 2 2 2 2 4" xfId="29927" xr:uid="{E9AAC0DF-970C-46C7-B0CE-84A487EAD482}"/>
    <cellStyle name="20% - Accent2 2 2 2 2 2 5" xfId="21480" xr:uid="{982C4638-658D-413B-ABA9-2F2DEC444AFE}"/>
    <cellStyle name="20% - Accent2 2 2 2 2 2 6" xfId="12183" xr:uid="{6F6BE20F-02B4-433E-A85F-EE6A6B684714}"/>
    <cellStyle name="20% - Accent2 2 2 2 2 3" xfId="4929" xr:uid="{00000000-0005-0000-0000-0000A8000000}"/>
    <cellStyle name="20% - Accent2 2 2 2 2 3 2" xfId="40447" xr:uid="{6E004CD9-17FB-48B4-934C-BEE259D95097}"/>
    <cellStyle name="20% - Accent2 2 2 2 2 3 3" xfId="32000" xr:uid="{C10C3F73-DF7C-4581-8719-C0DCACDF8FFC}"/>
    <cellStyle name="20% - Accent2 2 2 2 2 3 4" xfId="23552" xr:uid="{F1587069-9A16-4CB0-8BF9-4DF29BB9A5E5}"/>
    <cellStyle name="20% - Accent2 2 2 2 2 3 5" xfId="14255" xr:uid="{C4C1E1FE-A1D0-45CA-8509-EBDCD96390A9}"/>
    <cellStyle name="20% - Accent2 2 2 2 2 4" xfId="9528" xr:uid="{C8BEA541-FD8B-4449-95AA-43E1904F35BB}"/>
    <cellStyle name="20% - Accent2 2 2 2 2 4 2" xfId="36230" xr:uid="{B4C9F9B2-7151-4388-B602-58A013079E14}"/>
    <cellStyle name="20% - Accent2 2 2 2 2 4 3" xfId="18841" xr:uid="{78710FD3-494E-46C4-B6AB-6B791BBB9B52}"/>
    <cellStyle name="20% - Accent2 2 2 2 2 5" xfId="27782" xr:uid="{2333C368-1E0E-4F89-99B8-4D355934E51B}"/>
    <cellStyle name="20% - Accent2 2 2 2 2 6" xfId="19335" xr:uid="{E3BF13BF-007E-40EA-A143-EA4A79B752E7}"/>
    <cellStyle name="20% - Accent2 2 2 2 2 7" xfId="10038" xr:uid="{A848AEB8-BED7-460E-80E6-C4B7EE51E438}"/>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43005" xr:uid="{2FEBEED0-B2BD-4528-A6CB-1C24C14A47F8}"/>
    <cellStyle name="20% - Accent2 2 2 2 3 2 2 3" xfId="34558" xr:uid="{EE54D35C-EE26-468B-8AF5-831A0C2D504D}"/>
    <cellStyle name="20% - Accent2 2 2 2 3 2 2 4" xfId="26110" xr:uid="{CA3EE7EE-20DC-4E34-99AE-C4F26BF4E100}"/>
    <cellStyle name="20% - Accent2 2 2 2 3 2 2 5" xfId="16813" xr:uid="{C8C1AF95-30D9-4887-862E-EDF477CBB1A9}"/>
    <cellStyle name="20% - Accent2 2 2 2 3 2 3" xfId="38788" xr:uid="{2AA60E7D-CA91-4AAD-AFCE-B135DCD5ECD4}"/>
    <cellStyle name="20% - Accent2 2 2 2 3 2 4" xfId="30340" xr:uid="{D0326662-C3EF-4668-8F59-9DE6D4D82EDD}"/>
    <cellStyle name="20% - Accent2 2 2 2 3 2 5" xfId="21893" xr:uid="{8F31B0BE-642F-4501-A8DB-EC03733C679A}"/>
    <cellStyle name="20% - Accent2 2 2 2 3 2 6" xfId="12596" xr:uid="{7277A8BE-5515-4512-9BE4-1CF8A1400C8E}"/>
    <cellStyle name="20% - Accent2 2 2 2 3 3" xfId="5342" xr:uid="{00000000-0005-0000-0000-0000AC000000}"/>
    <cellStyle name="20% - Accent2 2 2 2 3 3 2" xfId="40860" xr:uid="{195EEC1A-2253-462C-BFBE-2F9C9D20CE4A}"/>
    <cellStyle name="20% - Accent2 2 2 2 3 3 3" xfId="32413" xr:uid="{4C099B2F-FE24-4B46-96B8-ABDA55A3226B}"/>
    <cellStyle name="20% - Accent2 2 2 2 3 3 4" xfId="23965" xr:uid="{55BFCCEA-D2C5-44FD-90ED-936D991416C9}"/>
    <cellStyle name="20% - Accent2 2 2 2 3 3 5" xfId="14668" xr:uid="{98362C20-3C45-4791-A2D5-68DD9209E95E}"/>
    <cellStyle name="20% - Accent2 2 2 2 3 4" xfId="36643" xr:uid="{75E96A85-6CC6-48A1-89A0-CE167AAF2997}"/>
    <cellStyle name="20% - Accent2 2 2 2 3 5" xfId="28195" xr:uid="{2A1AC366-7D17-46EF-8C23-D94518206378}"/>
    <cellStyle name="20% - Accent2 2 2 2 3 6" xfId="19748" xr:uid="{01C4C747-E243-47F8-B169-F4D22288F9D7}"/>
    <cellStyle name="20% - Accent2 2 2 2 3 7" xfId="10451" xr:uid="{E4E99E8E-7C74-4DAF-A945-412B1605A5FC}"/>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43418" xr:uid="{0317E20F-C140-4FEB-905B-2D224FA89252}"/>
    <cellStyle name="20% - Accent2 2 2 2 4 2 2 3" xfId="34971" xr:uid="{B0BDA686-AF52-4711-BEC9-FE39A373B35D}"/>
    <cellStyle name="20% - Accent2 2 2 2 4 2 2 4" xfId="26523" xr:uid="{1FAAD0A8-2A46-4115-8969-61B638AC0D0B}"/>
    <cellStyle name="20% - Accent2 2 2 2 4 2 2 5" xfId="17226" xr:uid="{A94A2E9A-2F00-4721-88DA-09605404A6E5}"/>
    <cellStyle name="20% - Accent2 2 2 2 4 2 3" xfId="39201" xr:uid="{B288C401-B949-436E-AF32-EAB2B6ECF35A}"/>
    <cellStyle name="20% - Accent2 2 2 2 4 2 4" xfId="30753" xr:uid="{7A6D07A7-1006-42CE-8565-0F19432B676C}"/>
    <cellStyle name="20% - Accent2 2 2 2 4 2 5" xfId="22306" xr:uid="{64FFA1E9-66F8-4F89-A8A9-79958081F050}"/>
    <cellStyle name="20% - Accent2 2 2 2 4 2 6" xfId="13009" xr:uid="{9BA9D889-FF79-4C3D-A6BD-4DF0FAA560D5}"/>
    <cellStyle name="20% - Accent2 2 2 2 4 3" xfId="5755" xr:uid="{00000000-0005-0000-0000-0000B0000000}"/>
    <cellStyle name="20% - Accent2 2 2 2 4 3 2" xfId="41273" xr:uid="{12A7B6E7-5A73-4123-8022-B0201BBBC391}"/>
    <cellStyle name="20% - Accent2 2 2 2 4 3 3" xfId="32826" xr:uid="{7306A5A4-718F-4808-9640-19B7B4023050}"/>
    <cellStyle name="20% - Accent2 2 2 2 4 3 4" xfId="24378" xr:uid="{5EEF96E9-42C3-40DA-9285-79EAD6562EFE}"/>
    <cellStyle name="20% - Accent2 2 2 2 4 3 5" xfId="15081" xr:uid="{3CC9A886-D279-4DB6-BB4E-2DD522F9A74B}"/>
    <cellStyle name="20% - Accent2 2 2 2 4 4" xfId="37056" xr:uid="{05E11773-B092-473A-853B-442E44DDC97C}"/>
    <cellStyle name="20% - Accent2 2 2 2 4 5" xfId="28608" xr:uid="{C1EA22E3-F3E8-4495-8318-E43A231A5DD7}"/>
    <cellStyle name="20% - Accent2 2 2 2 4 6" xfId="20161" xr:uid="{EE499299-A9AD-4F65-B519-372B9AD63EBC}"/>
    <cellStyle name="20% - Accent2 2 2 2 4 7" xfId="10864" xr:uid="{C5F3712C-3A92-4407-A9C3-06360F20BC7F}"/>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43831" xr:uid="{B5FBB357-1B6F-43AB-A4CE-904C7643D89C}"/>
    <cellStyle name="20% - Accent2 2 2 2 5 2 2 3" xfId="35384" xr:uid="{E2A5C1FD-6973-455C-BC7D-D0E333924C82}"/>
    <cellStyle name="20% - Accent2 2 2 2 5 2 2 4" xfId="26936" xr:uid="{70A6CA83-4641-4183-A9A8-E0A2E4EE3921}"/>
    <cellStyle name="20% - Accent2 2 2 2 5 2 2 5" xfId="17639" xr:uid="{7A79D32D-70EA-420F-A181-D385FB52FAA9}"/>
    <cellStyle name="20% - Accent2 2 2 2 5 2 3" xfId="39614" xr:uid="{71B5DE71-BD20-4211-BCB3-D169C00D9740}"/>
    <cellStyle name="20% - Accent2 2 2 2 5 2 4" xfId="31166" xr:uid="{9023DF4A-4C66-4BFE-B532-36A06E3DD617}"/>
    <cellStyle name="20% - Accent2 2 2 2 5 2 5" xfId="22719" xr:uid="{A7CFC049-3DE8-46B4-979C-A992597647BF}"/>
    <cellStyle name="20% - Accent2 2 2 2 5 2 6" xfId="13422" xr:uid="{904285A3-99B4-49EB-881F-3E2FC7D23AAB}"/>
    <cellStyle name="20% - Accent2 2 2 2 5 3" xfId="6168" xr:uid="{00000000-0005-0000-0000-0000B4000000}"/>
    <cellStyle name="20% - Accent2 2 2 2 5 3 2" xfId="41686" xr:uid="{78E3F740-DEB1-4BC2-93AF-655F1A695742}"/>
    <cellStyle name="20% - Accent2 2 2 2 5 3 3" xfId="33239" xr:uid="{A192509E-464C-474A-B3FA-B1C475C43C54}"/>
    <cellStyle name="20% - Accent2 2 2 2 5 3 4" xfId="24791" xr:uid="{8E42A8DF-C193-4961-9EF7-6594A18CE55B}"/>
    <cellStyle name="20% - Accent2 2 2 2 5 3 5" xfId="15494" xr:uid="{284E11BF-7CB4-4D07-8F7F-05BA414D1A3E}"/>
    <cellStyle name="20% - Accent2 2 2 2 5 4" xfId="37469" xr:uid="{10C58629-DA8E-4AE5-B147-C2CA2785F028}"/>
    <cellStyle name="20% - Accent2 2 2 2 5 5" xfId="29021" xr:uid="{E8C3EA5D-9E71-45E9-9231-2C407966AA76}"/>
    <cellStyle name="20% - Accent2 2 2 2 5 6" xfId="20574" xr:uid="{8C9D1D7F-D153-4A74-A5EE-57AD35C381C3}"/>
    <cellStyle name="20% - Accent2 2 2 2 5 7" xfId="11277" xr:uid="{9A3351C4-0A28-49A1-BF4A-EEFA905AF5D0}"/>
    <cellStyle name="20% - Accent2 2 2 2 6" xfId="2275" xr:uid="{00000000-0005-0000-0000-0000B5000000}"/>
    <cellStyle name="20% - Accent2 2 2 2 6 2" xfId="6581" xr:uid="{00000000-0005-0000-0000-0000B6000000}"/>
    <cellStyle name="20% - Accent2 2 2 2 6 2 2" xfId="42099" xr:uid="{60C846A8-F0D4-425B-8453-B525943D7D26}"/>
    <cellStyle name="20% - Accent2 2 2 2 6 2 3" xfId="33652" xr:uid="{D0739139-C76E-4083-BD07-8DB96CF00D06}"/>
    <cellStyle name="20% - Accent2 2 2 2 6 2 4" xfId="25204" xr:uid="{F1ED8701-1202-43CD-8BEB-D32FAFAFC6E4}"/>
    <cellStyle name="20% - Accent2 2 2 2 6 2 5" xfId="15907" xr:uid="{45326621-A99E-4E83-A82F-C77909823AB0}"/>
    <cellStyle name="20% - Accent2 2 2 2 6 3" xfId="37882" xr:uid="{31C8AC05-13D1-4572-9ACD-7D1FAD68FE86}"/>
    <cellStyle name="20% - Accent2 2 2 2 6 4" xfId="29434" xr:uid="{EE5AF9C0-A335-41D0-BB95-5FD5CA7EBF79}"/>
    <cellStyle name="20% - Accent2 2 2 2 6 5" xfId="20987" xr:uid="{163CDAEB-FD35-4785-AD60-43116E56EB06}"/>
    <cellStyle name="20% - Accent2 2 2 2 6 6" xfId="11690" xr:uid="{13C50977-9A9A-46F9-8041-9162AF205328}"/>
    <cellStyle name="20% - Accent2 2 2 2 7" xfId="4515" xr:uid="{00000000-0005-0000-0000-0000B7000000}"/>
    <cellStyle name="20% - Accent2 2 2 2 7 2" xfId="40033" xr:uid="{B30DE85F-6C1C-436F-AB5A-36E358C0CFD3}"/>
    <cellStyle name="20% - Accent2 2 2 2 7 3" xfId="31586" xr:uid="{94F78B9E-9C24-41A0-8D78-546DBAC9D682}"/>
    <cellStyle name="20% - Accent2 2 2 2 7 4" xfId="23138" xr:uid="{4978E6D9-8F7E-4BBB-9C96-39B225FFE2B2}"/>
    <cellStyle name="20% - Accent2 2 2 2 7 5" xfId="13841" xr:uid="{B65E19DB-9E73-441C-A30F-DA27F6B7BDD7}"/>
    <cellStyle name="20% - Accent2 2 2 2 8" xfId="9103" xr:uid="{91DB80A1-3464-4086-B948-71B6A26537C4}"/>
    <cellStyle name="20% - Accent2 2 2 2 8 2" xfId="35816" xr:uid="{F791F95E-2FFD-46D4-ACA2-CC72DE124168}"/>
    <cellStyle name="20% - Accent2 2 2 2 8 3" xfId="18426" xr:uid="{BE0CCEC7-30A3-4246-85AA-5C9E763126F6}"/>
    <cellStyle name="20% - Accent2 2 2 2 9" xfId="27368" xr:uid="{4002ADCB-752F-4114-B770-49FD5B52C7B9}"/>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42591" xr:uid="{F4C7EA07-492B-4156-AF11-07B0B11578A8}"/>
    <cellStyle name="20% - Accent2 2 2 3 2 2 3" xfId="34144" xr:uid="{20856FE1-C844-49CB-95A5-E70A847A39C6}"/>
    <cellStyle name="20% - Accent2 2 2 3 2 2 4" xfId="25696" xr:uid="{68AC6C73-5A4F-442F-968B-3E5BF9AF6ABB}"/>
    <cellStyle name="20% - Accent2 2 2 3 2 2 5" xfId="16399" xr:uid="{FFFF25E9-496D-4182-8994-4115D800E640}"/>
    <cellStyle name="20% - Accent2 2 2 3 2 3" xfId="38374" xr:uid="{F7E944DE-8C3A-49E2-9046-CAFFE8F4D390}"/>
    <cellStyle name="20% - Accent2 2 2 3 2 4" xfId="29926" xr:uid="{CA0D9098-1DE0-443D-842E-163547598E70}"/>
    <cellStyle name="20% - Accent2 2 2 3 2 5" xfId="21479" xr:uid="{32D092ED-7787-437E-9CA3-33C47A55587D}"/>
    <cellStyle name="20% - Accent2 2 2 3 2 6" xfId="12182" xr:uid="{C69B0981-9A7F-4E4C-9BB8-E5245708E93F}"/>
    <cellStyle name="20% - Accent2 2 2 3 3" xfId="4928" xr:uid="{00000000-0005-0000-0000-0000BB000000}"/>
    <cellStyle name="20% - Accent2 2 2 3 3 2" xfId="40446" xr:uid="{59568C71-C53C-4715-8925-6C02C2ECBDD9}"/>
    <cellStyle name="20% - Accent2 2 2 3 3 3" xfId="31999" xr:uid="{38E3C7C4-EA78-4F5C-9111-539F358FA91D}"/>
    <cellStyle name="20% - Accent2 2 2 3 3 4" xfId="23551" xr:uid="{98775CF3-8C24-4395-A9FB-AB841286B4D1}"/>
    <cellStyle name="20% - Accent2 2 2 3 3 5" xfId="14254" xr:uid="{58A2BCC6-0780-415C-A3A5-648AF02556E9}"/>
    <cellStyle name="20% - Accent2 2 2 3 4" xfId="9321" xr:uid="{32B21C3A-E360-4F19-B469-1116F045A0F3}"/>
    <cellStyle name="20% - Accent2 2 2 3 4 2" xfId="36229" xr:uid="{A4A6CCAA-F630-4A06-97A2-47C0D8E34CB5}"/>
    <cellStyle name="20% - Accent2 2 2 3 4 3" xfId="18634" xr:uid="{55803837-E714-4F7B-9F84-6D9FA67E728B}"/>
    <cellStyle name="20% - Accent2 2 2 3 5" xfId="27781" xr:uid="{A8309AE3-4943-41CD-9936-8DF4A77B9972}"/>
    <cellStyle name="20% - Accent2 2 2 3 6" xfId="19334" xr:uid="{377E2668-B98A-475F-8B4C-DA62D73C0E75}"/>
    <cellStyle name="20% - Accent2 2 2 3 7" xfId="10037" xr:uid="{E0828E16-7E21-426F-8EFA-5416CB4899B0}"/>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43004" xr:uid="{11F106E2-3316-4C1F-BDB5-0C5FCF27E160}"/>
    <cellStyle name="20% - Accent2 2 2 4 2 2 3" xfId="34557" xr:uid="{EC1E9414-800C-4903-BB78-E748B6C66036}"/>
    <cellStyle name="20% - Accent2 2 2 4 2 2 4" xfId="26109" xr:uid="{F658ABDC-75B8-482D-8DAC-4DDC2870AB95}"/>
    <cellStyle name="20% - Accent2 2 2 4 2 2 5" xfId="16812" xr:uid="{21A29FB6-68DE-4596-A634-557F1290D698}"/>
    <cellStyle name="20% - Accent2 2 2 4 2 3" xfId="38787" xr:uid="{6911F92B-446A-4047-9797-249529A0723B}"/>
    <cellStyle name="20% - Accent2 2 2 4 2 4" xfId="30339" xr:uid="{BFBD0CD8-4566-4396-A7F8-F3117223FA17}"/>
    <cellStyle name="20% - Accent2 2 2 4 2 5" xfId="21892" xr:uid="{30062FC6-EB60-42B9-B88D-2BE0D3DE5AA7}"/>
    <cellStyle name="20% - Accent2 2 2 4 2 6" xfId="12595" xr:uid="{194C4B8A-591C-41D0-B4D0-08E8D6058E06}"/>
    <cellStyle name="20% - Accent2 2 2 4 3" xfId="5341" xr:uid="{00000000-0005-0000-0000-0000BF000000}"/>
    <cellStyle name="20% - Accent2 2 2 4 3 2" xfId="40859" xr:uid="{01967C1F-11FF-47FE-AF5E-2DB5D4343F6F}"/>
    <cellStyle name="20% - Accent2 2 2 4 3 3" xfId="32412" xr:uid="{95C12E3F-ACE9-4DE3-9FEC-1ED9BAD98406}"/>
    <cellStyle name="20% - Accent2 2 2 4 3 4" xfId="23964" xr:uid="{E9EA417F-8817-421E-8EC2-7DF8BA25D26C}"/>
    <cellStyle name="20% - Accent2 2 2 4 3 5" xfId="14667" xr:uid="{14AE37AE-0EF8-4BD5-A156-C82C53E9CF97}"/>
    <cellStyle name="20% - Accent2 2 2 4 4" xfId="36642" xr:uid="{39B1B27C-1FAD-4BD7-B8DC-FC6D841F5FEC}"/>
    <cellStyle name="20% - Accent2 2 2 4 5" xfId="28194" xr:uid="{9645E1E1-786A-410F-A64D-7339F28A3ECF}"/>
    <cellStyle name="20% - Accent2 2 2 4 6" xfId="19747" xr:uid="{81E82284-834C-4EEE-9211-36EF576671A6}"/>
    <cellStyle name="20% - Accent2 2 2 4 7" xfId="10450" xr:uid="{7BB10658-557A-41BD-A869-01B4B72A1E5F}"/>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43417" xr:uid="{629EA749-7410-49A1-8C24-A32422E9E0D1}"/>
    <cellStyle name="20% - Accent2 2 2 5 2 2 3" xfId="34970" xr:uid="{E8FB1C8C-525B-4AD6-A9CA-38998907BA98}"/>
    <cellStyle name="20% - Accent2 2 2 5 2 2 4" xfId="26522" xr:uid="{2512ADA5-FCA6-47B7-BCBB-F5CD03393B31}"/>
    <cellStyle name="20% - Accent2 2 2 5 2 2 5" xfId="17225" xr:uid="{941E1613-9E96-43C3-BBEC-BD54488E0BF3}"/>
    <cellStyle name="20% - Accent2 2 2 5 2 3" xfId="39200" xr:uid="{50C53B9A-36DB-4DF6-ACDE-7A09377A8427}"/>
    <cellStyle name="20% - Accent2 2 2 5 2 4" xfId="30752" xr:uid="{DBAC1822-4105-49A4-9DC9-1EBEB40F0BFB}"/>
    <cellStyle name="20% - Accent2 2 2 5 2 5" xfId="22305" xr:uid="{EC402B5C-D37C-4FC1-835B-672846B91B73}"/>
    <cellStyle name="20% - Accent2 2 2 5 2 6" xfId="13008" xr:uid="{DCF40D3D-CCD3-48B3-BA3A-BB6610C602C0}"/>
    <cellStyle name="20% - Accent2 2 2 5 3" xfId="5754" xr:uid="{00000000-0005-0000-0000-0000C3000000}"/>
    <cellStyle name="20% - Accent2 2 2 5 3 2" xfId="41272" xr:uid="{238E8925-6ADA-4DCB-AF7F-452164C1A2CF}"/>
    <cellStyle name="20% - Accent2 2 2 5 3 3" xfId="32825" xr:uid="{3E93ED62-1B5A-4B82-AB9D-E2EF480B5B20}"/>
    <cellStyle name="20% - Accent2 2 2 5 3 4" xfId="24377" xr:uid="{D0D68F08-743F-4C03-AF6B-BE613E2C331C}"/>
    <cellStyle name="20% - Accent2 2 2 5 3 5" xfId="15080" xr:uid="{0D1D0EEC-E75A-4452-B803-1550027D505E}"/>
    <cellStyle name="20% - Accent2 2 2 5 4" xfId="37055" xr:uid="{24E49589-0EDB-4652-B1CB-374B5C7BD4FB}"/>
    <cellStyle name="20% - Accent2 2 2 5 5" xfId="28607" xr:uid="{3C73B08A-411B-4275-83D0-2E0D7D9A069C}"/>
    <cellStyle name="20% - Accent2 2 2 5 6" xfId="20160" xr:uid="{0A22DA91-3A8A-48F7-9068-485AB11382C6}"/>
    <cellStyle name="20% - Accent2 2 2 5 7" xfId="10863" xr:uid="{C3B81AEA-CC8A-4B62-84D0-28D899F73CB5}"/>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43830" xr:uid="{B526FDEB-6B4E-416F-932F-AFE09A63F353}"/>
    <cellStyle name="20% - Accent2 2 2 6 2 2 3" xfId="35383" xr:uid="{12B1B3A9-5971-45CC-9FAF-95F536B64B65}"/>
    <cellStyle name="20% - Accent2 2 2 6 2 2 4" xfId="26935" xr:uid="{4490B793-71CA-4FA1-BA2E-1CD331B35C84}"/>
    <cellStyle name="20% - Accent2 2 2 6 2 2 5" xfId="17638" xr:uid="{029A4175-425D-4998-B55E-DB028CC93308}"/>
    <cellStyle name="20% - Accent2 2 2 6 2 3" xfId="39613" xr:uid="{9E77E101-898E-4454-BA5D-88E88D4EB747}"/>
    <cellStyle name="20% - Accent2 2 2 6 2 4" xfId="31165" xr:uid="{C3D1D82A-4D5A-41C5-9B8A-09BC8000C315}"/>
    <cellStyle name="20% - Accent2 2 2 6 2 5" xfId="22718" xr:uid="{8061FF75-DD9B-4DCB-B79D-2848AF00AF88}"/>
    <cellStyle name="20% - Accent2 2 2 6 2 6" xfId="13421" xr:uid="{60F03CB2-5D57-4112-9014-4474DACDBBCE}"/>
    <cellStyle name="20% - Accent2 2 2 6 3" xfId="6167" xr:uid="{00000000-0005-0000-0000-0000C7000000}"/>
    <cellStyle name="20% - Accent2 2 2 6 3 2" xfId="41685" xr:uid="{9A7F72BD-B5EA-4CA5-BDCA-C33F85BB6862}"/>
    <cellStyle name="20% - Accent2 2 2 6 3 3" xfId="33238" xr:uid="{B08AD62B-E1FC-4649-8545-684134A473F3}"/>
    <cellStyle name="20% - Accent2 2 2 6 3 4" xfId="24790" xr:uid="{949D2EDF-478F-4EDF-BCE7-FDAAC7E80EA9}"/>
    <cellStyle name="20% - Accent2 2 2 6 3 5" xfId="15493" xr:uid="{4D148737-0771-41FF-B201-60CD08D8AF90}"/>
    <cellStyle name="20% - Accent2 2 2 6 4" xfId="37468" xr:uid="{EA3B8256-E83D-4EC7-A2C3-F394E238490B}"/>
    <cellStyle name="20% - Accent2 2 2 6 5" xfId="29020" xr:uid="{3E5E846B-2D43-4C7A-8DD4-1831F7316AA3}"/>
    <cellStyle name="20% - Accent2 2 2 6 6" xfId="20573" xr:uid="{0AC157FB-89A8-4927-8A82-FEF14292D4E6}"/>
    <cellStyle name="20% - Accent2 2 2 6 7" xfId="11276" xr:uid="{1DD90D42-9F09-46A0-872D-1BD9BF2F9ACF}"/>
    <cellStyle name="20% - Accent2 2 2 7" xfId="2274" xr:uid="{00000000-0005-0000-0000-0000C8000000}"/>
    <cellStyle name="20% - Accent2 2 2 7 2" xfId="6580" xr:uid="{00000000-0005-0000-0000-0000C9000000}"/>
    <cellStyle name="20% - Accent2 2 2 7 2 2" xfId="42098" xr:uid="{E38C9049-99DC-458F-A997-06EE855CA045}"/>
    <cellStyle name="20% - Accent2 2 2 7 2 3" xfId="33651" xr:uid="{6C5FBE63-EACE-4368-AFCA-17A71E2B9A42}"/>
    <cellStyle name="20% - Accent2 2 2 7 2 4" xfId="25203" xr:uid="{FEF63F0F-212C-4546-865B-3E37CBEFB6EA}"/>
    <cellStyle name="20% - Accent2 2 2 7 2 5" xfId="15906" xr:uid="{1BF9FCF2-52F3-44A4-9BE7-421E13C6DB9B}"/>
    <cellStyle name="20% - Accent2 2 2 7 3" xfId="37881" xr:uid="{AB14F0BC-5D22-41E8-AE14-DAD9FA12B661}"/>
    <cellStyle name="20% - Accent2 2 2 7 4" xfId="29433" xr:uid="{5E282F7B-850A-4C5E-BF10-DBD2109DC648}"/>
    <cellStyle name="20% - Accent2 2 2 7 5" xfId="20986" xr:uid="{89B7E065-7A43-40E1-B4FD-30CB5808BFB3}"/>
    <cellStyle name="20% - Accent2 2 2 7 6" xfId="11689" xr:uid="{2D9CA3F1-5EDF-418D-986E-3449D0E20AF9}"/>
    <cellStyle name="20% - Accent2 2 2 8" xfId="4514" xr:uid="{00000000-0005-0000-0000-0000CA000000}"/>
    <cellStyle name="20% - Accent2 2 2 8 2" xfId="40032" xr:uid="{8828DE4C-2A79-43FE-ADBE-82800D44D4E8}"/>
    <cellStyle name="20% - Accent2 2 2 8 3" xfId="31585" xr:uid="{BF172175-4064-46AE-9637-122C6030D136}"/>
    <cellStyle name="20% - Accent2 2 2 8 4" xfId="23137" xr:uid="{B566C113-1269-4404-AAE9-4F1947672304}"/>
    <cellStyle name="20% - Accent2 2 2 8 5" xfId="13840" xr:uid="{AF2C2547-675D-4BBB-AD30-1EC86385697C}"/>
    <cellStyle name="20% - Accent2 2 2 9" xfId="8896" xr:uid="{7CDAA0F1-5BE6-4749-AD4D-5424E0EA26D8}"/>
    <cellStyle name="20% - Accent2 2 2 9 2" xfId="35815" xr:uid="{689D47B5-787A-4178-BA2C-0963BF283350}"/>
    <cellStyle name="20% - Accent2 2 2 9 3" xfId="18219" xr:uid="{BB1F3F2B-1588-4A89-9A7E-187920FD03DB}"/>
    <cellStyle name="20% - Accent2 2 3" xfId="13" xr:uid="{00000000-0005-0000-0000-0000CB000000}"/>
    <cellStyle name="20% - Accent2 2 3 10" xfId="18922" xr:uid="{4D2506BE-433B-4B21-9D1F-97B5F1659993}"/>
    <cellStyle name="20% - Accent2 2 3 11" xfId="9625" xr:uid="{DD255025-D848-4BDD-8F07-01D7B785B7C2}"/>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42593" xr:uid="{4DA5D21C-9C6B-4F47-83E4-56CC96FBF9C0}"/>
    <cellStyle name="20% - Accent2 2 3 2 2 2 3" xfId="34146" xr:uid="{266C84DC-8678-40FC-AF05-98EC21E0AE29}"/>
    <cellStyle name="20% - Accent2 2 3 2 2 2 4" xfId="25698" xr:uid="{4B1EA51F-0067-48AB-B6CC-08EFF0036010}"/>
    <cellStyle name="20% - Accent2 2 3 2 2 2 5" xfId="16401" xr:uid="{48077845-89D3-4FDE-AA85-8D6ABB67AE05}"/>
    <cellStyle name="20% - Accent2 2 3 2 2 3" xfId="38376" xr:uid="{CD9BAF3F-9A04-47AA-8D78-421564D587E8}"/>
    <cellStyle name="20% - Accent2 2 3 2 2 4" xfId="29928" xr:uid="{0B8E3E0A-A8C6-425E-9674-811FE03FC1FC}"/>
    <cellStyle name="20% - Accent2 2 3 2 2 5" xfId="21481" xr:uid="{9DF4B68C-4122-4670-83E5-D8914D709A96}"/>
    <cellStyle name="20% - Accent2 2 3 2 2 6" xfId="12184" xr:uid="{410B61AC-2F71-4F6A-AD67-0FBFE5368517}"/>
    <cellStyle name="20% - Accent2 2 3 2 3" xfId="4930" xr:uid="{00000000-0005-0000-0000-0000CF000000}"/>
    <cellStyle name="20% - Accent2 2 3 2 3 2" xfId="40448" xr:uid="{332EF85A-3876-4260-9BC4-EF176BB7614E}"/>
    <cellStyle name="20% - Accent2 2 3 2 3 3" xfId="32001" xr:uid="{87FC665C-928A-4D76-858E-A1783815FA79}"/>
    <cellStyle name="20% - Accent2 2 3 2 3 4" xfId="23553" xr:uid="{4A1BDC8F-C420-4B01-B7CA-601E7E41913B}"/>
    <cellStyle name="20% - Accent2 2 3 2 3 5" xfId="14256" xr:uid="{73DA9A9D-54CB-43F2-A2AE-975B192649DD}"/>
    <cellStyle name="20% - Accent2 2 3 2 4" xfId="9425" xr:uid="{35BECFF4-0F5A-4F6E-AE6E-354891135B4F}"/>
    <cellStyle name="20% - Accent2 2 3 2 4 2" xfId="36231" xr:uid="{7D6822E2-AC3D-44A7-AB27-2EBF70930EE0}"/>
    <cellStyle name="20% - Accent2 2 3 2 4 3" xfId="18738" xr:uid="{65B7D52F-3E2E-44B3-8E02-3CBDF697AF77}"/>
    <cellStyle name="20% - Accent2 2 3 2 5" xfId="27783" xr:uid="{6AE20220-ACD5-48B0-B2C3-815B752382F0}"/>
    <cellStyle name="20% - Accent2 2 3 2 6" xfId="19336" xr:uid="{808CAA1A-4752-44F0-BA5F-E01EF1539F9D}"/>
    <cellStyle name="20% - Accent2 2 3 2 7" xfId="10039" xr:uid="{47FC0D62-2A16-4E5C-8276-97B660CD8CC0}"/>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43006" xr:uid="{784F3274-C5A2-47D3-9A5F-E23133771312}"/>
    <cellStyle name="20% - Accent2 2 3 3 2 2 3" xfId="34559" xr:uid="{8152BCEF-DDCE-4F85-9058-1B89CB05DDAC}"/>
    <cellStyle name="20% - Accent2 2 3 3 2 2 4" xfId="26111" xr:uid="{94EEAD4E-8671-403E-98B4-30D19A7203A7}"/>
    <cellStyle name="20% - Accent2 2 3 3 2 2 5" xfId="16814" xr:uid="{BC9A0AEB-D2AD-4C80-8B29-84A934324225}"/>
    <cellStyle name="20% - Accent2 2 3 3 2 3" xfId="38789" xr:uid="{46325FB4-8C8A-4A4B-A205-AE00F83AA72E}"/>
    <cellStyle name="20% - Accent2 2 3 3 2 4" xfId="30341" xr:uid="{6DFD779A-8DD9-4E40-8851-50EF9B663ECD}"/>
    <cellStyle name="20% - Accent2 2 3 3 2 5" xfId="21894" xr:uid="{8A467B62-D559-42F7-9F17-092DA0249D8A}"/>
    <cellStyle name="20% - Accent2 2 3 3 2 6" xfId="12597" xr:uid="{4C85BF24-EB0F-4D9D-8D50-F9A57DCC814B}"/>
    <cellStyle name="20% - Accent2 2 3 3 3" xfId="5343" xr:uid="{00000000-0005-0000-0000-0000D3000000}"/>
    <cellStyle name="20% - Accent2 2 3 3 3 2" xfId="40861" xr:uid="{A58821B2-39CC-4088-B628-E978A10DD051}"/>
    <cellStyle name="20% - Accent2 2 3 3 3 3" xfId="32414" xr:uid="{BDCD09C3-3E30-4861-A75F-1EB0E47BA55F}"/>
    <cellStyle name="20% - Accent2 2 3 3 3 4" xfId="23966" xr:uid="{3E63A525-00D9-483C-9C59-4DBD698AA26A}"/>
    <cellStyle name="20% - Accent2 2 3 3 3 5" xfId="14669" xr:uid="{98A5CF16-8787-40F9-95F1-4402F9ACAA5B}"/>
    <cellStyle name="20% - Accent2 2 3 3 4" xfId="36644" xr:uid="{865E6EBC-5130-4B50-A541-3B172E74412D}"/>
    <cellStyle name="20% - Accent2 2 3 3 5" xfId="28196" xr:uid="{FB38200D-31D2-4504-AC65-B7B350503948}"/>
    <cellStyle name="20% - Accent2 2 3 3 6" xfId="19749" xr:uid="{BA1BF82E-87FD-4047-A192-B0B437865031}"/>
    <cellStyle name="20% - Accent2 2 3 3 7" xfId="10452" xr:uid="{4ED509EF-FB89-4E5A-9719-B1F3C1F2AB11}"/>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43419" xr:uid="{AF72D2D5-A25C-4B38-AD1C-490F69F8787A}"/>
    <cellStyle name="20% - Accent2 2 3 4 2 2 3" xfId="34972" xr:uid="{111DB599-7853-4414-B785-976312AD2B77}"/>
    <cellStyle name="20% - Accent2 2 3 4 2 2 4" xfId="26524" xr:uid="{679578B8-E697-4EA6-9E68-96BA6F0E310D}"/>
    <cellStyle name="20% - Accent2 2 3 4 2 2 5" xfId="17227" xr:uid="{2055A755-53FA-4298-9091-984D97B02EA1}"/>
    <cellStyle name="20% - Accent2 2 3 4 2 3" xfId="39202" xr:uid="{46FAD729-183C-4203-94C6-A26767085F78}"/>
    <cellStyle name="20% - Accent2 2 3 4 2 4" xfId="30754" xr:uid="{CBDE580B-A4AF-4886-9B98-4C67B9F8E84B}"/>
    <cellStyle name="20% - Accent2 2 3 4 2 5" xfId="22307" xr:uid="{31F99154-FC40-4184-99D5-6961FD954755}"/>
    <cellStyle name="20% - Accent2 2 3 4 2 6" xfId="13010" xr:uid="{E8F2ECE2-F38D-46F4-B334-FE3E50885033}"/>
    <cellStyle name="20% - Accent2 2 3 4 3" xfId="5756" xr:uid="{00000000-0005-0000-0000-0000D7000000}"/>
    <cellStyle name="20% - Accent2 2 3 4 3 2" xfId="41274" xr:uid="{3B2A82C4-1587-4757-BE71-8D223B0C7416}"/>
    <cellStyle name="20% - Accent2 2 3 4 3 3" xfId="32827" xr:uid="{F6B3AF01-4C93-4941-8142-9213D57BD310}"/>
    <cellStyle name="20% - Accent2 2 3 4 3 4" xfId="24379" xr:uid="{B640BF57-054B-4CFD-8678-07E94239F21E}"/>
    <cellStyle name="20% - Accent2 2 3 4 3 5" xfId="15082" xr:uid="{4C6E1DDE-3B30-41F8-8828-688488614A0C}"/>
    <cellStyle name="20% - Accent2 2 3 4 4" xfId="37057" xr:uid="{8E9B3FBD-CE2B-4D8F-B906-41EAA2B65E95}"/>
    <cellStyle name="20% - Accent2 2 3 4 5" xfId="28609" xr:uid="{591334B2-3D8B-4BFC-B4C7-2BF3B8DD72CE}"/>
    <cellStyle name="20% - Accent2 2 3 4 6" xfId="20162" xr:uid="{19905AD7-E7D9-4601-BFF1-82C2C926EC57}"/>
    <cellStyle name="20% - Accent2 2 3 4 7" xfId="10865" xr:uid="{0ED4069D-F446-494E-BCBE-75E67075DD95}"/>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43832" xr:uid="{5EF667B0-9F9B-43C8-ACCE-0AA1926B4272}"/>
    <cellStyle name="20% - Accent2 2 3 5 2 2 3" xfId="35385" xr:uid="{5CC43982-76F2-405D-887F-E16C4DD7BE54}"/>
    <cellStyle name="20% - Accent2 2 3 5 2 2 4" xfId="26937" xr:uid="{757A9383-60B3-4500-A6A3-CC30180C3F65}"/>
    <cellStyle name="20% - Accent2 2 3 5 2 2 5" xfId="17640" xr:uid="{87C686A2-0AE2-480D-AB71-11D851F27273}"/>
    <cellStyle name="20% - Accent2 2 3 5 2 3" xfId="39615" xr:uid="{2973F0BD-C3EC-4A13-9CCF-DDC9C6E789DE}"/>
    <cellStyle name="20% - Accent2 2 3 5 2 4" xfId="31167" xr:uid="{46151202-6B50-4F4D-AA94-5E052C5CF84A}"/>
    <cellStyle name="20% - Accent2 2 3 5 2 5" xfId="22720" xr:uid="{13A151C3-209B-46A9-9D13-2D3B2A13B473}"/>
    <cellStyle name="20% - Accent2 2 3 5 2 6" xfId="13423" xr:uid="{8FEC8873-775A-448B-86A7-2DEC6B239AFE}"/>
    <cellStyle name="20% - Accent2 2 3 5 3" xfId="6169" xr:uid="{00000000-0005-0000-0000-0000DB000000}"/>
    <cellStyle name="20% - Accent2 2 3 5 3 2" xfId="41687" xr:uid="{74C728A3-A69D-437E-8E23-693185CC5D85}"/>
    <cellStyle name="20% - Accent2 2 3 5 3 3" xfId="33240" xr:uid="{ABC33794-28DE-4D06-ADE8-452F9839630D}"/>
    <cellStyle name="20% - Accent2 2 3 5 3 4" xfId="24792" xr:uid="{E9C86CC8-BF65-4A33-8DE5-BDC69738C13E}"/>
    <cellStyle name="20% - Accent2 2 3 5 3 5" xfId="15495" xr:uid="{05F850B2-8833-4051-90C2-EE47B5A6DE68}"/>
    <cellStyle name="20% - Accent2 2 3 5 4" xfId="37470" xr:uid="{6AF946F6-2B8E-4281-AF7D-0008237532B7}"/>
    <cellStyle name="20% - Accent2 2 3 5 5" xfId="29022" xr:uid="{18874A0F-A022-47B5-88E2-CFACE647FE9B}"/>
    <cellStyle name="20% - Accent2 2 3 5 6" xfId="20575" xr:uid="{BFD7855A-7AC0-4A3C-8818-47D431D16358}"/>
    <cellStyle name="20% - Accent2 2 3 5 7" xfId="11278" xr:uid="{8C77DD09-25DF-47D6-8697-8F9EF050BF7B}"/>
    <cellStyle name="20% - Accent2 2 3 6" xfId="2276" xr:uid="{00000000-0005-0000-0000-0000DC000000}"/>
    <cellStyle name="20% - Accent2 2 3 6 2" xfId="6582" xr:uid="{00000000-0005-0000-0000-0000DD000000}"/>
    <cellStyle name="20% - Accent2 2 3 6 2 2" xfId="42100" xr:uid="{F3C67E59-2698-46F7-8A1B-8BE1B3F5D906}"/>
    <cellStyle name="20% - Accent2 2 3 6 2 3" xfId="33653" xr:uid="{D8D97FA6-4DEB-4120-8859-43A3A19B70B4}"/>
    <cellStyle name="20% - Accent2 2 3 6 2 4" xfId="25205" xr:uid="{59C2A97B-5541-4197-BF0E-AC849C639B50}"/>
    <cellStyle name="20% - Accent2 2 3 6 2 5" xfId="15908" xr:uid="{3802E1F2-CEC5-42EC-BD55-9F0ADAEC1B81}"/>
    <cellStyle name="20% - Accent2 2 3 6 3" xfId="37883" xr:uid="{D2FEA0A7-80D5-4A39-A66B-FCA00D6CC56D}"/>
    <cellStyle name="20% - Accent2 2 3 6 4" xfId="29435" xr:uid="{FF269DA7-AA2C-4D71-BC6D-927C6E02D02E}"/>
    <cellStyle name="20% - Accent2 2 3 6 5" xfId="20988" xr:uid="{DFBA3B7B-D6FE-4816-8D1A-6016C37F9628}"/>
    <cellStyle name="20% - Accent2 2 3 6 6" xfId="11691" xr:uid="{7CA19E03-C702-4DA4-A7DA-A0C85FFF68C8}"/>
    <cellStyle name="20% - Accent2 2 3 7" xfId="4516" xr:uid="{00000000-0005-0000-0000-0000DE000000}"/>
    <cellStyle name="20% - Accent2 2 3 7 2" xfId="40034" xr:uid="{DFE2EE8E-C278-4F54-8444-CD5223D56FC4}"/>
    <cellStyle name="20% - Accent2 2 3 7 3" xfId="31587" xr:uid="{1DCBAF77-1A58-4B2D-B981-CA320CAC406F}"/>
    <cellStyle name="20% - Accent2 2 3 7 4" xfId="23139" xr:uid="{6BA853CE-FFB9-4CA9-B266-67DB1F3AA5B5}"/>
    <cellStyle name="20% - Accent2 2 3 7 5" xfId="13842" xr:uid="{C4A7592F-8244-416D-BAEE-70A4E3BA0876}"/>
    <cellStyle name="20% - Accent2 2 3 8" xfId="9000" xr:uid="{133DFC5C-F2FF-49E9-82EE-ABAA9C815393}"/>
    <cellStyle name="20% - Accent2 2 3 8 2" xfId="35817" xr:uid="{9D66BFCD-A8D1-491B-B688-F4BB13E313AD}"/>
    <cellStyle name="20% - Accent2 2 3 8 3" xfId="18323" xr:uid="{61313555-53BF-4089-BFDC-EA0C8C2B54C2}"/>
    <cellStyle name="20% - Accent2 2 3 9" xfId="27369" xr:uid="{E7AA07F6-B204-47D9-AE95-EB02AB16716E}"/>
    <cellStyle name="20% - Accent2 2 4" xfId="579" xr:uid="{00000000-0005-0000-0000-0000DF000000}"/>
    <cellStyle name="20% - Accent2 2 4 2" xfId="2850" xr:uid="{00000000-0005-0000-0000-0000E0000000}"/>
    <cellStyle name="20% - Accent2 2 4 2 2" xfId="7072" xr:uid="{00000000-0005-0000-0000-0000E1000000}"/>
    <cellStyle name="20% - Accent2 2 4 2 2 2" xfId="42590" xr:uid="{963D9916-E606-4217-B57E-AB12BBADAB9B}"/>
    <cellStyle name="20% - Accent2 2 4 2 2 3" xfId="34143" xr:uid="{64896012-EB0C-4F70-83CA-72F64A178C8D}"/>
    <cellStyle name="20% - Accent2 2 4 2 2 4" xfId="25695" xr:uid="{D14F22EF-8DB8-43B2-B6C2-5B2299C80B1A}"/>
    <cellStyle name="20% - Accent2 2 4 2 2 5" xfId="16398" xr:uid="{A85D7EDE-74FA-48B0-86BB-0BAC1D6C57EE}"/>
    <cellStyle name="20% - Accent2 2 4 2 3" xfId="38373" xr:uid="{8131FBB9-41BC-4585-84A6-894B3C59AB5B}"/>
    <cellStyle name="20% - Accent2 2 4 2 4" xfId="29925" xr:uid="{A022CD63-A8DA-4533-A1C3-D95A9025F6C5}"/>
    <cellStyle name="20% - Accent2 2 4 2 5" xfId="21478" xr:uid="{39A24525-F3B7-4C9F-A1A3-3BB2A0A39361}"/>
    <cellStyle name="20% - Accent2 2 4 2 6" xfId="12181" xr:uid="{93597534-5D5F-4DA4-8917-7ED35EB0E928}"/>
    <cellStyle name="20% - Accent2 2 4 3" xfId="4927" xr:uid="{00000000-0005-0000-0000-0000E2000000}"/>
    <cellStyle name="20% - Accent2 2 4 3 2" xfId="40445" xr:uid="{DF3BFA7E-849D-4E52-B57C-FC3770CEEB6C}"/>
    <cellStyle name="20% - Accent2 2 4 3 3" xfId="31998" xr:uid="{4B026D40-EE73-4E7A-AF67-EA6C793F98D3}"/>
    <cellStyle name="20% - Accent2 2 4 3 4" xfId="23550" xr:uid="{2197E72C-1D18-4C64-9D9F-E494EBD324DD}"/>
    <cellStyle name="20% - Accent2 2 4 3 5" xfId="14253" xr:uid="{B3920492-E797-4EEA-9AFF-08A4DA495EE2}"/>
    <cellStyle name="20% - Accent2 2 4 4" xfId="9217" xr:uid="{28DDC3F5-BA57-40F8-8D06-6CFF141CF9A1}"/>
    <cellStyle name="20% - Accent2 2 4 4 2" xfId="36228" xr:uid="{A2EE8270-304A-46BE-9D3A-7B3E55C60AA6}"/>
    <cellStyle name="20% - Accent2 2 4 4 3" xfId="18531" xr:uid="{F034836B-12AD-4A82-B0A5-B197D31DCF28}"/>
    <cellStyle name="20% - Accent2 2 4 5" xfId="27780" xr:uid="{3262F6A1-CA96-4D49-9182-920187E839D4}"/>
    <cellStyle name="20% - Accent2 2 4 6" xfId="19333" xr:uid="{6AF322FB-7ED1-4F4F-B0E0-6278E0F0C911}"/>
    <cellStyle name="20% - Accent2 2 4 7" xfId="10036" xr:uid="{4735605B-5C8E-4B1F-B32C-A68A2B74D8D8}"/>
    <cellStyle name="20% - Accent2 2 5" xfId="1032" xr:uid="{00000000-0005-0000-0000-0000E3000000}"/>
    <cellStyle name="20% - Accent2 2 5 2" xfId="3263" xr:uid="{00000000-0005-0000-0000-0000E4000000}"/>
    <cellStyle name="20% - Accent2 2 5 2 2" xfId="7485" xr:uid="{00000000-0005-0000-0000-0000E5000000}"/>
    <cellStyle name="20% - Accent2 2 5 2 2 2" xfId="43003" xr:uid="{4FAC23FE-4795-48FD-A38B-C1572F5B66A1}"/>
    <cellStyle name="20% - Accent2 2 5 2 2 3" xfId="34556" xr:uid="{2A4B276E-8322-47CA-8A0E-19DDE899F617}"/>
    <cellStyle name="20% - Accent2 2 5 2 2 4" xfId="26108" xr:uid="{9FED4AB7-28F5-45F7-84DB-E60FD929F5DF}"/>
    <cellStyle name="20% - Accent2 2 5 2 2 5" xfId="16811" xr:uid="{8B38939B-7364-4503-B3B6-9DAE6FEF19D7}"/>
    <cellStyle name="20% - Accent2 2 5 2 3" xfId="38786" xr:uid="{AD9DEB03-5767-4300-9C3D-47945B0771B7}"/>
    <cellStyle name="20% - Accent2 2 5 2 4" xfId="30338" xr:uid="{7ADD248B-6535-4E22-9E66-B92FD713355C}"/>
    <cellStyle name="20% - Accent2 2 5 2 5" xfId="21891" xr:uid="{F08E30D1-30CF-44F3-9F8F-AEB185A80A1B}"/>
    <cellStyle name="20% - Accent2 2 5 2 6" xfId="12594" xr:uid="{C7C36A38-3613-4431-919D-32234CEA8648}"/>
    <cellStyle name="20% - Accent2 2 5 3" xfId="5340" xr:uid="{00000000-0005-0000-0000-0000E6000000}"/>
    <cellStyle name="20% - Accent2 2 5 3 2" xfId="40858" xr:uid="{3DEA7AA7-AF92-4F9E-83C8-8C9B34F91991}"/>
    <cellStyle name="20% - Accent2 2 5 3 3" xfId="32411" xr:uid="{31D302AE-3BD9-4066-9A81-67279E3436C6}"/>
    <cellStyle name="20% - Accent2 2 5 3 4" xfId="23963" xr:uid="{7C56BA2A-9576-42B5-8F3B-95587D5ADA0C}"/>
    <cellStyle name="20% - Accent2 2 5 3 5" xfId="14666" xr:uid="{A9BE4BF8-C047-4C85-8A45-31039E7199BB}"/>
    <cellStyle name="20% - Accent2 2 5 4" xfId="36641" xr:uid="{B971563C-EDF9-49F1-9BDF-142304C74DE4}"/>
    <cellStyle name="20% - Accent2 2 5 5" xfId="28193" xr:uid="{A61177FD-6D7C-470D-B306-8815DF060DC4}"/>
    <cellStyle name="20% - Accent2 2 5 6" xfId="19746" xr:uid="{7CA29946-BAC2-4BEA-B7C7-5E9600FC5CE8}"/>
    <cellStyle name="20% - Accent2 2 5 7" xfId="10449" xr:uid="{0689DC87-78A5-4D44-AF0A-9828BF32373D}"/>
    <cellStyle name="20% - Accent2 2 6" xfId="1446" xr:uid="{00000000-0005-0000-0000-0000E7000000}"/>
    <cellStyle name="20% - Accent2 2 6 2" xfId="3676" xr:uid="{00000000-0005-0000-0000-0000E8000000}"/>
    <cellStyle name="20% - Accent2 2 6 2 2" xfId="7898" xr:uid="{00000000-0005-0000-0000-0000E9000000}"/>
    <cellStyle name="20% - Accent2 2 6 2 2 2" xfId="43416" xr:uid="{5FB4352E-71A6-4269-BBC9-B413D40EE7CE}"/>
    <cellStyle name="20% - Accent2 2 6 2 2 3" xfId="34969" xr:uid="{6DCB1161-16BB-4160-9D75-670294AA1C1F}"/>
    <cellStyle name="20% - Accent2 2 6 2 2 4" xfId="26521" xr:uid="{A6EDA5A1-B92F-4B61-8B0C-7548A220A3E2}"/>
    <cellStyle name="20% - Accent2 2 6 2 2 5" xfId="17224" xr:uid="{073918B0-48E0-4ECD-A694-89C797BDB342}"/>
    <cellStyle name="20% - Accent2 2 6 2 3" xfId="39199" xr:uid="{15256E8A-E9AD-4D05-8C56-8DB348FDBBFE}"/>
    <cellStyle name="20% - Accent2 2 6 2 4" xfId="30751" xr:uid="{4CCEF365-FD68-4A8E-9B69-11EAF61EAEAC}"/>
    <cellStyle name="20% - Accent2 2 6 2 5" xfId="22304" xr:uid="{EB9B40B9-D56F-46A9-B31A-93AFFCFDAD08}"/>
    <cellStyle name="20% - Accent2 2 6 2 6" xfId="13007" xr:uid="{281740E3-1827-48D5-98E1-36912B2F617D}"/>
    <cellStyle name="20% - Accent2 2 6 3" xfId="5753" xr:uid="{00000000-0005-0000-0000-0000EA000000}"/>
    <cellStyle name="20% - Accent2 2 6 3 2" xfId="41271" xr:uid="{B831A84A-A940-4A63-B04B-4F13461A3590}"/>
    <cellStyle name="20% - Accent2 2 6 3 3" xfId="32824" xr:uid="{03D96B38-E16F-44A3-BF79-80BA4F21E540}"/>
    <cellStyle name="20% - Accent2 2 6 3 4" xfId="24376" xr:uid="{85A75B52-2434-44D0-AFC1-75E4A0F6FD28}"/>
    <cellStyle name="20% - Accent2 2 6 3 5" xfId="15079" xr:uid="{0B9100AD-D4BA-4916-A9C9-A855D4154D3D}"/>
    <cellStyle name="20% - Accent2 2 6 4" xfId="37054" xr:uid="{502AC8EB-86A2-4CC1-AE71-EB46267904C1}"/>
    <cellStyle name="20% - Accent2 2 6 5" xfId="28606" xr:uid="{9579D2DF-D1BD-4A4A-8494-9127A6A614E3}"/>
    <cellStyle name="20% - Accent2 2 6 6" xfId="20159" xr:uid="{2A54F79E-BC8D-4115-8412-251F7047AF49}"/>
    <cellStyle name="20% - Accent2 2 6 7" xfId="10862" xr:uid="{62F1E4D9-3178-4592-BCEB-B15D300DB167}"/>
    <cellStyle name="20% - Accent2 2 7" xfId="1860" xr:uid="{00000000-0005-0000-0000-0000EB000000}"/>
    <cellStyle name="20% - Accent2 2 7 2" xfId="4089" xr:uid="{00000000-0005-0000-0000-0000EC000000}"/>
    <cellStyle name="20% - Accent2 2 7 2 2" xfId="8311" xr:uid="{00000000-0005-0000-0000-0000ED000000}"/>
    <cellStyle name="20% - Accent2 2 7 2 2 2" xfId="43829" xr:uid="{CA90E1DD-B854-4CED-B7B2-AB59070F34AA}"/>
    <cellStyle name="20% - Accent2 2 7 2 2 3" xfId="35382" xr:uid="{11C84E99-CC79-4118-AC1A-69726FE96D3D}"/>
    <cellStyle name="20% - Accent2 2 7 2 2 4" xfId="26934" xr:uid="{25E8922F-6572-497F-B30A-DD26FCD3D688}"/>
    <cellStyle name="20% - Accent2 2 7 2 2 5" xfId="17637" xr:uid="{1744E384-739C-49EA-9AB5-5FE74AE5ED44}"/>
    <cellStyle name="20% - Accent2 2 7 2 3" xfId="39612" xr:uid="{8A4FA81D-7819-42D7-ABFE-7AA275B520E7}"/>
    <cellStyle name="20% - Accent2 2 7 2 4" xfId="31164" xr:uid="{0428E594-2027-406F-A65C-756E82C78C35}"/>
    <cellStyle name="20% - Accent2 2 7 2 5" xfId="22717" xr:uid="{7AB00DFA-C4D1-48A8-8AEA-5F41C74DADB5}"/>
    <cellStyle name="20% - Accent2 2 7 2 6" xfId="13420" xr:uid="{C903377E-B43B-4D2B-9067-AAAEA248A30A}"/>
    <cellStyle name="20% - Accent2 2 7 3" xfId="6166" xr:uid="{00000000-0005-0000-0000-0000EE000000}"/>
    <cellStyle name="20% - Accent2 2 7 3 2" xfId="41684" xr:uid="{B4B5F2BE-30ED-4929-95D0-5F44F84990F4}"/>
    <cellStyle name="20% - Accent2 2 7 3 3" xfId="33237" xr:uid="{3456FB33-DB9C-40AD-919B-C76851C11B55}"/>
    <cellStyle name="20% - Accent2 2 7 3 4" xfId="24789" xr:uid="{FD5F2C83-5D13-4789-B0A2-84060DE993D0}"/>
    <cellStyle name="20% - Accent2 2 7 3 5" xfId="15492" xr:uid="{3575EF4C-AEE7-4834-9D27-9C0055074BD7}"/>
    <cellStyle name="20% - Accent2 2 7 4" xfId="37467" xr:uid="{F0513B9F-0A18-42DD-8EE6-D54A19572977}"/>
    <cellStyle name="20% - Accent2 2 7 5" xfId="29019" xr:uid="{05296D4C-7E60-4B96-83A2-3D1EFF0E2684}"/>
    <cellStyle name="20% - Accent2 2 7 6" xfId="20572" xr:uid="{CDD87969-29C4-495B-A175-95188DE277D8}"/>
    <cellStyle name="20% - Accent2 2 7 7" xfId="11275" xr:uid="{D677C84D-AF57-41FA-B150-72038E76D82B}"/>
    <cellStyle name="20% - Accent2 2 8" xfId="2273" xr:uid="{00000000-0005-0000-0000-0000EF000000}"/>
    <cellStyle name="20% - Accent2 2 8 2" xfId="6579" xr:uid="{00000000-0005-0000-0000-0000F0000000}"/>
    <cellStyle name="20% - Accent2 2 8 2 2" xfId="42097" xr:uid="{96A3AB03-57C3-406C-84B7-826AC9E045D6}"/>
    <cellStyle name="20% - Accent2 2 8 2 3" xfId="33650" xr:uid="{FB29295E-CEFA-4043-B83E-07AD85198A25}"/>
    <cellStyle name="20% - Accent2 2 8 2 4" xfId="25202" xr:uid="{650E2B76-290E-4E2A-B888-F3AD84171610}"/>
    <cellStyle name="20% - Accent2 2 8 2 5" xfId="15905" xr:uid="{78B4DAB0-D45A-45F7-A2CE-2E711B604E3F}"/>
    <cellStyle name="20% - Accent2 2 8 3" xfId="37880" xr:uid="{2A5EC3E0-64E7-4C28-9BA5-1C5DB7B72F72}"/>
    <cellStyle name="20% - Accent2 2 8 4" xfId="29432" xr:uid="{0F948318-2E2B-4CE9-85FA-E19D8157CC16}"/>
    <cellStyle name="20% - Accent2 2 8 5" xfId="20985" xr:uid="{D4902199-3F6A-459E-A8CF-195B6B912891}"/>
    <cellStyle name="20% - Accent2 2 8 6" xfId="11688" xr:uid="{3C26A989-790E-47DB-9B9C-9CCB80382062}"/>
    <cellStyle name="20% - Accent2 2 9" xfId="4513" xr:uid="{00000000-0005-0000-0000-0000F1000000}"/>
    <cellStyle name="20% - Accent2 2 9 2" xfId="40031" xr:uid="{AB780B3C-D97F-4217-AB17-CCD08EE7E1B6}"/>
    <cellStyle name="20% - Accent2 2 9 3" xfId="31584" xr:uid="{B6CB94AD-E0D0-4611-9E06-6B1DD13BD0B2}"/>
    <cellStyle name="20% - Accent2 2 9 4" xfId="23136" xr:uid="{8DBB4312-8058-483B-9504-09A533FB5957}"/>
    <cellStyle name="20% - Accent2 2 9 5" xfId="13839" xr:uid="{DE775DFE-2F89-4CDF-B20D-35669C720103}"/>
    <cellStyle name="20% - Accent2 3" xfId="14" xr:uid="{00000000-0005-0000-0000-0000F2000000}"/>
    <cellStyle name="20% - Accent2 3 10" xfId="27370" xr:uid="{427A94A2-6921-42A1-95D4-02C71FBA916A}"/>
    <cellStyle name="20% - Accent2 3 11" xfId="18923" xr:uid="{7E6450C5-1609-4BC5-BBA1-64C22292B51D}"/>
    <cellStyle name="20% - Accent2 3 12" xfId="9626" xr:uid="{C04CD257-46E6-4862-AF6A-6EDEDD43859A}"/>
    <cellStyle name="20% - Accent2 3 2" xfId="15" xr:uid="{00000000-0005-0000-0000-0000F3000000}"/>
    <cellStyle name="20% - Accent2 3 2 10" xfId="18924" xr:uid="{05DCD8D8-ECB0-4DCB-9B4D-6400A6FDB5B5}"/>
    <cellStyle name="20% - Accent2 3 2 11" xfId="9627" xr:uid="{F1AC18DA-2A33-4E21-9A33-1502E837276C}"/>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42595" xr:uid="{89095A15-58AC-4EA4-A245-4D57CBD72EFB}"/>
    <cellStyle name="20% - Accent2 3 2 2 2 2 3" xfId="34148" xr:uid="{C6AFA68E-9A3B-497F-AD33-B65540867CF0}"/>
    <cellStyle name="20% - Accent2 3 2 2 2 2 4" xfId="25700" xr:uid="{6661ECAC-8368-4CAA-BA23-9E1C4E60C4C3}"/>
    <cellStyle name="20% - Accent2 3 2 2 2 2 5" xfId="16403" xr:uid="{7F61D503-682E-4DA5-8183-C526EE16D99F}"/>
    <cellStyle name="20% - Accent2 3 2 2 2 3" xfId="38378" xr:uid="{0E5B9BA2-FA7F-4AFE-88F4-D2C6D146AE99}"/>
    <cellStyle name="20% - Accent2 3 2 2 2 4" xfId="29930" xr:uid="{9F5FF1A2-BA7B-4D2D-8551-E63E1911193A}"/>
    <cellStyle name="20% - Accent2 3 2 2 2 5" xfId="21483" xr:uid="{61869992-1293-4D06-AE0A-F660554EB563}"/>
    <cellStyle name="20% - Accent2 3 2 2 2 6" xfId="12186" xr:uid="{6ADCAB47-CD91-448B-9C5F-F181B0807348}"/>
    <cellStyle name="20% - Accent2 3 2 2 3" xfId="4932" xr:uid="{00000000-0005-0000-0000-0000F7000000}"/>
    <cellStyle name="20% - Accent2 3 2 2 3 2" xfId="40450" xr:uid="{876C944C-4DD7-4C16-8820-BE610D71F219}"/>
    <cellStyle name="20% - Accent2 3 2 2 3 3" xfId="32003" xr:uid="{84A5B324-3713-4BEC-BA73-7AE6E621F96E}"/>
    <cellStyle name="20% - Accent2 3 2 2 3 4" xfId="23555" xr:uid="{DEE1C917-7C8E-435A-A0B6-12EACAE05720}"/>
    <cellStyle name="20% - Accent2 3 2 2 3 5" xfId="14258" xr:uid="{4E974883-E5DE-409D-B75E-6D817944BB33}"/>
    <cellStyle name="20% - Accent2 3 2 2 4" xfId="9495" xr:uid="{9F5A6FE7-BBC9-4787-8EC4-2112F4D5A0EA}"/>
    <cellStyle name="20% - Accent2 3 2 2 4 2" xfId="36233" xr:uid="{D67E5571-83CC-43EA-B4B0-C4422887770D}"/>
    <cellStyle name="20% - Accent2 3 2 2 4 3" xfId="18808" xr:uid="{6E6C3277-C03B-4D12-B7DF-F6829198C398}"/>
    <cellStyle name="20% - Accent2 3 2 2 5" xfId="27785" xr:uid="{B22251C8-5DAD-4747-9B1E-882703200742}"/>
    <cellStyle name="20% - Accent2 3 2 2 6" xfId="19338" xr:uid="{26498866-7678-48EE-8043-3714D4E23C31}"/>
    <cellStyle name="20% - Accent2 3 2 2 7" xfId="10041" xr:uid="{23BA5DF4-E4F0-4096-994D-5E4A037DE3AE}"/>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43008" xr:uid="{3D0231E3-B624-42FE-B8C2-451A83BF50D7}"/>
    <cellStyle name="20% - Accent2 3 2 3 2 2 3" xfId="34561" xr:uid="{94A976C9-53B5-4D08-AAFB-FD8010F4F738}"/>
    <cellStyle name="20% - Accent2 3 2 3 2 2 4" xfId="26113" xr:uid="{220FAB74-F145-4126-916C-E984BBB47A39}"/>
    <cellStyle name="20% - Accent2 3 2 3 2 2 5" xfId="16816" xr:uid="{FEDDBC7C-A0E8-4AE5-B19D-69C71B6CDA73}"/>
    <cellStyle name="20% - Accent2 3 2 3 2 3" xfId="38791" xr:uid="{05636CDE-1E8D-4496-89E3-24425D36DA1B}"/>
    <cellStyle name="20% - Accent2 3 2 3 2 4" xfId="30343" xr:uid="{60B8EB51-9198-41E1-8B38-C3732E13AF1F}"/>
    <cellStyle name="20% - Accent2 3 2 3 2 5" xfId="21896" xr:uid="{AB74B998-6276-4007-A142-7552B59E64B1}"/>
    <cellStyle name="20% - Accent2 3 2 3 2 6" xfId="12599" xr:uid="{5CA817D4-EFB9-48A7-AD29-AD2699C263CD}"/>
    <cellStyle name="20% - Accent2 3 2 3 3" xfId="5345" xr:uid="{00000000-0005-0000-0000-0000FB000000}"/>
    <cellStyle name="20% - Accent2 3 2 3 3 2" xfId="40863" xr:uid="{3DDBB634-B539-4831-90AB-F4ABF197DD16}"/>
    <cellStyle name="20% - Accent2 3 2 3 3 3" xfId="32416" xr:uid="{DA096E77-1007-4313-8BF7-CA6DC7719733}"/>
    <cellStyle name="20% - Accent2 3 2 3 3 4" xfId="23968" xr:uid="{8FE7810D-3E1B-419C-B206-A5F84B22339E}"/>
    <cellStyle name="20% - Accent2 3 2 3 3 5" xfId="14671" xr:uid="{7EC102CF-3201-4465-A726-6255367B1EE1}"/>
    <cellStyle name="20% - Accent2 3 2 3 4" xfId="36646" xr:uid="{F9977EFB-1E64-4F66-A0B6-16E8AAB6817D}"/>
    <cellStyle name="20% - Accent2 3 2 3 5" xfId="28198" xr:uid="{AB2D08AF-9A9D-4DF2-8B53-1E50CBDC323C}"/>
    <cellStyle name="20% - Accent2 3 2 3 6" xfId="19751" xr:uid="{42FB0AD7-3A77-4B17-A690-639C7BD3DACD}"/>
    <cellStyle name="20% - Accent2 3 2 3 7" xfId="10454" xr:uid="{4FE88B1A-3734-40D3-9C67-8FCFEE2E1A5C}"/>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43421" xr:uid="{360010FB-6969-4DE4-B6A6-FFB06CAB7A65}"/>
    <cellStyle name="20% - Accent2 3 2 4 2 2 3" xfId="34974" xr:uid="{A05F6507-3137-4B4F-BEF8-C6CA50FE55B7}"/>
    <cellStyle name="20% - Accent2 3 2 4 2 2 4" xfId="26526" xr:uid="{7DEFB3C7-F25D-433D-AB0F-E22A89ED85BB}"/>
    <cellStyle name="20% - Accent2 3 2 4 2 2 5" xfId="17229" xr:uid="{241CD1D6-62DC-41D8-B6E3-44D0A72167BC}"/>
    <cellStyle name="20% - Accent2 3 2 4 2 3" xfId="39204" xr:uid="{39870534-BAF3-42C7-A630-7B82CD4E469B}"/>
    <cellStyle name="20% - Accent2 3 2 4 2 4" xfId="30756" xr:uid="{D699AC3A-1D0C-44BD-BD0F-404A4C303CEC}"/>
    <cellStyle name="20% - Accent2 3 2 4 2 5" xfId="22309" xr:uid="{7D97D326-442C-4092-A25A-F647B315F465}"/>
    <cellStyle name="20% - Accent2 3 2 4 2 6" xfId="13012" xr:uid="{A6A4EB05-53F7-4AB3-BF27-EC4E655122AC}"/>
    <cellStyle name="20% - Accent2 3 2 4 3" xfId="5758" xr:uid="{00000000-0005-0000-0000-0000FF000000}"/>
    <cellStyle name="20% - Accent2 3 2 4 3 2" xfId="41276" xr:uid="{96253ACC-EB39-49D1-893C-9664BB311A01}"/>
    <cellStyle name="20% - Accent2 3 2 4 3 3" xfId="32829" xr:uid="{C7D89D9C-4B06-4B3F-8D89-E6CC5D5A75DF}"/>
    <cellStyle name="20% - Accent2 3 2 4 3 4" xfId="24381" xr:uid="{A74C88DF-8F2C-48CD-B1D2-C49F7D1E6398}"/>
    <cellStyle name="20% - Accent2 3 2 4 3 5" xfId="15084" xr:uid="{9CF38206-EE1D-489F-AECD-1C0265D005F4}"/>
    <cellStyle name="20% - Accent2 3 2 4 4" xfId="37059" xr:uid="{3965D856-1DCB-488B-813B-FFB90A77A356}"/>
    <cellStyle name="20% - Accent2 3 2 4 5" xfId="28611" xr:uid="{C558AC72-F773-487C-98F9-9767C817865F}"/>
    <cellStyle name="20% - Accent2 3 2 4 6" xfId="20164" xr:uid="{C6426710-FE8A-4CAC-983A-BD7A5ADEFF2D}"/>
    <cellStyle name="20% - Accent2 3 2 4 7" xfId="10867" xr:uid="{A2371CE9-EAD0-4871-9ED7-6D0A8827A2CC}"/>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43834" xr:uid="{740BC97F-5C61-48AC-8228-C8928B888586}"/>
    <cellStyle name="20% - Accent2 3 2 5 2 2 3" xfId="35387" xr:uid="{7E4FE1E8-B2D6-4903-AA8D-1FAF515A5853}"/>
    <cellStyle name="20% - Accent2 3 2 5 2 2 4" xfId="26939" xr:uid="{479DEF69-5F4D-4936-816B-CA1B3ABDB4F1}"/>
    <cellStyle name="20% - Accent2 3 2 5 2 2 5" xfId="17642" xr:uid="{3187CEA6-35FF-4A3D-90B4-372845ED2F46}"/>
    <cellStyle name="20% - Accent2 3 2 5 2 3" xfId="39617" xr:uid="{AE3D3F39-E575-4A63-BBAF-C363DC33EE41}"/>
    <cellStyle name="20% - Accent2 3 2 5 2 4" xfId="31169" xr:uid="{0DBCF546-F9DD-4F31-BF9E-B897018F1FC4}"/>
    <cellStyle name="20% - Accent2 3 2 5 2 5" xfId="22722" xr:uid="{6F07D3D8-5F32-4C64-90BB-747B3CF41B6A}"/>
    <cellStyle name="20% - Accent2 3 2 5 2 6" xfId="13425" xr:uid="{9F1F1E3C-A4DB-4E4D-9584-7B4ED05B0E93}"/>
    <cellStyle name="20% - Accent2 3 2 5 3" xfId="6171" xr:uid="{00000000-0005-0000-0000-000003010000}"/>
    <cellStyle name="20% - Accent2 3 2 5 3 2" xfId="41689" xr:uid="{4187793A-D0A0-45A3-9BF2-64238956CC41}"/>
    <cellStyle name="20% - Accent2 3 2 5 3 3" xfId="33242" xr:uid="{EAB1E720-C449-438E-A4B3-21156EC20A47}"/>
    <cellStyle name="20% - Accent2 3 2 5 3 4" xfId="24794" xr:uid="{764A26F8-D792-46D1-9C80-590C8B2283FA}"/>
    <cellStyle name="20% - Accent2 3 2 5 3 5" xfId="15497" xr:uid="{23C95572-A8F2-41ED-8DC8-C14982F708AD}"/>
    <cellStyle name="20% - Accent2 3 2 5 4" xfId="37472" xr:uid="{C9E3FA1C-EB3D-4822-AD05-2AB71E0C5FD6}"/>
    <cellStyle name="20% - Accent2 3 2 5 5" xfId="29024" xr:uid="{D12F10E0-3E55-4BD8-A0BC-5CB936B76CBC}"/>
    <cellStyle name="20% - Accent2 3 2 5 6" xfId="20577" xr:uid="{8DBFBD25-82C5-48C5-8514-218FA95383B1}"/>
    <cellStyle name="20% - Accent2 3 2 5 7" xfId="11280" xr:uid="{1D8D0D35-44B3-473B-A0A0-F68E10D68E77}"/>
    <cellStyle name="20% - Accent2 3 2 6" xfId="2278" xr:uid="{00000000-0005-0000-0000-000004010000}"/>
    <cellStyle name="20% - Accent2 3 2 6 2" xfId="6584" xr:uid="{00000000-0005-0000-0000-000005010000}"/>
    <cellStyle name="20% - Accent2 3 2 6 2 2" xfId="42102" xr:uid="{B1A63B9A-E357-470C-A7B2-3E5A93EF72E6}"/>
    <cellStyle name="20% - Accent2 3 2 6 2 3" xfId="33655" xr:uid="{20F25DCD-07DA-48EE-A9FA-21FC052E78BF}"/>
    <cellStyle name="20% - Accent2 3 2 6 2 4" xfId="25207" xr:uid="{EF3F6824-BB65-4554-8ACF-0BDE8FF627EE}"/>
    <cellStyle name="20% - Accent2 3 2 6 2 5" xfId="15910" xr:uid="{91BDD368-80ED-4582-8FBF-2EE3A4E418A0}"/>
    <cellStyle name="20% - Accent2 3 2 6 3" xfId="37885" xr:uid="{6ABCCD73-8695-42C6-868B-E5E63699F184}"/>
    <cellStyle name="20% - Accent2 3 2 6 4" xfId="29437" xr:uid="{9B01CB36-D49B-47FC-8358-6DA76C1DD15E}"/>
    <cellStyle name="20% - Accent2 3 2 6 5" xfId="20990" xr:uid="{9A6104DF-174A-42F0-BAF3-20A952F34375}"/>
    <cellStyle name="20% - Accent2 3 2 6 6" xfId="11693" xr:uid="{715ABD69-E45F-4DDF-BB87-647B25A08217}"/>
    <cellStyle name="20% - Accent2 3 2 7" xfId="4518" xr:uid="{00000000-0005-0000-0000-000006010000}"/>
    <cellStyle name="20% - Accent2 3 2 7 2" xfId="40036" xr:uid="{8DD02B7A-9F93-4E12-8750-CB4EFA6CA0ED}"/>
    <cellStyle name="20% - Accent2 3 2 7 3" xfId="31589" xr:uid="{353F095B-FB3D-458C-B2B6-4F28FA2BDFBB}"/>
    <cellStyle name="20% - Accent2 3 2 7 4" xfId="23141" xr:uid="{84D993C1-7D76-472B-8075-DDDFFF958902}"/>
    <cellStyle name="20% - Accent2 3 2 7 5" xfId="13844" xr:uid="{B41EA0E7-32DF-495B-8080-50C6789C65D7}"/>
    <cellStyle name="20% - Accent2 3 2 8" xfId="9070" xr:uid="{8A9168BA-490F-4E57-83EA-22187D24153F}"/>
    <cellStyle name="20% - Accent2 3 2 8 2" xfId="35819" xr:uid="{0D22D080-9A9E-4ECB-AFE8-6D282C5D84BE}"/>
    <cellStyle name="20% - Accent2 3 2 8 3" xfId="18393" xr:uid="{DC457F80-A7D9-4529-85D9-58614FB499C8}"/>
    <cellStyle name="20% - Accent2 3 2 9" xfId="27371" xr:uid="{3C02B344-B166-4040-A039-A3B7A7896DC4}"/>
    <cellStyle name="20% - Accent2 3 3" xfId="583" xr:uid="{00000000-0005-0000-0000-000007010000}"/>
    <cellStyle name="20% - Accent2 3 3 2" xfId="2854" xr:uid="{00000000-0005-0000-0000-000008010000}"/>
    <cellStyle name="20% - Accent2 3 3 2 2" xfId="7076" xr:uid="{00000000-0005-0000-0000-000009010000}"/>
    <cellStyle name="20% - Accent2 3 3 2 2 2" xfId="42594" xr:uid="{F2F18261-5E26-4A08-AFA3-5C943EE297C6}"/>
    <cellStyle name="20% - Accent2 3 3 2 2 3" xfId="34147" xr:uid="{C9CEE42B-3076-40FE-A299-DFC5207AB72C}"/>
    <cellStyle name="20% - Accent2 3 3 2 2 4" xfId="25699" xr:uid="{D69582AE-26F4-4EE2-BF79-2DF3F22A374B}"/>
    <cellStyle name="20% - Accent2 3 3 2 2 5" xfId="16402" xr:uid="{DAAE3E29-C99B-4976-B83E-A00E2005C017}"/>
    <cellStyle name="20% - Accent2 3 3 2 3" xfId="38377" xr:uid="{C289EF29-3F06-4CC8-BFD6-C1359584A256}"/>
    <cellStyle name="20% - Accent2 3 3 2 4" xfId="29929" xr:uid="{0847683A-D2B5-4D89-B69D-130713BEB0AF}"/>
    <cellStyle name="20% - Accent2 3 3 2 5" xfId="21482" xr:uid="{5C090841-E2FE-4C3F-868F-6834861AB393}"/>
    <cellStyle name="20% - Accent2 3 3 2 6" xfId="12185" xr:uid="{A9135CC0-CA8A-4AE1-98B5-56033FF02298}"/>
    <cellStyle name="20% - Accent2 3 3 3" xfId="4931" xr:uid="{00000000-0005-0000-0000-00000A010000}"/>
    <cellStyle name="20% - Accent2 3 3 3 2" xfId="40449" xr:uid="{48EDD448-C163-47EB-AB09-5DE283025FB1}"/>
    <cellStyle name="20% - Accent2 3 3 3 3" xfId="32002" xr:uid="{23278426-32CC-4328-90EB-8B15C97901A2}"/>
    <cellStyle name="20% - Accent2 3 3 3 4" xfId="23554" xr:uid="{EA743716-5E09-48CD-90BE-FDAB4F5E7FBA}"/>
    <cellStyle name="20% - Accent2 3 3 3 5" xfId="14257" xr:uid="{7156D1D0-7B34-4C57-A9D5-E1A753C24188}"/>
    <cellStyle name="20% - Accent2 3 3 4" xfId="9288" xr:uid="{FCD70616-ECAD-4A0B-889F-4698E1AD889E}"/>
    <cellStyle name="20% - Accent2 3 3 4 2" xfId="36232" xr:uid="{C6D0D989-043D-4AE0-A057-67FDB4F4D3A2}"/>
    <cellStyle name="20% - Accent2 3 3 4 3" xfId="18601" xr:uid="{7B68094E-2C02-4D84-94AF-B0FE1151AC2B}"/>
    <cellStyle name="20% - Accent2 3 3 5" xfId="27784" xr:uid="{903EEA7B-320B-4ABB-8F1A-F2EEC2D90ABC}"/>
    <cellStyle name="20% - Accent2 3 3 6" xfId="19337" xr:uid="{B5F6A311-5679-49D5-9FAA-11C82B3E4C1B}"/>
    <cellStyle name="20% - Accent2 3 3 7" xfId="10040" xr:uid="{4FAC500B-9D43-4137-8ACA-B2CAF075B162}"/>
    <cellStyle name="20% - Accent2 3 4" xfId="1036" xr:uid="{00000000-0005-0000-0000-00000B010000}"/>
    <cellStyle name="20% - Accent2 3 4 2" xfId="3267" xr:uid="{00000000-0005-0000-0000-00000C010000}"/>
    <cellStyle name="20% - Accent2 3 4 2 2" xfId="7489" xr:uid="{00000000-0005-0000-0000-00000D010000}"/>
    <cellStyle name="20% - Accent2 3 4 2 2 2" xfId="43007" xr:uid="{44AFEAFD-21BC-49E8-9149-97D558EE7799}"/>
    <cellStyle name="20% - Accent2 3 4 2 2 3" xfId="34560" xr:uid="{150F0948-6269-420C-9F3F-89AB45BA773D}"/>
    <cellStyle name="20% - Accent2 3 4 2 2 4" xfId="26112" xr:uid="{6E089467-E191-47A0-9F5B-FAE9E18415D2}"/>
    <cellStyle name="20% - Accent2 3 4 2 2 5" xfId="16815" xr:uid="{BE235749-5092-48D4-8A75-50C2356AC3A7}"/>
    <cellStyle name="20% - Accent2 3 4 2 3" xfId="38790" xr:uid="{A23416A8-B2EA-4E67-97D4-DB4447D4381C}"/>
    <cellStyle name="20% - Accent2 3 4 2 4" xfId="30342" xr:uid="{93339A11-062A-47F4-B761-5947A6DED382}"/>
    <cellStyle name="20% - Accent2 3 4 2 5" xfId="21895" xr:uid="{F95821A5-2E56-48C6-95A3-AF9873128195}"/>
    <cellStyle name="20% - Accent2 3 4 2 6" xfId="12598" xr:uid="{B0C97FD7-057B-402C-8705-267AF4AC8E48}"/>
    <cellStyle name="20% - Accent2 3 4 3" xfId="5344" xr:uid="{00000000-0005-0000-0000-00000E010000}"/>
    <cellStyle name="20% - Accent2 3 4 3 2" xfId="40862" xr:uid="{91E1E014-54AC-40C8-A0FB-0CE3333C4CAC}"/>
    <cellStyle name="20% - Accent2 3 4 3 3" xfId="32415" xr:uid="{1FD81900-5B8E-48F1-B2E7-47599A3BC4E6}"/>
    <cellStyle name="20% - Accent2 3 4 3 4" xfId="23967" xr:uid="{A87AA245-BC5F-4D28-B6CF-CD94D034779C}"/>
    <cellStyle name="20% - Accent2 3 4 3 5" xfId="14670" xr:uid="{3F3E4E77-37F8-4C7B-B598-A12B3A7CED2C}"/>
    <cellStyle name="20% - Accent2 3 4 4" xfId="36645" xr:uid="{AA768DDC-0FE0-4477-A8EA-62C2DF445773}"/>
    <cellStyle name="20% - Accent2 3 4 5" xfId="28197" xr:uid="{112C8E97-5BF1-4566-96A4-17704E1A3B3C}"/>
    <cellStyle name="20% - Accent2 3 4 6" xfId="19750" xr:uid="{579366F7-739D-4EBC-8BFD-EF9158A97C14}"/>
    <cellStyle name="20% - Accent2 3 4 7" xfId="10453" xr:uid="{D6399FA7-F8B9-4AE3-8062-B3F37064725C}"/>
    <cellStyle name="20% - Accent2 3 5" xfId="1450" xr:uid="{00000000-0005-0000-0000-00000F010000}"/>
    <cellStyle name="20% - Accent2 3 5 2" xfId="3680" xr:uid="{00000000-0005-0000-0000-000010010000}"/>
    <cellStyle name="20% - Accent2 3 5 2 2" xfId="7902" xr:uid="{00000000-0005-0000-0000-000011010000}"/>
    <cellStyle name="20% - Accent2 3 5 2 2 2" xfId="43420" xr:uid="{85F992BC-1156-4CA9-A8A0-A9545FF2FA77}"/>
    <cellStyle name="20% - Accent2 3 5 2 2 3" xfId="34973" xr:uid="{DA5AE453-2841-4447-B1F0-E28F2F3C75B6}"/>
    <cellStyle name="20% - Accent2 3 5 2 2 4" xfId="26525" xr:uid="{B60F5EE8-3763-4B91-9645-C9DA880B924E}"/>
    <cellStyle name="20% - Accent2 3 5 2 2 5" xfId="17228" xr:uid="{9F38661A-59A9-4EA1-9076-ACF72A2AF9F1}"/>
    <cellStyle name="20% - Accent2 3 5 2 3" xfId="39203" xr:uid="{2A32D0F2-20BF-4A2F-9B4F-DDF4937FFD30}"/>
    <cellStyle name="20% - Accent2 3 5 2 4" xfId="30755" xr:uid="{0FCE50A8-2692-4C3F-8266-A11ED5E3716F}"/>
    <cellStyle name="20% - Accent2 3 5 2 5" xfId="22308" xr:uid="{11485367-1FD7-4F4D-B46D-C2DD3ADFF8B1}"/>
    <cellStyle name="20% - Accent2 3 5 2 6" xfId="13011" xr:uid="{C4028E01-2ECE-4F01-9547-D2B3325A8228}"/>
    <cellStyle name="20% - Accent2 3 5 3" xfId="5757" xr:uid="{00000000-0005-0000-0000-000012010000}"/>
    <cellStyle name="20% - Accent2 3 5 3 2" xfId="41275" xr:uid="{098088E0-D1C2-4C59-8DB6-4FB24CEB57C9}"/>
    <cellStyle name="20% - Accent2 3 5 3 3" xfId="32828" xr:uid="{EBEEEEAD-1461-406F-A9DF-4451B0AA52C7}"/>
    <cellStyle name="20% - Accent2 3 5 3 4" xfId="24380" xr:uid="{7DD33E90-6E8A-4E0C-A8BB-EA3AA4CF0E1D}"/>
    <cellStyle name="20% - Accent2 3 5 3 5" xfId="15083" xr:uid="{59EEB46C-C388-49E1-8AAA-8280E77036AF}"/>
    <cellStyle name="20% - Accent2 3 5 4" xfId="37058" xr:uid="{057431A9-AE12-4862-9C23-F7602C63734D}"/>
    <cellStyle name="20% - Accent2 3 5 5" xfId="28610" xr:uid="{643B979C-180C-4EA3-9B5E-FB14CB5EA196}"/>
    <cellStyle name="20% - Accent2 3 5 6" xfId="20163" xr:uid="{5D010D9A-ADE7-4561-AEC3-D922FED1AD73}"/>
    <cellStyle name="20% - Accent2 3 5 7" xfId="10866" xr:uid="{B3CD1E15-2AEF-44CC-968A-7AF3A536B74A}"/>
    <cellStyle name="20% - Accent2 3 6" xfId="1864" xr:uid="{00000000-0005-0000-0000-000013010000}"/>
    <cellStyle name="20% - Accent2 3 6 2" xfId="4093" xr:uid="{00000000-0005-0000-0000-000014010000}"/>
    <cellStyle name="20% - Accent2 3 6 2 2" xfId="8315" xr:uid="{00000000-0005-0000-0000-000015010000}"/>
    <cellStyle name="20% - Accent2 3 6 2 2 2" xfId="43833" xr:uid="{4DC07E31-31BF-4664-9459-A058CAA0298D}"/>
    <cellStyle name="20% - Accent2 3 6 2 2 3" xfId="35386" xr:uid="{85185322-ED0A-431B-8308-9FB4C6687C5E}"/>
    <cellStyle name="20% - Accent2 3 6 2 2 4" xfId="26938" xr:uid="{B3878D0B-AE92-418C-8AEA-368DB21561EF}"/>
    <cellStyle name="20% - Accent2 3 6 2 2 5" xfId="17641" xr:uid="{4033FBB3-BA87-4DDF-A257-60505467A7ED}"/>
    <cellStyle name="20% - Accent2 3 6 2 3" xfId="39616" xr:uid="{417D829D-8681-4B3C-B078-8B93708416B0}"/>
    <cellStyle name="20% - Accent2 3 6 2 4" xfId="31168" xr:uid="{0B72AD34-2BAC-4B3E-9D80-75E3D822E581}"/>
    <cellStyle name="20% - Accent2 3 6 2 5" xfId="22721" xr:uid="{B1EC9B49-6025-42EF-9117-2C3CBC4CF209}"/>
    <cellStyle name="20% - Accent2 3 6 2 6" xfId="13424" xr:uid="{12479AF3-7CDD-4101-A565-CDE304300358}"/>
    <cellStyle name="20% - Accent2 3 6 3" xfId="6170" xr:uid="{00000000-0005-0000-0000-000016010000}"/>
    <cellStyle name="20% - Accent2 3 6 3 2" xfId="41688" xr:uid="{41C353AA-1965-4EA6-AC31-BCCCB45B2F8D}"/>
    <cellStyle name="20% - Accent2 3 6 3 3" xfId="33241" xr:uid="{0B15E843-72D9-4DF5-BB26-A7309927B368}"/>
    <cellStyle name="20% - Accent2 3 6 3 4" xfId="24793" xr:uid="{E744D09E-A573-4FD4-A236-5010B4794E21}"/>
    <cellStyle name="20% - Accent2 3 6 3 5" xfId="15496" xr:uid="{8561223F-A123-43D7-BB88-697901C86F8E}"/>
    <cellStyle name="20% - Accent2 3 6 4" xfId="37471" xr:uid="{6EBA28C8-CEB5-49C7-995B-5A457E9F1F5F}"/>
    <cellStyle name="20% - Accent2 3 6 5" xfId="29023" xr:uid="{ADA1D3C9-02E1-4B06-A8F7-A1F2A2E96FA3}"/>
    <cellStyle name="20% - Accent2 3 6 6" xfId="20576" xr:uid="{49A722E3-CC5D-43B6-B7CC-BF9E096ADAEA}"/>
    <cellStyle name="20% - Accent2 3 6 7" xfId="11279" xr:uid="{5EA07676-8413-43A8-AF6B-40A719DAF72C}"/>
    <cellStyle name="20% - Accent2 3 7" xfId="2277" xr:uid="{00000000-0005-0000-0000-000017010000}"/>
    <cellStyle name="20% - Accent2 3 7 2" xfId="6583" xr:uid="{00000000-0005-0000-0000-000018010000}"/>
    <cellStyle name="20% - Accent2 3 7 2 2" xfId="42101" xr:uid="{9776BBFD-E380-4C4A-8123-7B46166F9E90}"/>
    <cellStyle name="20% - Accent2 3 7 2 3" xfId="33654" xr:uid="{E1C1FCC7-6156-4BF0-9F80-A7BF00388F3D}"/>
    <cellStyle name="20% - Accent2 3 7 2 4" xfId="25206" xr:uid="{EBCFE6D6-A611-4004-B643-83D79050DAD6}"/>
    <cellStyle name="20% - Accent2 3 7 2 5" xfId="15909" xr:uid="{C4ACB7D7-16A6-4649-97F2-B6709B650750}"/>
    <cellStyle name="20% - Accent2 3 7 3" xfId="37884" xr:uid="{D194764F-7D49-4853-AB82-3EE7A5CCDF77}"/>
    <cellStyle name="20% - Accent2 3 7 4" xfId="29436" xr:uid="{164254E0-C99F-424C-8EBB-05BE686301F1}"/>
    <cellStyle name="20% - Accent2 3 7 5" xfId="20989" xr:uid="{0713EDE8-25B4-45B0-A55F-FE8CDFDC016B}"/>
    <cellStyle name="20% - Accent2 3 7 6" xfId="11692" xr:uid="{BD0E569D-6092-4AA9-B701-7D96DB772910}"/>
    <cellStyle name="20% - Accent2 3 8" xfId="4517" xr:uid="{00000000-0005-0000-0000-000019010000}"/>
    <cellStyle name="20% - Accent2 3 8 2" xfId="40035" xr:uid="{6EE8901C-A2CB-40C4-AFFA-5E9218934A68}"/>
    <cellStyle name="20% - Accent2 3 8 3" xfId="31588" xr:uid="{9E2749A0-0E9D-43A1-AE8E-70C3E5DF9168}"/>
    <cellStyle name="20% - Accent2 3 8 4" xfId="23140" xr:uid="{00FDDD27-422F-4D8A-B21E-6F70B2F7D441}"/>
    <cellStyle name="20% - Accent2 3 8 5" xfId="13843" xr:uid="{BC05510A-1910-4DDB-96D6-6A331087FE1C}"/>
    <cellStyle name="20% - Accent2 3 9" xfId="8863" xr:uid="{C6A258FB-33DC-4171-B9DD-C29513CA80FD}"/>
    <cellStyle name="20% - Accent2 3 9 2" xfId="35818" xr:uid="{8801D1AE-FB3B-490D-8CA0-BE5F599E33C6}"/>
    <cellStyle name="20% - Accent2 3 9 3" xfId="18186" xr:uid="{BAA7AF91-CDF1-4B60-8391-9F352E15739E}"/>
    <cellStyle name="20% - Accent2 4" xfId="16" xr:uid="{00000000-0005-0000-0000-00001A010000}"/>
    <cellStyle name="20% - Accent2 4 10" xfId="18925" xr:uid="{9D415A96-1950-4D9D-9555-15F583A226C1}"/>
    <cellStyle name="20% - Accent2 4 11" xfId="9628" xr:uid="{995EF47C-14F3-4D30-9E36-F5AAEE9488E6}"/>
    <cellStyle name="20% - Accent2 4 2" xfId="585" xr:uid="{00000000-0005-0000-0000-00001B010000}"/>
    <cellStyle name="20% - Accent2 4 2 2" xfId="2856" xr:uid="{00000000-0005-0000-0000-00001C010000}"/>
    <cellStyle name="20% - Accent2 4 2 2 2" xfId="7078" xr:uid="{00000000-0005-0000-0000-00001D010000}"/>
    <cellStyle name="20% - Accent2 4 2 2 2 2" xfId="42596" xr:uid="{E4B4BCF3-D49B-4AF9-8037-E4A3FDCF333D}"/>
    <cellStyle name="20% - Accent2 4 2 2 2 3" xfId="34149" xr:uid="{C3DDD178-2697-4F43-8DCA-E8E7AC7224AE}"/>
    <cellStyle name="20% - Accent2 4 2 2 2 4" xfId="25701" xr:uid="{C63F647E-8C87-4830-ACA0-C0D09DC56E2B}"/>
    <cellStyle name="20% - Accent2 4 2 2 2 5" xfId="16404" xr:uid="{7E299B1D-68DF-49CB-98E3-A8F359C2D91F}"/>
    <cellStyle name="20% - Accent2 4 2 2 3" xfId="38379" xr:uid="{65DBFF21-CF77-4D38-B93A-D24A42E7E49C}"/>
    <cellStyle name="20% - Accent2 4 2 2 4" xfId="29931" xr:uid="{548A4372-28DA-4F34-A3F3-7B74E43A2EE4}"/>
    <cellStyle name="20% - Accent2 4 2 2 5" xfId="21484" xr:uid="{CAE5E4EB-B3E8-42D5-87AB-5279692A9EE7}"/>
    <cellStyle name="20% - Accent2 4 2 2 6" xfId="12187" xr:uid="{86756CFF-FA38-4D4E-B854-0FE6DA29B5FB}"/>
    <cellStyle name="20% - Accent2 4 2 3" xfId="4933" xr:uid="{00000000-0005-0000-0000-00001E010000}"/>
    <cellStyle name="20% - Accent2 4 2 3 2" xfId="40451" xr:uid="{F7108328-1910-44FB-BC73-89C8FB323DAB}"/>
    <cellStyle name="20% - Accent2 4 2 3 3" xfId="32004" xr:uid="{0BACC3FD-9740-420A-ABFA-B1D297185907}"/>
    <cellStyle name="20% - Accent2 4 2 3 4" xfId="23556" xr:uid="{89FD66C8-13C1-4256-B032-CF4EB861F38E}"/>
    <cellStyle name="20% - Accent2 4 2 3 5" xfId="14259" xr:uid="{711DBFA5-1BC2-41FE-9CC0-71BF1121157B}"/>
    <cellStyle name="20% - Accent2 4 2 4" xfId="9374" xr:uid="{26FD7A0E-8D04-4AF7-B092-2B22A78F0A97}"/>
    <cellStyle name="20% - Accent2 4 2 4 2" xfId="36234" xr:uid="{4CADEC26-B6CE-4CDE-83F4-687AE04AC3D9}"/>
    <cellStyle name="20% - Accent2 4 2 4 3" xfId="18687" xr:uid="{02F08A1A-CA90-4EAE-B615-ABDFAB4B8DDB}"/>
    <cellStyle name="20% - Accent2 4 2 5" xfId="27786" xr:uid="{0D48B187-AEA4-4735-87B6-BBA9CAC7473E}"/>
    <cellStyle name="20% - Accent2 4 2 6" xfId="19339" xr:uid="{DD8674EC-BB10-4894-A845-52A4046F7481}"/>
    <cellStyle name="20% - Accent2 4 2 7" xfId="10042" xr:uid="{8296DF61-EBE7-4DF0-8DF5-CF29D8048A84}"/>
    <cellStyle name="20% - Accent2 4 3" xfId="1038" xr:uid="{00000000-0005-0000-0000-00001F010000}"/>
    <cellStyle name="20% - Accent2 4 3 2" xfId="3269" xr:uid="{00000000-0005-0000-0000-000020010000}"/>
    <cellStyle name="20% - Accent2 4 3 2 2" xfId="7491" xr:uid="{00000000-0005-0000-0000-000021010000}"/>
    <cellStyle name="20% - Accent2 4 3 2 2 2" xfId="43009" xr:uid="{5F7F5BF8-6A89-4BF9-B947-2ECCDCEBC10D}"/>
    <cellStyle name="20% - Accent2 4 3 2 2 3" xfId="34562" xr:uid="{EA90A936-F2EC-483D-8E26-C499377E13B7}"/>
    <cellStyle name="20% - Accent2 4 3 2 2 4" xfId="26114" xr:uid="{7E33142F-9757-48B0-9D6E-C6399030DDB8}"/>
    <cellStyle name="20% - Accent2 4 3 2 2 5" xfId="16817" xr:uid="{336516C7-EE24-407F-AD57-21F92DC769A2}"/>
    <cellStyle name="20% - Accent2 4 3 2 3" xfId="38792" xr:uid="{7298D058-E69F-44F3-9AB1-76E5E07E4F89}"/>
    <cellStyle name="20% - Accent2 4 3 2 4" xfId="30344" xr:uid="{CFB74ECE-538F-480B-9EE9-238AF43FD1B1}"/>
    <cellStyle name="20% - Accent2 4 3 2 5" xfId="21897" xr:uid="{7FA5E642-35CD-447D-8F71-0953EE054F19}"/>
    <cellStyle name="20% - Accent2 4 3 2 6" xfId="12600" xr:uid="{1C223668-8CC8-4B17-976F-2927C52963FB}"/>
    <cellStyle name="20% - Accent2 4 3 3" xfId="5346" xr:uid="{00000000-0005-0000-0000-000022010000}"/>
    <cellStyle name="20% - Accent2 4 3 3 2" xfId="40864" xr:uid="{310C5FE9-18D9-461F-9E2E-07DAB5010985}"/>
    <cellStyle name="20% - Accent2 4 3 3 3" xfId="32417" xr:uid="{D658F43C-DE43-4DE8-98C8-F05FA1BA78C4}"/>
    <cellStyle name="20% - Accent2 4 3 3 4" xfId="23969" xr:uid="{D7BA002F-0352-4EB4-B88A-8A8A29BAED78}"/>
    <cellStyle name="20% - Accent2 4 3 3 5" xfId="14672" xr:uid="{A3297FBC-8B95-4A6F-AFFD-409BA998A8DA}"/>
    <cellStyle name="20% - Accent2 4 3 4" xfId="36647" xr:uid="{A33CA4C6-0128-404A-A39E-77566AD1DD01}"/>
    <cellStyle name="20% - Accent2 4 3 5" xfId="28199" xr:uid="{FB7BB9D1-654D-4B58-BFC0-52A2413FA08D}"/>
    <cellStyle name="20% - Accent2 4 3 6" xfId="19752" xr:uid="{4B9755B6-4A75-4640-910B-B2409BD1A0EE}"/>
    <cellStyle name="20% - Accent2 4 3 7" xfId="10455" xr:uid="{D93F4AF4-90FB-4DB3-ACEB-03D8345564FC}"/>
    <cellStyle name="20% - Accent2 4 4" xfId="1452" xr:uid="{00000000-0005-0000-0000-000023010000}"/>
    <cellStyle name="20% - Accent2 4 4 2" xfId="3682" xr:uid="{00000000-0005-0000-0000-000024010000}"/>
    <cellStyle name="20% - Accent2 4 4 2 2" xfId="7904" xr:uid="{00000000-0005-0000-0000-000025010000}"/>
    <cellStyle name="20% - Accent2 4 4 2 2 2" xfId="43422" xr:uid="{F14F73E2-0614-4395-984B-CBAAC2CB6356}"/>
    <cellStyle name="20% - Accent2 4 4 2 2 3" xfId="34975" xr:uid="{42E5FC64-7B6C-44B1-9EA6-2EC81B0E4697}"/>
    <cellStyle name="20% - Accent2 4 4 2 2 4" xfId="26527" xr:uid="{F0860124-EC2E-4133-AE37-EFC461CCE613}"/>
    <cellStyle name="20% - Accent2 4 4 2 2 5" xfId="17230" xr:uid="{C711E67F-8584-4C6E-80F4-D3D9E062CB16}"/>
    <cellStyle name="20% - Accent2 4 4 2 3" xfId="39205" xr:uid="{9A31F723-FEC5-47E2-976A-14886D1FD837}"/>
    <cellStyle name="20% - Accent2 4 4 2 4" xfId="30757" xr:uid="{A9F15E63-FBCE-47B1-8986-2F6E668AEE51}"/>
    <cellStyle name="20% - Accent2 4 4 2 5" xfId="22310" xr:uid="{924D73EE-187C-44CA-B984-50BC6280AB44}"/>
    <cellStyle name="20% - Accent2 4 4 2 6" xfId="13013" xr:uid="{A7A6EF98-876D-4C5E-86A9-F4C2AEB83BEB}"/>
    <cellStyle name="20% - Accent2 4 4 3" xfId="5759" xr:uid="{00000000-0005-0000-0000-000026010000}"/>
    <cellStyle name="20% - Accent2 4 4 3 2" xfId="41277" xr:uid="{0CAC9413-7A92-4AB2-9ED4-879134F5236F}"/>
    <cellStyle name="20% - Accent2 4 4 3 3" xfId="32830" xr:uid="{D4929FBC-C267-4E3B-B3CC-2235FFA5F3E9}"/>
    <cellStyle name="20% - Accent2 4 4 3 4" xfId="24382" xr:uid="{CD46CC08-DBAE-42CE-A24E-38A38D7500BC}"/>
    <cellStyle name="20% - Accent2 4 4 3 5" xfId="15085" xr:uid="{6C1A01E0-53D6-4E96-B5E9-044B66B60C5B}"/>
    <cellStyle name="20% - Accent2 4 4 4" xfId="37060" xr:uid="{D679DCBF-497C-4A24-AA6E-C8FD99179F0D}"/>
    <cellStyle name="20% - Accent2 4 4 5" xfId="28612" xr:uid="{46DDE0E4-D53E-41AC-A6B5-2AB664525EF3}"/>
    <cellStyle name="20% - Accent2 4 4 6" xfId="20165" xr:uid="{A479F1BC-A0C0-436F-9118-230F5FB92BA0}"/>
    <cellStyle name="20% - Accent2 4 4 7" xfId="10868" xr:uid="{9189A2AB-DD5C-4434-85A7-051D6D7EC7D1}"/>
    <cellStyle name="20% - Accent2 4 5" xfId="1866" xr:uid="{00000000-0005-0000-0000-000027010000}"/>
    <cellStyle name="20% - Accent2 4 5 2" xfId="4095" xr:uid="{00000000-0005-0000-0000-000028010000}"/>
    <cellStyle name="20% - Accent2 4 5 2 2" xfId="8317" xr:uid="{00000000-0005-0000-0000-000029010000}"/>
    <cellStyle name="20% - Accent2 4 5 2 2 2" xfId="43835" xr:uid="{950F308F-1F0C-4FC1-8F12-FD78AEB64BDA}"/>
    <cellStyle name="20% - Accent2 4 5 2 2 3" xfId="35388" xr:uid="{0332C1B8-0FE4-4B9D-A5CB-BC433FC7E765}"/>
    <cellStyle name="20% - Accent2 4 5 2 2 4" xfId="26940" xr:uid="{6D0227C5-ADBE-4F14-BF29-A5F5655B165E}"/>
    <cellStyle name="20% - Accent2 4 5 2 2 5" xfId="17643" xr:uid="{47875755-1BAF-4528-AE2A-3BEFA33E87DD}"/>
    <cellStyle name="20% - Accent2 4 5 2 3" xfId="39618" xr:uid="{356A4776-8DA1-4F84-B09C-2285F9E2445E}"/>
    <cellStyle name="20% - Accent2 4 5 2 4" xfId="31170" xr:uid="{E259B63F-53D8-4962-BB1F-3AF2B1108F2C}"/>
    <cellStyle name="20% - Accent2 4 5 2 5" xfId="22723" xr:uid="{C57C9FC3-8955-41AA-AF38-854C69060496}"/>
    <cellStyle name="20% - Accent2 4 5 2 6" xfId="13426" xr:uid="{7ECAC70B-F083-4D23-AD81-59DAC1A04C36}"/>
    <cellStyle name="20% - Accent2 4 5 3" xfId="6172" xr:uid="{00000000-0005-0000-0000-00002A010000}"/>
    <cellStyle name="20% - Accent2 4 5 3 2" xfId="41690" xr:uid="{A2A18DDC-E706-45A5-89E0-87F8DEA45E98}"/>
    <cellStyle name="20% - Accent2 4 5 3 3" xfId="33243" xr:uid="{0DBBE437-7F28-4C5D-A618-C33730F0DEC4}"/>
    <cellStyle name="20% - Accent2 4 5 3 4" xfId="24795" xr:uid="{492A9FD2-EC8B-4AEB-8CEF-C46196FA874D}"/>
    <cellStyle name="20% - Accent2 4 5 3 5" xfId="15498" xr:uid="{9ADCD479-0951-4791-B3AD-310E3B2901EB}"/>
    <cellStyle name="20% - Accent2 4 5 4" xfId="37473" xr:uid="{A807702C-53BD-49B7-A702-2017BA501AFA}"/>
    <cellStyle name="20% - Accent2 4 5 5" xfId="29025" xr:uid="{299FE1FF-7069-4F97-94F3-5AB129B78606}"/>
    <cellStyle name="20% - Accent2 4 5 6" xfId="20578" xr:uid="{C046C7AC-FC8A-44C5-B6DC-1BACD8EEAE63}"/>
    <cellStyle name="20% - Accent2 4 5 7" xfId="11281" xr:uid="{D1C7E7FF-D1A8-48FB-B7CE-30E3D9215F72}"/>
    <cellStyle name="20% - Accent2 4 6" xfId="2279" xr:uid="{00000000-0005-0000-0000-00002B010000}"/>
    <cellStyle name="20% - Accent2 4 6 2" xfId="6585" xr:uid="{00000000-0005-0000-0000-00002C010000}"/>
    <cellStyle name="20% - Accent2 4 6 2 2" xfId="42103" xr:uid="{EBF614B5-3AC1-4988-BA70-28C5C47B16F5}"/>
    <cellStyle name="20% - Accent2 4 6 2 3" xfId="33656" xr:uid="{4A1285F2-3427-44E8-B38B-705719A4DA87}"/>
    <cellStyle name="20% - Accent2 4 6 2 4" xfId="25208" xr:uid="{19C73FAA-04D0-4463-B906-72AB27B2FE2F}"/>
    <cellStyle name="20% - Accent2 4 6 2 5" xfId="15911" xr:uid="{C9D56397-7DCF-405B-B14E-202AE5BEA33D}"/>
    <cellStyle name="20% - Accent2 4 6 3" xfId="37886" xr:uid="{364766B9-119C-4055-B2B0-E192AE3D5B4D}"/>
    <cellStyle name="20% - Accent2 4 6 4" xfId="29438" xr:uid="{24CC14EF-4C06-42F9-9495-5DD34A035647}"/>
    <cellStyle name="20% - Accent2 4 6 5" xfId="20991" xr:uid="{D0CF8D57-C604-4C98-AC9A-4F4CDFF3EED0}"/>
    <cellStyle name="20% - Accent2 4 6 6" xfId="11694" xr:uid="{29CF97A0-ABFC-4F5E-9715-F8F063F5F913}"/>
    <cellStyle name="20% - Accent2 4 7" xfId="4519" xr:uid="{00000000-0005-0000-0000-00002D010000}"/>
    <cellStyle name="20% - Accent2 4 7 2" xfId="40037" xr:uid="{0323CCD1-0CC9-487F-8E98-23DBB73EEAA2}"/>
    <cellStyle name="20% - Accent2 4 7 3" xfId="31590" xr:uid="{FACDED3F-527D-4187-A969-D7AD61558EAA}"/>
    <cellStyle name="20% - Accent2 4 7 4" xfId="23142" xr:uid="{1F9E9143-97DC-44E0-9A32-2961AE4E43ED}"/>
    <cellStyle name="20% - Accent2 4 7 5" xfId="13845" xr:uid="{E5B1B395-B3E3-4655-94D5-55C11EB93CB2}"/>
    <cellStyle name="20% - Accent2 4 8" xfId="8949" xr:uid="{084C22A9-B904-4AFE-A752-AC1DC2CA76B8}"/>
    <cellStyle name="20% - Accent2 4 8 2" xfId="35820" xr:uid="{7B98314A-F5E4-4CF7-B45E-9B8891899F41}"/>
    <cellStyle name="20% - Accent2 4 8 3" xfId="18272" xr:uid="{5696E8DF-EC91-4D65-AC86-194D08600B42}"/>
    <cellStyle name="20% - Accent2 4 9" xfId="27372" xr:uid="{91CDFA0E-7957-4946-92DF-F7418D8F6EEC}"/>
    <cellStyle name="20% - Accent2 5" xfId="578" xr:uid="{00000000-0005-0000-0000-00002E010000}"/>
    <cellStyle name="20% - Accent2 5 2" xfId="2849" xr:uid="{00000000-0005-0000-0000-00002F010000}"/>
    <cellStyle name="20% - Accent2 5 2 2" xfId="7071" xr:uid="{00000000-0005-0000-0000-000030010000}"/>
    <cellStyle name="20% - Accent2 5 2 2 2" xfId="42589" xr:uid="{2C533563-D9BB-44FB-9776-8E264169B0C0}"/>
    <cellStyle name="20% - Accent2 5 2 2 3" xfId="34142" xr:uid="{EC166333-0296-4498-A9F4-E2903AAF89E7}"/>
    <cellStyle name="20% - Accent2 5 2 2 4" xfId="25694" xr:uid="{68FD1FFB-96AB-4791-ACFA-CCDA0FB76BB6}"/>
    <cellStyle name="20% - Accent2 5 2 2 5" xfId="16397" xr:uid="{7C4E134A-CDAB-4DC5-95B7-C6052AF763E2}"/>
    <cellStyle name="20% - Accent2 5 2 3" xfId="38372" xr:uid="{FDA427B4-1900-41C0-A173-BF75A9187BAF}"/>
    <cellStyle name="20% - Accent2 5 2 4" xfId="29924" xr:uid="{17ED4DEF-6875-46A9-998C-DBE01AD301E8}"/>
    <cellStyle name="20% - Accent2 5 2 5" xfId="21477" xr:uid="{340E4F57-6E83-4E5E-B92A-1428B3501B77}"/>
    <cellStyle name="20% - Accent2 5 2 6" xfId="12180" xr:uid="{82D7302A-E1CA-45F2-A66E-302E8BE575DB}"/>
    <cellStyle name="20% - Accent2 5 3" xfId="4926" xr:uid="{00000000-0005-0000-0000-000031010000}"/>
    <cellStyle name="20% - Accent2 5 3 2" xfId="40444" xr:uid="{9BAE5B62-FD19-4C8E-8663-00A7CEEF8B70}"/>
    <cellStyle name="20% - Accent2 5 3 3" xfId="31997" xr:uid="{CB926483-65A3-4FCF-8D44-6B0621931454}"/>
    <cellStyle name="20% - Accent2 5 3 4" xfId="23549" xr:uid="{D778876E-4522-416A-A9BB-DE36727E6054}"/>
    <cellStyle name="20% - Accent2 5 3 5" xfId="14252" xr:uid="{365CF19A-96B3-4A6B-9783-4D441C4A13D4}"/>
    <cellStyle name="20% - Accent2 5 4" xfId="9182" xr:uid="{F822E263-B2A4-41B5-BBF9-FCE1A7A30601}"/>
    <cellStyle name="20% - Accent2 5 4 2" xfId="36227" xr:uid="{BCA75D76-A254-4747-8CE1-6B84806DF1C2}"/>
    <cellStyle name="20% - Accent2 5 4 3" xfId="18498" xr:uid="{2CFFA720-00D5-478F-9CBD-AA8272A054E9}"/>
    <cellStyle name="20% - Accent2 5 5" xfId="27779" xr:uid="{46C88E14-5791-4675-82B9-E78E48A17D91}"/>
    <cellStyle name="20% - Accent2 5 6" xfId="19332" xr:uid="{4094A617-8E12-4A65-A314-C32528CFDDD2}"/>
    <cellStyle name="20% - Accent2 5 7" xfId="10035" xr:uid="{3879EF8F-1CDC-4379-9977-7DAC14D901DF}"/>
    <cellStyle name="20% - Accent2 6" xfId="1031" xr:uid="{00000000-0005-0000-0000-000032010000}"/>
    <cellStyle name="20% - Accent2 6 2" xfId="3262" xr:uid="{00000000-0005-0000-0000-000033010000}"/>
    <cellStyle name="20% - Accent2 6 2 2" xfId="7484" xr:uid="{00000000-0005-0000-0000-000034010000}"/>
    <cellStyle name="20% - Accent2 6 2 2 2" xfId="43002" xr:uid="{A3F80CAE-8CC0-4742-A1AD-E6E3CF754DF0}"/>
    <cellStyle name="20% - Accent2 6 2 2 3" xfId="34555" xr:uid="{7F6501FE-8B0D-42C0-949D-53722B698B02}"/>
    <cellStyle name="20% - Accent2 6 2 2 4" xfId="26107" xr:uid="{D2BC3747-E997-4A38-A75D-5270A5182DB3}"/>
    <cellStyle name="20% - Accent2 6 2 2 5" xfId="16810" xr:uid="{3247F5A8-0FC2-41C6-AFFA-A52AE0F177B4}"/>
    <cellStyle name="20% - Accent2 6 2 3" xfId="38785" xr:uid="{69EA169A-EC0D-4ECC-9E69-3A5EFD3CB295}"/>
    <cellStyle name="20% - Accent2 6 2 4" xfId="30337" xr:uid="{37DA5FD2-8AE3-4D3F-BDD7-1B8BC2AA7682}"/>
    <cellStyle name="20% - Accent2 6 2 5" xfId="21890" xr:uid="{1C3426B3-49B0-4DF7-8FFE-41A3A8520E43}"/>
    <cellStyle name="20% - Accent2 6 2 6" xfId="12593" xr:uid="{E29D4761-4FFA-4FEC-BE73-E27AAD0E635F}"/>
    <cellStyle name="20% - Accent2 6 3" xfId="5339" xr:uid="{00000000-0005-0000-0000-000035010000}"/>
    <cellStyle name="20% - Accent2 6 3 2" xfId="40857" xr:uid="{6D01BD7E-E9D9-44DD-AFA5-389102F83279}"/>
    <cellStyle name="20% - Accent2 6 3 3" xfId="32410" xr:uid="{2A4210E0-7AEC-42D5-A5F8-BBCB25021DB0}"/>
    <cellStyle name="20% - Accent2 6 3 4" xfId="23962" xr:uid="{4D172F36-51A0-4A8C-880F-686C81DD211B}"/>
    <cellStyle name="20% - Accent2 6 3 5" xfId="14665" xr:uid="{BF53D260-29AD-4B11-86E3-82CBBBA5CB2B}"/>
    <cellStyle name="20% - Accent2 6 4" xfId="36640" xr:uid="{1FF4FB93-2367-495F-B38D-9049A21EB965}"/>
    <cellStyle name="20% - Accent2 6 5" xfId="28192" xr:uid="{13136976-3732-4A06-AFB3-BAE444DEC572}"/>
    <cellStyle name="20% - Accent2 6 6" xfId="19745" xr:uid="{3B044184-A558-4632-9F44-087441A58D28}"/>
    <cellStyle name="20% - Accent2 6 7" xfId="10448" xr:uid="{1973A3FD-3A41-4056-9F57-6A3514B57210}"/>
    <cellStyle name="20% - Accent2 7" xfId="1445" xr:uid="{00000000-0005-0000-0000-000036010000}"/>
    <cellStyle name="20% - Accent2 7 2" xfId="3675" xr:uid="{00000000-0005-0000-0000-000037010000}"/>
    <cellStyle name="20% - Accent2 7 2 2" xfId="7897" xr:uid="{00000000-0005-0000-0000-000038010000}"/>
    <cellStyle name="20% - Accent2 7 2 2 2" xfId="43415" xr:uid="{5E167C36-D6E9-437F-985C-9AEE9125D17E}"/>
    <cellStyle name="20% - Accent2 7 2 2 3" xfId="34968" xr:uid="{0A6A8911-21B6-41F3-B753-76F94A6A4DE7}"/>
    <cellStyle name="20% - Accent2 7 2 2 4" xfId="26520" xr:uid="{465A0D60-AAC3-4642-AD64-B36C6018848E}"/>
    <cellStyle name="20% - Accent2 7 2 2 5" xfId="17223" xr:uid="{B4E138E1-A920-400C-B214-5EB4E9406070}"/>
    <cellStyle name="20% - Accent2 7 2 3" xfId="39198" xr:uid="{752DD4AB-26FC-4C5E-A26A-B31BE042D033}"/>
    <cellStyle name="20% - Accent2 7 2 4" xfId="30750" xr:uid="{550829AA-F9E2-480F-B670-56FC4F1892EE}"/>
    <cellStyle name="20% - Accent2 7 2 5" xfId="22303" xr:uid="{96B28C7E-4423-44AA-962A-47546A30F81B}"/>
    <cellStyle name="20% - Accent2 7 2 6" xfId="13006" xr:uid="{713A5C03-F80E-4083-8C91-DBBABD5D9FC9}"/>
    <cellStyle name="20% - Accent2 7 3" xfId="5752" xr:uid="{00000000-0005-0000-0000-000039010000}"/>
    <cellStyle name="20% - Accent2 7 3 2" xfId="41270" xr:uid="{51F2D51F-A24E-4D44-A378-52C3ED1BAA78}"/>
    <cellStyle name="20% - Accent2 7 3 3" xfId="32823" xr:uid="{164C5E3C-7FFF-415E-ABD8-4B66E870786C}"/>
    <cellStyle name="20% - Accent2 7 3 4" xfId="24375" xr:uid="{0682B180-4C9C-4749-9097-4650333E120F}"/>
    <cellStyle name="20% - Accent2 7 3 5" xfId="15078" xr:uid="{9926D96F-6A4D-412A-B5DB-3571225727D9}"/>
    <cellStyle name="20% - Accent2 7 4" xfId="37053" xr:uid="{B9DD0752-8199-44E7-A7EB-1D536C975023}"/>
    <cellStyle name="20% - Accent2 7 5" xfId="28605" xr:uid="{85F7694F-91C3-4212-B550-D87CE4D4BB42}"/>
    <cellStyle name="20% - Accent2 7 6" xfId="20158" xr:uid="{A3D605FF-5C4D-4876-A8C0-228E1709B023}"/>
    <cellStyle name="20% - Accent2 7 7" xfId="10861" xr:uid="{47CE3DD0-CA44-4216-BB8D-87887118FB13}"/>
    <cellStyle name="20% - Accent2 8" xfId="1859" xr:uid="{00000000-0005-0000-0000-00003A010000}"/>
    <cellStyle name="20% - Accent2 8 2" xfId="4088" xr:uid="{00000000-0005-0000-0000-00003B010000}"/>
    <cellStyle name="20% - Accent2 8 2 2" xfId="8310" xr:uid="{00000000-0005-0000-0000-00003C010000}"/>
    <cellStyle name="20% - Accent2 8 2 2 2" xfId="43828" xr:uid="{60A51080-97D2-49F9-9F89-8A6A5042CB64}"/>
    <cellStyle name="20% - Accent2 8 2 2 3" xfId="35381" xr:uid="{D0CCCCD5-95D3-4DD7-9C5C-7B2484A71C12}"/>
    <cellStyle name="20% - Accent2 8 2 2 4" xfId="26933" xr:uid="{B7946DD0-F447-45D4-AA78-D8B79F245C7E}"/>
    <cellStyle name="20% - Accent2 8 2 2 5" xfId="17636" xr:uid="{46CAFE64-CD20-4BAB-A5C8-705EFB634708}"/>
    <cellStyle name="20% - Accent2 8 2 3" xfId="39611" xr:uid="{FE0C7B0D-8084-41E9-A30E-1B1AF47037E5}"/>
    <cellStyle name="20% - Accent2 8 2 4" xfId="31163" xr:uid="{12150F44-002C-4139-888D-25CEF15E8E7B}"/>
    <cellStyle name="20% - Accent2 8 2 5" xfId="22716" xr:uid="{85216CF9-D155-4FF4-A946-6B9C52933F96}"/>
    <cellStyle name="20% - Accent2 8 2 6" xfId="13419" xr:uid="{DB113A27-C0E7-48CD-AAB1-E1B4C413AE1C}"/>
    <cellStyle name="20% - Accent2 8 3" xfId="6165" xr:uid="{00000000-0005-0000-0000-00003D010000}"/>
    <cellStyle name="20% - Accent2 8 3 2" xfId="41683" xr:uid="{7F6F5857-95EB-4904-9872-F4DDBC130AB0}"/>
    <cellStyle name="20% - Accent2 8 3 3" xfId="33236" xr:uid="{449E5931-78A6-4589-8472-DCB0968F8BA5}"/>
    <cellStyle name="20% - Accent2 8 3 4" xfId="24788" xr:uid="{FC435E8F-0B2C-46B2-866B-A955EA0336BA}"/>
    <cellStyle name="20% - Accent2 8 3 5" xfId="15491" xr:uid="{18D3AA8E-53C2-4876-8EFB-7FBAE796981D}"/>
    <cellStyle name="20% - Accent2 8 4" xfId="37466" xr:uid="{1B11B936-CD6C-498C-8CB1-D01E292F9607}"/>
    <cellStyle name="20% - Accent2 8 5" xfId="29018" xr:uid="{4342C0D1-65AF-4EFE-A2CF-05A2857A2E87}"/>
    <cellStyle name="20% - Accent2 8 6" xfId="20571" xr:uid="{3F1DD50C-62B7-48FE-8624-8A2A9AC2234D}"/>
    <cellStyle name="20% - Accent2 8 7" xfId="11274" xr:uid="{0B192D78-D409-4849-90CB-0084E872FA9B}"/>
    <cellStyle name="20% - Accent2 9" xfId="2272" xr:uid="{00000000-0005-0000-0000-00003E010000}"/>
    <cellStyle name="20% - Accent2 9 2" xfId="6578" xr:uid="{00000000-0005-0000-0000-00003F010000}"/>
    <cellStyle name="20% - Accent2 9 2 2" xfId="42096" xr:uid="{C5631D56-27DC-4217-A973-CE56D08E0061}"/>
    <cellStyle name="20% - Accent2 9 2 3" xfId="33649" xr:uid="{0764A024-971B-46BF-A80E-7F597E2A04DB}"/>
    <cellStyle name="20% - Accent2 9 2 4" xfId="25201" xr:uid="{B7813F4F-F85F-41DB-B373-0733A2038186}"/>
    <cellStyle name="20% - Accent2 9 2 5" xfId="15904" xr:uid="{8D1AD1F9-52A4-4FFE-9DFF-6EE0AF97C80A}"/>
    <cellStyle name="20% - Accent2 9 3" xfId="37879" xr:uid="{78628B22-F752-430F-A785-BC81097C0174}"/>
    <cellStyle name="20% - Accent2 9 4" xfId="29431" xr:uid="{51B07650-2D2A-41AF-99CE-A1BE3360C15F}"/>
    <cellStyle name="20% - Accent2 9 5" xfId="20984" xr:uid="{02497D0B-8518-4C20-830C-D217A3893517}"/>
    <cellStyle name="20% - Accent2 9 6" xfId="11687" xr:uid="{B226EB2D-012E-4A0D-847E-18AB54A71DDB}"/>
    <cellStyle name="20% - Accent3" xfId="17" builtinId="38" customBuiltin="1"/>
    <cellStyle name="20% - Accent3 10" xfId="4520" xr:uid="{00000000-0005-0000-0000-000041010000}"/>
    <cellStyle name="20% - Accent3 10 2" xfId="40038" xr:uid="{8E6CA350-6518-46E8-8174-A89987165C32}"/>
    <cellStyle name="20% - Accent3 10 3" xfId="31591" xr:uid="{DE37376D-8CAE-4331-AA1F-1821A3D318A6}"/>
    <cellStyle name="20% - Accent3 10 4" xfId="23143" xr:uid="{7F33C581-D9A0-49B5-AA41-65212DF90E36}"/>
    <cellStyle name="20% - Accent3 10 5" xfId="13846" xr:uid="{F6C0779F-270A-4D9E-86B7-4DE0292CE325}"/>
    <cellStyle name="20% - Accent3 11" xfId="8762" xr:uid="{49ACF776-43E7-4BB5-82F5-A8A4FEBC45F8}"/>
    <cellStyle name="20% - Accent3 11 2" xfId="35821" xr:uid="{85FCA73C-342E-429D-8183-FA11A187C42A}"/>
    <cellStyle name="20% - Accent3 11 3" xfId="18085" xr:uid="{762BE97F-C7A7-4270-BA4A-3F21085395B6}"/>
    <cellStyle name="20% - Accent3 12" xfId="27373" xr:uid="{351DFCCE-9346-4842-9F82-FF1CA72114C8}"/>
    <cellStyle name="20% - Accent3 13" xfId="18926" xr:uid="{3A986854-62EB-4581-B2DA-F1D7AB49821C}"/>
    <cellStyle name="20% - Accent3 14" xfId="9629" xr:uid="{AED6DDF1-E83F-467F-9721-3AA944C0637D}"/>
    <cellStyle name="20% - Accent3 2" xfId="18" xr:uid="{00000000-0005-0000-0000-000042010000}"/>
    <cellStyle name="20% - Accent3 2 10" xfId="8792" xr:uid="{65E5762F-047C-4860-B47E-71363924E2A5}"/>
    <cellStyle name="20% - Accent3 2 10 2" xfId="35822" xr:uid="{E778997D-8240-47D5-9B15-54979FC9EEC6}"/>
    <cellStyle name="20% - Accent3 2 10 3" xfId="18115" xr:uid="{C3734F7E-6509-43FA-A098-AC5284643938}"/>
    <cellStyle name="20% - Accent3 2 11" xfId="27374" xr:uid="{C73FB859-B6E4-47B0-A1D4-EC3FCD7A67DA}"/>
    <cellStyle name="20% - Accent3 2 12" xfId="18927" xr:uid="{C6F17FA9-205A-4076-8249-DAA441CD5970}"/>
    <cellStyle name="20% - Accent3 2 13" xfId="9630" xr:uid="{308FE7C6-6813-4871-92B5-3925384A6D85}"/>
    <cellStyle name="20% - Accent3 2 2" xfId="19" xr:uid="{00000000-0005-0000-0000-000043010000}"/>
    <cellStyle name="20% - Accent3 2 2 10" xfId="27375" xr:uid="{72968DA4-13D9-44F1-9504-ED2AA339CCBB}"/>
    <cellStyle name="20% - Accent3 2 2 11" xfId="18928" xr:uid="{26B5D392-A2EA-4BD2-8B18-CEECE8582EFC}"/>
    <cellStyle name="20% - Accent3 2 2 12" xfId="9631" xr:uid="{672F4655-69F9-43D0-A540-D301687E6E2A}"/>
    <cellStyle name="20% - Accent3 2 2 2" xfId="20" xr:uid="{00000000-0005-0000-0000-000044010000}"/>
    <cellStyle name="20% - Accent3 2 2 2 10" xfId="18929" xr:uid="{3826827C-F4E0-4F78-AD94-C42C316B1AF5}"/>
    <cellStyle name="20% - Accent3 2 2 2 11" xfId="9632" xr:uid="{DA7FAD41-4409-41E6-99C7-1B130CD3F043}"/>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42600" xr:uid="{C1BDD2C9-21A3-46A4-BE0C-A4A5C0BC5813}"/>
    <cellStyle name="20% - Accent3 2 2 2 2 2 2 3" xfId="34153" xr:uid="{72651A1C-FC5A-4963-A28F-D747C147674B}"/>
    <cellStyle name="20% - Accent3 2 2 2 2 2 2 4" xfId="25705" xr:uid="{C952472D-A638-411E-AB6F-509293DE946A}"/>
    <cellStyle name="20% - Accent3 2 2 2 2 2 2 5" xfId="16408" xr:uid="{270E0E91-8AE9-4B43-A860-B996A69DBD8E}"/>
    <cellStyle name="20% - Accent3 2 2 2 2 2 3" xfId="38383" xr:uid="{38403C3A-1D72-4B21-92A4-5CA09A2105DC}"/>
    <cellStyle name="20% - Accent3 2 2 2 2 2 4" xfId="29935" xr:uid="{D5183186-AEA5-4D26-A016-AE4BF7BBB1A2}"/>
    <cellStyle name="20% - Accent3 2 2 2 2 2 5" xfId="21488" xr:uid="{EF48028A-C957-49A7-B690-69CE8CF256B7}"/>
    <cellStyle name="20% - Accent3 2 2 2 2 2 6" xfId="12191" xr:uid="{876D54AB-4D09-49F3-93F6-083E1EF9EAF2}"/>
    <cellStyle name="20% - Accent3 2 2 2 2 3" xfId="4937" xr:uid="{00000000-0005-0000-0000-000048010000}"/>
    <cellStyle name="20% - Accent3 2 2 2 2 3 2" xfId="40455" xr:uid="{40E522F6-EDE9-4974-A2D6-5AECB812576C}"/>
    <cellStyle name="20% - Accent3 2 2 2 2 3 3" xfId="32008" xr:uid="{E779711D-C881-421B-A1D0-9D8FBBCEF7C5}"/>
    <cellStyle name="20% - Accent3 2 2 2 2 3 4" xfId="23560" xr:uid="{67B6F7BD-1D9F-4EEF-BA27-538CC4D108E9}"/>
    <cellStyle name="20% - Accent3 2 2 2 2 3 5" xfId="14263" xr:uid="{CB1A58F2-8A59-4B8D-AAF6-C480A9204E11}"/>
    <cellStyle name="20% - Accent3 2 2 2 2 4" xfId="9527" xr:uid="{B82F9F3C-4714-4F10-BEB2-F90FC0563F53}"/>
    <cellStyle name="20% - Accent3 2 2 2 2 4 2" xfId="36238" xr:uid="{69671CC1-B0EF-469B-9F9B-C78A259E01FC}"/>
    <cellStyle name="20% - Accent3 2 2 2 2 4 3" xfId="18840" xr:uid="{BF791964-DA12-4B4F-8E37-A575EDC852F1}"/>
    <cellStyle name="20% - Accent3 2 2 2 2 5" xfId="27790" xr:uid="{6CD2148F-24C6-47E4-81BC-122A7F54F851}"/>
    <cellStyle name="20% - Accent3 2 2 2 2 6" xfId="19343" xr:uid="{311E229C-3AB7-45F4-90CD-6BE12059F273}"/>
    <cellStyle name="20% - Accent3 2 2 2 2 7" xfId="10046" xr:uid="{DB6D56B4-5524-407B-BF56-F1CF65EF02F8}"/>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43013" xr:uid="{A9508DC6-191A-4AE6-BA72-979B2A663A0D}"/>
    <cellStyle name="20% - Accent3 2 2 2 3 2 2 3" xfId="34566" xr:uid="{3C95F198-87CC-4698-B7EA-D5872E52D089}"/>
    <cellStyle name="20% - Accent3 2 2 2 3 2 2 4" xfId="26118" xr:uid="{D9505742-8C5E-474C-A96B-3288A17B4232}"/>
    <cellStyle name="20% - Accent3 2 2 2 3 2 2 5" xfId="16821" xr:uid="{B678A7B4-B02A-453A-BDBC-DBB8B0F7A677}"/>
    <cellStyle name="20% - Accent3 2 2 2 3 2 3" xfId="38796" xr:uid="{90050F9E-DFE9-4616-A244-33044B795972}"/>
    <cellStyle name="20% - Accent3 2 2 2 3 2 4" xfId="30348" xr:uid="{6946CB80-2FA2-4B60-957A-37BC46C8719C}"/>
    <cellStyle name="20% - Accent3 2 2 2 3 2 5" xfId="21901" xr:uid="{E778F66B-4178-451E-AE77-B1F5874C9BBE}"/>
    <cellStyle name="20% - Accent3 2 2 2 3 2 6" xfId="12604" xr:uid="{ECAA28C7-EA45-4FD8-BCC8-AAD52DAA5FC2}"/>
    <cellStyle name="20% - Accent3 2 2 2 3 3" xfId="5350" xr:uid="{00000000-0005-0000-0000-00004C010000}"/>
    <cellStyle name="20% - Accent3 2 2 2 3 3 2" xfId="40868" xr:uid="{6D6D27CF-EEA6-4E39-8903-03716A93006E}"/>
    <cellStyle name="20% - Accent3 2 2 2 3 3 3" xfId="32421" xr:uid="{9CF4FF84-B5D2-4FCF-A685-6259A7C0A538}"/>
    <cellStyle name="20% - Accent3 2 2 2 3 3 4" xfId="23973" xr:uid="{C4127DDB-5B1F-4C7F-A48C-A952FA1E2A9D}"/>
    <cellStyle name="20% - Accent3 2 2 2 3 3 5" xfId="14676" xr:uid="{3B747E8A-E4B6-4E64-BE52-20DDA25883D3}"/>
    <cellStyle name="20% - Accent3 2 2 2 3 4" xfId="36651" xr:uid="{C411031C-B718-45CC-B230-ECFC05E31A40}"/>
    <cellStyle name="20% - Accent3 2 2 2 3 5" xfId="28203" xr:uid="{FBFE5877-9203-4CEA-95B0-BBC2BDB70611}"/>
    <cellStyle name="20% - Accent3 2 2 2 3 6" xfId="19756" xr:uid="{83898385-CCA7-4DBF-8F95-D87461142C3F}"/>
    <cellStyle name="20% - Accent3 2 2 2 3 7" xfId="10459" xr:uid="{C4FF2BCC-8B3A-4E5D-9D30-269E5628C5A5}"/>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43426" xr:uid="{C1C1F224-ECC3-4362-8E2F-7FFA166224B7}"/>
    <cellStyle name="20% - Accent3 2 2 2 4 2 2 3" xfId="34979" xr:uid="{0EA73DBB-ECF6-4252-B03B-F2984074B598}"/>
    <cellStyle name="20% - Accent3 2 2 2 4 2 2 4" xfId="26531" xr:uid="{A089B675-4593-4BFD-948F-0B288039D548}"/>
    <cellStyle name="20% - Accent3 2 2 2 4 2 2 5" xfId="17234" xr:uid="{C42B93C3-4A6F-4936-B081-6057D486FD83}"/>
    <cellStyle name="20% - Accent3 2 2 2 4 2 3" xfId="39209" xr:uid="{EFA82BDB-597B-4C3D-B28F-062BAFCF9F12}"/>
    <cellStyle name="20% - Accent3 2 2 2 4 2 4" xfId="30761" xr:uid="{9E3A0906-7119-4358-AC1A-377B04AA5C2A}"/>
    <cellStyle name="20% - Accent3 2 2 2 4 2 5" xfId="22314" xr:uid="{60474372-E173-4050-9359-615162EA4EAB}"/>
    <cellStyle name="20% - Accent3 2 2 2 4 2 6" xfId="13017" xr:uid="{99E7C9A9-A6A4-4C88-BECA-5F1B1CC08F8E}"/>
    <cellStyle name="20% - Accent3 2 2 2 4 3" xfId="5763" xr:uid="{00000000-0005-0000-0000-000050010000}"/>
    <cellStyle name="20% - Accent3 2 2 2 4 3 2" xfId="41281" xr:uid="{5368C877-BF42-497B-A632-943D8B5441CB}"/>
    <cellStyle name="20% - Accent3 2 2 2 4 3 3" xfId="32834" xr:uid="{24999444-3A5B-4D25-8CE5-C8BF4EFDD498}"/>
    <cellStyle name="20% - Accent3 2 2 2 4 3 4" xfId="24386" xr:uid="{4D76145C-E628-4E34-8A40-8F7F68D7748F}"/>
    <cellStyle name="20% - Accent3 2 2 2 4 3 5" xfId="15089" xr:uid="{3FA9161C-B7BB-448A-9C24-0470A0676AE1}"/>
    <cellStyle name="20% - Accent3 2 2 2 4 4" xfId="37064" xr:uid="{ACD73EB4-EBC8-463B-A8DA-EDA8790573F0}"/>
    <cellStyle name="20% - Accent3 2 2 2 4 5" xfId="28616" xr:uid="{5C574A64-8266-46C2-AF78-06E2F04273AA}"/>
    <cellStyle name="20% - Accent3 2 2 2 4 6" xfId="20169" xr:uid="{4303DA1B-E810-4628-BD56-A4C11A7DB5A0}"/>
    <cellStyle name="20% - Accent3 2 2 2 4 7" xfId="10872" xr:uid="{7CDDDB55-0BB8-4C59-88AF-9D8DA1A4AA5D}"/>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43839" xr:uid="{783F3EBE-E298-4180-999E-81879CEDC8C8}"/>
    <cellStyle name="20% - Accent3 2 2 2 5 2 2 3" xfId="35392" xr:uid="{28BB0079-D5B2-46AF-AE09-E1B8F46BBD44}"/>
    <cellStyle name="20% - Accent3 2 2 2 5 2 2 4" xfId="26944" xr:uid="{847FE846-FBFC-48F0-A492-7FDC958255C2}"/>
    <cellStyle name="20% - Accent3 2 2 2 5 2 2 5" xfId="17647" xr:uid="{0D811C65-5916-4909-B146-0E6BCDDB524C}"/>
    <cellStyle name="20% - Accent3 2 2 2 5 2 3" xfId="39622" xr:uid="{A97C5C8D-1505-439C-BCB9-98A64F2BBD36}"/>
    <cellStyle name="20% - Accent3 2 2 2 5 2 4" xfId="31174" xr:uid="{94B5A1C4-BA75-4474-8F65-D4FC70A18902}"/>
    <cellStyle name="20% - Accent3 2 2 2 5 2 5" xfId="22727" xr:uid="{299D6F98-9E24-4B98-8D2E-FDF64670666A}"/>
    <cellStyle name="20% - Accent3 2 2 2 5 2 6" xfId="13430" xr:uid="{91D2B512-0176-4F78-92E9-4507DD1557E0}"/>
    <cellStyle name="20% - Accent3 2 2 2 5 3" xfId="6176" xr:uid="{00000000-0005-0000-0000-000054010000}"/>
    <cellStyle name="20% - Accent3 2 2 2 5 3 2" xfId="41694" xr:uid="{CD705FF1-3A90-45EC-9557-24B1C7106D4E}"/>
    <cellStyle name="20% - Accent3 2 2 2 5 3 3" xfId="33247" xr:uid="{99C245AB-414C-45FF-AE3A-442E071CFE2A}"/>
    <cellStyle name="20% - Accent3 2 2 2 5 3 4" xfId="24799" xr:uid="{7719EDF5-F58B-4FFF-BB4F-1E4140C95C7C}"/>
    <cellStyle name="20% - Accent3 2 2 2 5 3 5" xfId="15502" xr:uid="{6E1787B8-7AEB-4B54-880A-2E49F4058C2F}"/>
    <cellStyle name="20% - Accent3 2 2 2 5 4" xfId="37477" xr:uid="{EAE930C4-D2F6-4680-A1FB-FCC71C4FF251}"/>
    <cellStyle name="20% - Accent3 2 2 2 5 5" xfId="29029" xr:uid="{D795D188-229B-43B4-8D89-8086090B2C8F}"/>
    <cellStyle name="20% - Accent3 2 2 2 5 6" xfId="20582" xr:uid="{8CF0D32E-2468-479D-806B-0723467116CD}"/>
    <cellStyle name="20% - Accent3 2 2 2 5 7" xfId="11285" xr:uid="{6660BE1C-F9AF-45A9-820C-038667973A47}"/>
    <cellStyle name="20% - Accent3 2 2 2 6" xfId="2283" xr:uid="{00000000-0005-0000-0000-000055010000}"/>
    <cellStyle name="20% - Accent3 2 2 2 6 2" xfId="6589" xr:uid="{00000000-0005-0000-0000-000056010000}"/>
    <cellStyle name="20% - Accent3 2 2 2 6 2 2" xfId="42107" xr:uid="{86B1158B-006D-4E5A-97EB-8BE1709E279B}"/>
    <cellStyle name="20% - Accent3 2 2 2 6 2 3" xfId="33660" xr:uid="{6E480628-2287-440D-AC6A-5D8F02BD6C64}"/>
    <cellStyle name="20% - Accent3 2 2 2 6 2 4" xfId="25212" xr:uid="{1143E875-3D1F-45D5-BC7D-F3A041CA08F3}"/>
    <cellStyle name="20% - Accent3 2 2 2 6 2 5" xfId="15915" xr:uid="{3C4B716D-E096-4957-B42E-B4AB8869F0C6}"/>
    <cellStyle name="20% - Accent3 2 2 2 6 3" xfId="37890" xr:uid="{C86D2ECA-F780-4F13-8399-46E9BCB24DA0}"/>
    <cellStyle name="20% - Accent3 2 2 2 6 4" xfId="29442" xr:uid="{8E6B43F7-0496-48AE-A679-582F23FA3E95}"/>
    <cellStyle name="20% - Accent3 2 2 2 6 5" xfId="20995" xr:uid="{F6984F0C-AAA2-4165-908F-F92927FA422F}"/>
    <cellStyle name="20% - Accent3 2 2 2 6 6" xfId="11698" xr:uid="{BD4F904C-574F-4763-867D-CFADD6523C09}"/>
    <cellStyle name="20% - Accent3 2 2 2 7" xfId="4523" xr:uid="{00000000-0005-0000-0000-000057010000}"/>
    <cellStyle name="20% - Accent3 2 2 2 7 2" xfId="40041" xr:uid="{AE5D4B41-2AAC-443B-A79D-ED9BF3180745}"/>
    <cellStyle name="20% - Accent3 2 2 2 7 3" xfId="31594" xr:uid="{D2F8C483-62E0-42FD-A30F-82793635C8B5}"/>
    <cellStyle name="20% - Accent3 2 2 2 7 4" xfId="23146" xr:uid="{9F2AE1CB-7465-4A88-ADE5-35771399DEF4}"/>
    <cellStyle name="20% - Accent3 2 2 2 7 5" xfId="13849" xr:uid="{C1FF3A40-01BD-46C8-9A00-D04EE9F3F78F}"/>
    <cellStyle name="20% - Accent3 2 2 2 8" xfId="9102" xr:uid="{77698EAD-FDE4-4105-BE80-980B5219F464}"/>
    <cellStyle name="20% - Accent3 2 2 2 8 2" xfId="35824" xr:uid="{27E762F3-94EC-49A4-92AA-9EF4285214D1}"/>
    <cellStyle name="20% - Accent3 2 2 2 8 3" xfId="18425" xr:uid="{905F5514-CB4F-454C-816E-5ABA24E155E7}"/>
    <cellStyle name="20% - Accent3 2 2 2 9" xfId="27376" xr:uid="{E4AD6912-D9AB-4A02-9DA7-F1B00B56895E}"/>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42599" xr:uid="{E481339E-31A4-496B-A7B6-AABA4723A161}"/>
    <cellStyle name="20% - Accent3 2 2 3 2 2 3" xfId="34152" xr:uid="{784F909F-A21A-47FB-A098-95E2B95A1AE9}"/>
    <cellStyle name="20% - Accent3 2 2 3 2 2 4" xfId="25704" xr:uid="{B087C5C5-0E2B-401F-AD13-FEEDBB02F522}"/>
    <cellStyle name="20% - Accent3 2 2 3 2 2 5" xfId="16407" xr:uid="{1BE2BF63-F700-41F0-A429-C1043ED042B4}"/>
    <cellStyle name="20% - Accent3 2 2 3 2 3" xfId="38382" xr:uid="{45B39B6A-BC6A-461D-BA84-37C964108150}"/>
    <cellStyle name="20% - Accent3 2 2 3 2 4" xfId="29934" xr:uid="{9F1943D0-9382-47F6-9BD6-9B741D642D0B}"/>
    <cellStyle name="20% - Accent3 2 2 3 2 5" xfId="21487" xr:uid="{F314616E-6D6E-4C87-80A5-4457458F36F6}"/>
    <cellStyle name="20% - Accent3 2 2 3 2 6" xfId="12190" xr:uid="{9778C9B1-BB02-4215-AC9E-750F546E724B}"/>
    <cellStyle name="20% - Accent3 2 2 3 3" xfId="4936" xr:uid="{00000000-0005-0000-0000-00005B010000}"/>
    <cellStyle name="20% - Accent3 2 2 3 3 2" xfId="40454" xr:uid="{A3353576-40D1-42F3-AD2C-300863482D79}"/>
    <cellStyle name="20% - Accent3 2 2 3 3 3" xfId="32007" xr:uid="{C213A31B-09C2-4E66-B91A-3089413C80F6}"/>
    <cellStyle name="20% - Accent3 2 2 3 3 4" xfId="23559" xr:uid="{FB8AC551-9652-488B-A46A-EB19EBD49CE4}"/>
    <cellStyle name="20% - Accent3 2 2 3 3 5" xfId="14262" xr:uid="{BF40285A-5B85-4CF9-8889-40CE39C11DA8}"/>
    <cellStyle name="20% - Accent3 2 2 3 4" xfId="9320" xr:uid="{BF070B19-D289-4211-B080-DBB621CAE7BA}"/>
    <cellStyle name="20% - Accent3 2 2 3 4 2" xfId="36237" xr:uid="{E9176227-C7B3-4DFC-BAAD-2DD10F4D7AEF}"/>
    <cellStyle name="20% - Accent3 2 2 3 4 3" xfId="18633" xr:uid="{450B967B-503F-495C-B337-0C0EE6B66660}"/>
    <cellStyle name="20% - Accent3 2 2 3 5" xfId="27789" xr:uid="{2E3D5613-AB58-42A3-834B-2E52BA39E457}"/>
    <cellStyle name="20% - Accent3 2 2 3 6" xfId="19342" xr:uid="{F73AB010-A42F-434F-9EC1-0F4490211DE8}"/>
    <cellStyle name="20% - Accent3 2 2 3 7" xfId="10045" xr:uid="{2EAEB3B2-0CDE-427E-A35A-ACF876EF22AE}"/>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43012" xr:uid="{9AC08104-122A-4627-845E-90A06800F0CC}"/>
    <cellStyle name="20% - Accent3 2 2 4 2 2 3" xfId="34565" xr:uid="{B9269242-86DA-446F-9BAC-60C686A4DBDD}"/>
    <cellStyle name="20% - Accent3 2 2 4 2 2 4" xfId="26117" xr:uid="{98F369AF-58D9-4E57-AB5D-D75588C59856}"/>
    <cellStyle name="20% - Accent3 2 2 4 2 2 5" xfId="16820" xr:uid="{5E21263E-B044-4B20-9D11-B924EF2AA939}"/>
    <cellStyle name="20% - Accent3 2 2 4 2 3" xfId="38795" xr:uid="{57456A4F-99CA-4807-8FD8-2826B6ABD827}"/>
    <cellStyle name="20% - Accent3 2 2 4 2 4" xfId="30347" xr:uid="{78C2026A-9C34-4924-A4AA-714548B27BA2}"/>
    <cellStyle name="20% - Accent3 2 2 4 2 5" xfId="21900" xr:uid="{5B245264-6087-413C-9B4A-B1E4A961BAD0}"/>
    <cellStyle name="20% - Accent3 2 2 4 2 6" xfId="12603" xr:uid="{CCB0A90D-040A-4F65-A68A-9B5441BFCE2D}"/>
    <cellStyle name="20% - Accent3 2 2 4 3" xfId="5349" xr:uid="{00000000-0005-0000-0000-00005F010000}"/>
    <cellStyle name="20% - Accent3 2 2 4 3 2" xfId="40867" xr:uid="{3D254CDB-678B-4918-9E8D-8B8E3CA1ED9A}"/>
    <cellStyle name="20% - Accent3 2 2 4 3 3" xfId="32420" xr:uid="{545C604F-6BB9-47D4-9B86-B61E390F5ED3}"/>
    <cellStyle name="20% - Accent3 2 2 4 3 4" xfId="23972" xr:uid="{3E9A6BE2-1F1C-42A4-9029-A716F9575FE3}"/>
    <cellStyle name="20% - Accent3 2 2 4 3 5" xfId="14675" xr:uid="{CE36B366-6CA2-411F-B4C8-AAFEB2D02B7B}"/>
    <cellStyle name="20% - Accent3 2 2 4 4" xfId="36650" xr:uid="{17328D8F-82DD-4133-B325-12B11A9B82EA}"/>
    <cellStyle name="20% - Accent3 2 2 4 5" xfId="28202" xr:uid="{18CA53B0-966D-4CA9-BF62-0F7BA64DA941}"/>
    <cellStyle name="20% - Accent3 2 2 4 6" xfId="19755" xr:uid="{63208A3D-C338-45BE-9EF2-7AD909FF68BC}"/>
    <cellStyle name="20% - Accent3 2 2 4 7" xfId="10458" xr:uid="{CF7D5D99-66C7-4F5B-8C9F-16DACCFB01C1}"/>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43425" xr:uid="{1B8076F6-0827-4B7E-9B5A-4466A9D1B700}"/>
    <cellStyle name="20% - Accent3 2 2 5 2 2 3" xfId="34978" xr:uid="{3BC0005A-6E31-435F-82DE-48D73E8CB00C}"/>
    <cellStyle name="20% - Accent3 2 2 5 2 2 4" xfId="26530" xr:uid="{37A124FD-48D8-4B3F-A3F6-F995E7B45771}"/>
    <cellStyle name="20% - Accent3 2 2 5 2 2 5" xfId="17233" xr:uid="{EABE494E-2CFA-4E3A-931F-C363467DF11E}"/>
    <cellStyle name="20% - Accent3 2 2 5 2 3" xfId="39208" xr:uid="{160F951A-B099-4D1E-AF18-D8CAE581CC19}"/>
    <cellStyle name="20% - Accent3 2 2 5 2 4" xfId="30760" xr:uid="{789A4AEA-B74A-4A48-942F-08AE7B438AEF}"/>
    <cellStyle name="20% - Accent3 2 2 5 2 5" xfId="22313" xr:uid="{9122AAF8-0B3F-49A0-9035-3A7CD6E00409}"/>
    <cellStyle name="20% - Accent3 2 2 5 2 6" xfId="13016" xr:uid="{5CDA3978-E4E9-4E66-90F1-130E7F50A299}"/>
    <cellStyle name="20% - Accent3 2 2 5 3" xfId="5762" xr:uid="{00000000-0005-0000-0000-000063010000}"/>
    <cellStyle name="20% - Accent3 2 2 5 3 2" xfId="41280" xr:uid="{B0F2AFBB-88EF-478D-981B-5F23BD018D33}"/>
    <cellStyle name="20% - Accent3 2 2 5 3 3" xfId="32833" xr:uid="{DCE55899-D238-496A-BA8A-F0D4CAB2197A}"/>
    <cellStyle name="20% - Accent3 2 2 5 3 4" xfId="24385" xr:uid="{BF329460-DD72-4DAE-B108-FFC7818DFCD0}"/>
    <cellStyle name="20% - Accent3 2 2 5 3 5" xfId="15088" xr:uid="{94379E3B-B019-433D-B521-18036E7D6E2F}"/>
    <cellStyle name="20% - Accent3 2 2 5 4" xfId="37063" xr:uid="{120F3885-6754-4CC6-9FB6-0E5C454EAA5C}"/>
    <cellStyle name="20% - Accent3 2 2 5 5" xfId="28615" xr:uid="{2AA41298-82A3-4545-BF03-579F65468244}"/>
    <cellStyle name="20% - Accent3 2 2 5 6" xfId="20168" xr:uid="{EFF8409A-9224-48B0-B6E1-9F314997497E}"/>
    <cellStyle name="20% - Accent3 2 2 5 7" xfId="10871" xr:uid="{4A023821-863C-4E39-BF14-A5695640216B}"/>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43838" xr:uid="{11B31E93-CBCA-486D-B906-FF8657034DAE}"/>
    <cellStyle name="20% - Accent3 2 2 6 2 2 3" xfId="35391" xr:uid="{1A1C29DB-1A2F-4088-8F52-9A83DF8190D8}"/>
    <cellStyle name="20% - Accent3 2 2 6 2 2 4" xfId="26943" xr:uid="{498F076B-AB02-48BE-B47F-E4CAD8384021}"/>
    <cellStyle name="20% - Accent3 2 2 6 2 2 5" xfId="17646" xr:uid="{F0152D16-57AC-4F45-82EE-00221A172D3B}"/>
    <cellStyle name="20% - Accent3 2 2 6 2 3" xfId="39621" xr:uid="{54A42BD3-85C6-4D3C-873F-28ED4EAE2BD9}"/>
    <cellStyle name="20% - Accent3 2 2 6 2 4" xfId="31173" xr:uid="{CEBAADC8-8ACE-44D9-8540-DB67F0B416F9}"/>
    <cellStyle name="20% - Accent3 2 2 6 2 5" xfId="22726" xr:uid="{C86ED4D9-E40B-4E9B-8FFC-AA4612BB2742}"/>
    <cellStyle name="20% - Accent3 2 2 6 2 6" xfId="13429" xr:uid="{151D59D7-982E-4AAF-9A32-1E6518FDF24D}"/>
    <cellStyle name="20% - Accent3 2 2 6 3" xfId="6175" xr:uid="{00000000-0005-0000-0000-000067010000}"/>
    <cellStyle name="20% - Accent3 2 2 6 3 2" xfId="41693" xr:uid="{60E2CB4D-4BF2-4DAE-B538-DF650D5775CB}"/>
    <cellStyle name="20% - Accent3 2 2 6 3 3" xfId="33246" xr:uid="{ED0D0F69-9277-45CF-9947-71C7DB30C62C}"/>
    <cellStyle name="20% - Accent3 2 2 6 3 4" xfId="24798" xr:uid="{23FBC9E2-9CE6-434E-AFE9-2B9930F02699}"/>
    <cellStyle name="20% - Accent3 2 2 6 3 5" xfId="15501" xr:uid="{299034E7-FDEE-4E04-8E40-9A89A9B97177}"/>
    <cellStyle name="20% - Accent3 2 2 6 4" xfId="37476" xr:uid="{CC5E4E65-90CF-486A-A1DA-25D5A155E22E}"/>
    <cellStyle name="20% - Accent3 2 2 6 5" xfId="29028" xr:uid="{3723B98D-0F44-4610-B522-0916548F99E7}"/>
    <cellStyle name="20% - Accent3 2 2 6 6" xfId="20581" xr:uid="{41966DF0-82B5-405B-B8BD-D12A2582D6B1}"/>
    <cellStyle name="20% - Accent3 2 2 6 7" xfId="11284" xr:uid="{5D91C6BA-00FB-4C91-B24E-E42A22AFBADE}"/>
    <cellStyle name="20% - Accent3 2 2 7" xfId="2282" xr:uid="{00000000-0005-0000-0000-000068010000}"/>
    <cellStyle name="20% - Accent3 2 2 7 2" xfId="6588" xr:uid="{00000000-0005-0000-0000-000069010000}"/>
    <cellStyle name="20% - Accent3 2 2 7 2 2" xfId="42106" xr:uid="{12E7161C-58E1-4F0D-A7DC-88EABB706410}"/>
    <cellStyle name="20% - Accent3 2 2 7 2 3" xfId="33659" xr:uid="{D8235E8B-32D5-4A42-BF3D-E11CE7962507}"/>
    <cellStyle name="20% - Accent3 2 2 7 2 4" xfId="25211" xr:uid="{DC0AE316-8D2A-4043-AEC8-FF660373D08F}"/>
    <cellStyle name="20% - Accent3 2 2 7 2 5" xfId="15914" xr:uid="{A24A2BCB-BB52-455A-AE83-59C51676A316}"/>
    <cellStyle name="20% - Accent3 2 2 7 3" xfId="37889" xr:uid="{E4B3B471-24C1-4B74-8B93-ABF92FA29E94}"/>
    <cellStyle name="20% - Accent3 2 2 7 4" xfId="29441" xr:uid="{E08F66F0-26C8-43D5-8871-680226ACC23D}"/>
    <cellStyle name="20% - Accent3 2 2 7 5" xfId="20994" xr:uid="{D0756128-FC2C-428B-9C8E-82D69E60BC9E}"/>
    <cellStyle name="20% - Accent3 2 2 7 6" xfId="11697" xr:uid="{7B7724B2-BD87-4451-AF12-7F0F76E4045D}"/>
    <cellStyle name="20% - Accent3 2 2 8" xfId="4522" xr:uid="{00000000-0005-0000-0000-00006A010000}"/>
    <cellStyle name="20% - Accent3 2 2 8 2" xfId="40040" xr:uid="{7D46CE28-332E-4BCD-8BD1-2F0E2AE14E42}"/>
    <cellStyle name="20% - Accent3 2 2 8 3" xfId="31593" xr:uid="{E00E0563-9B4B-4F9E-8A0D-F5AD574369EE}"/>
    <cellStyle name="20% - Accent3 2 2 8 4" xfId="23145" xr:uid="{721C64C9-ECE2-42F6-83D8-01F648CDE44D}"/>
    <cellStyle name="20% - Accent3 2 2 8 5" xfId="13848" xr:uid="{CFF9926B-417A-42B3-A260-A6B7C97983CC}"/>
    <cellStyle name="20% - Accent3 2 2 9" xfId="8895" xr:uid="{0ADDC6BA-FD9D-420D-8F5A-13E0A04BBC7C}"/>
    <cellStyle name="20% - Accent3 2 2 9 2" xfId="35823" xr:uid="{F744D9F7-3181-46DA-BB60-65A01C71B1FB}"/>
    <cellStyle name="20% - Accent3 2 2 9 3" xfId="18218" xr:uid="{9E778BB3-FC62-472F-8403-271450078341}"/>
    <cellStyle name="20% - Accent3 2 3" xfId="21" xr:uid="{00000000-0005-0000-0000-00006B010000}"/>
    <cellStyle name="20% - Accent3 2 3 10" xfId="18930" xr:uid="{35C3FDAD-19C5-46B2-9A8F-E27A7ECCA4D0}"/>
    <cellStyle name="20% - Accent3 2 3 11" xfId="9633" xr:uid="{D1C3FDC1-8269-40E3-9E3D-BE3FBB785AFC}"/>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42601" xr:uid="{529C3B0D-041D-46A7-B9AB-5DA43DFE72DE}"/>
    <cellStyle name="20% - Accent3 2 3 2 2 2 3" xfId="34154" xr:uid="{1B196FBA-2DD1-477D-A948-367173902992}"/>
    <cellStyle name="20% - Accent3 2 3 2 2 2 4" xfId="25706" xr:uid="{DC5170E6-CD32-443C-A092-36CEA7F1ACAA}"/>
    <cellStyle name="20% - Accent3 2 3 2 2 2 5" xfId="16409" xr:uid="{9E9A5D2A-0360-4416-8DA8-A12A3D77E547}"/>
    <cellStyle name="20% - Accent3 2 3 2 2 3" xfId="38384" xr:uid="{08F9B2C9-874A-4E78-9CF0-DD545231BDBA}"/>
    <cellStyle name="20% - Accent3 2 3 2 2 4" xfId="29936" xr:uid="{C77645B1-3A3E-425C-9293-EDB73765C43E}"/>
    <cellStyle name="20% - Accent3 2 3 2 2 5" xfId="21489" xr:uid="{5EF6733E-157F-4E3C-B387-81CE66A57022}"/>
    <cellStyle name="20% - Accent3 2 3 2 2 6" xfId="12192" xr:uid="{ADF123CB-C624-4119-97E0-2E6C96F9C7E2}"/>
    <cellStyle name="20% - Accent3 2 3 2 3" xfId="4938" xr:uid="{00000000-0005-0000-0000-00006F010000}"/>
    <cellStyle name="20% - Accent3 2 3 2 3 2" xfId="40456" xr:uid="{180C2176-F5BE-4E28-8831-FBD9F2F69810}"/>
    <cellStyle name="20% - Accent3 2 3 2 3 3" xfId="32009" xr:uid="{31C3E1F6-98A6-4FBE-94CE-658D6AF229CB}"/>
    <cellStyle name="20% - Accent3 2 3 2 3 4" xfId="23561" xr:uid="{492DFFDD-7ED2-4787-8179-A77E184DFD82}"/>
    <cellStyle name="20% - Accent3 2 3 2 3 5" xfId="14264" xr:uid="{4AEE0C8D-4F2B-4619-96C9-7E503EE54DBF}"/>
    <cellStyle name="20% - Accent3 2 3 2 4" xfId="9424" xr:uid="{C3588D98-6F24-4F2C-9F96-F34501405613}"/>
    <cellStyle name="20% - Accent3 2 3 2 4 2" xfId="36239" xr:uid="{B041D699-A73B-482C-8E24-A064014183A4}"/>
    <cellStyle name="20% - Accent3 2 3 2 4 3" xfId="18737" xr:uid="{2DE5EAD5-342E-4D7B-B175-43DC26E11CD8}"/>
    <cellStyle name="20% - Accent3 2 3 2 5" xfId="27791" xr:uid="{EF0E0BB8-0452-4656-AC0F-E70866DD9E9F}"/>
    <cellStyle name="20% - Accent3 2 3 2 6" xfId="19344" xr:uid="{06290F50-68D4-4E82-84F5-B78C51911787}"/>
    <cellStyle name="20% - Accent3 2 3 2 7" xfId="10047" xr:uid="{9164146C-1E60-4FFB-859A-A9EAC857C388}"/>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43014" xr:uid="{003E9813-9EE4-4FE1-9C35-00A634C738AA}"/>
    <cellStyle name="20% - Accent3 2 3 3 2 2 3" xfId="34567" xr:uid="{934722DB-94F0-4B70-8D9D-9CDD5EC163B4}"/>
    <cellStyle name="20% - Accent3 2 3 3 2 2 4" xfId="26119" xr:uid="{C81F7D63-23C4-4067-B6A8-7B0F2B088679}"/>
    <cellStyle name="20% - Accent3 2 3 3 2 2 5" xfId="16822" xr:uid="{A9240DAA-9C9B-4198-950A-2724910406F2}"/>
    <cellStyle name="20% - Accent3 2 3 3 2 3" xfId="38797" xr:uid="{90E42981-7C39-414A-A6F8-E20002A2E8FF}"/>
    <cellStyle name="20% - Accent3 2 3 3 2 4" xfId="30349" xr:uid="{D116927D-5323-4117-A10C-D3230882857F}"/>
    <cellStyle name="20% - Accent3 2 3 3 2 5" xfId="21902" xr:uid="{395C8931-1021-4BF5-88BE-525B974CFE29}"/>
    <cellStyle name="20% - Accent3 2 3 3 2 6" xfId="12605" xr:uid="{97CFFB1F-C382-422B-94FB-6A8EA5F6D20A}"/>
    <cellStyle name="20% - Accent3 2 3 3 3" xfId="5351" xr:uid="{00000000-0005-0000-0000-000073010000}"/>
    <cellStyle name="20% - Accent3 2 3 3 3 2" xfId="40869" xr:uid="{9E3F34EF-2B2C-42B8-869F-609665F7D03C}"/>
    <cellStyle name="20% - Accent3 2 3 3 3 3" xfId="32422" xr:uid="{E59DA9C0-D227-4A53-BFA1-45BD77AF1941}"/>
    <cellStyle name="20% - Accent3 2 3 3 3 4" xfId="23974" xr:uid="{4208F6CF-FAEC-42C0-8726-21A674CE5C1C}"/>
    <cellStyle name="20% - Accent3 2 3 3 3 5" xfId="14677" xr:uid="{B2391A70-F258-4DF7-A5F6-9DB9A728956D}"/>
    <cellStyle name="20% - Accent3 2 3 3 4" xfId="36652" xr:uid="{5B382E7C-1085-45B2-B050-E06152BA1E83}"/>
    <cellStyle name="20% - Accent3 2 3 3 5" xfId="28204" xr:uid="{1E864074-A249-4154-984C-AC77E9A3A577}"/>
    <cellStyle name="20% - Accent3 2 3 3 6" xfId="19757" xr:uid="{FB5BC1F3-B12D-436E-8587-81549B49B8B2}"/>
    <cellStyle name="20% - Accent3 2 3 3 7" xfId="10460" xr:uid="{7405F6AF-CCEB-498E-9FCB-3FF607EBA9EC}"/>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43427" xr:uid="{1674FA35-D02C-4942-9D81-A92136BF155A}"/>
    <cellStyle name="20% - Accent3 2 3 4 2 2 3" xfId="34980" xr:uid="{892FB9D9-5565-4B58-A5BA-98B7F807A500}"/>
    <cellStyle name="20% - Accent3 2 3 4 2 2 4" xfId="26532" xr:uid="{E679A2B2-381F-4C78-BEE3-FB3E377E60B8}"/>
    <cellStyle name="20% - Accent3 2 3 4 2 2 5" xfId="17235" xr:uid="{1450E46A-E7DE-4CC0-B8B3-9F88D56CB6F3}"/>
    <cellStyle name="20% - Accent3 2 3 4 2 3" xfId="39210" xr:uid="{2783CBE4-D931-4D5A-87DD-0AD8354D1DB2}"/>
    <cellStyle name="20% - Accent3 2 3 4 2 4" xfId="30762" xr:uid="{738F3EDE-5DA4-4518-90D7-72EA0292853B}"/>
    <cellStyle name="20% - Accent3 2 3 4 2 5" xfId="22315" xr:uid="{BA7D939C-ABBC-4A6E-B96A-B9B3C2C04040}"/>
    <cellStyle name="20% - Accent3 2 3 4 2 6" xfId="13018" xr:uid="{AA37F992-4D50-46B9-BD56-C22E441BAC3A}"/>
    <cellStyle name="20% - Accent3 2 3 4 3" xfId="5764" xr:uid="{00000000-0005-0000-0000-000077010000}"/>
    <cellStyle name="20% - Accent3 2 3 4 3 2" xfId="41282" xr:uid="{07C6711E-A039-4098-9CA1-E27AC5014CCD}"/>
    <cellStyle name="20% - Accent3 2 3 4 3 3" xfId="32835" xr:uid="{33A6E269-1803-48A3-97EA-957367BBC76C}"/>
    <cellStyle name="20% - Accent3 2 3 4 3 4" xfId="24387" xr:uid="{38297C4A-1E76-428E-9121-F5945562452A}"/>
    <cellStyle name="20% - Accent3 2 3 4 3 5" xfId="15090" xr:uid="{AD870D35-748B-4D7B-8C30-D9CA327164C1}"/>
    <cellStyle name="20% - Accent3 2 3 4 4" xfId="37065" xr:uid="{3326A60E-615E-4FBD-A2EE-15611745EEBF}"/>
    <cellStyle name="20% - Accent3 2 3 4 5" xfId="28617" xr:uid="{2DC87036-6C51-44F8-B046-07DAB43F15EB}"/>
    <cellStyle name="20% - Accent3 2 3 4 6" xfId="20170" xr:uid="{16EAB98B-EB40-4B20-88EA-2239BF3C2ED5}"/>
    <cellStyle name="20% - Accent3 2 3 4 7" xfId="10873" xr:uid="{4B918E84-F1E7-4BDA-AA1B-7E18E59A4FDF}"/>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43840" xr:uid="{75FFD8E8-7B0B-4622-8CD5-A0F4C9C71B24}"/>
    <cellStyle name="20% - Accent3 2 3 5 2 2 3" xfId="35393" xr:uid="{5646C153-7C8A-4A36-8B32-B12FDCC22C36}"/>
    <cellStyle name="20% - Accent3 2 3 5 2 2 4" xfId="26945" xr:uid="{945D7DC1-2BD6-4D68-BAB8-9F4F29D6A7FF}"/>
    <cellStyle name="20% - Accent3 2 3 5 2 2 5" xfId="17648" xr:uid="{A5B159A8-6521-49E8-906E-D8A494AA3105}"/>
    <cellStyle name="20% - Accent3 2 3 5 2 3" xfId="39623" xr:uid="{0CCC8045-BFFA-4C8D-9708-F3B594E67292}"/>
    <cellStyle name="20% - Accent3 2 3 5 2 4" xfId="31175" xr:uid="{68FC0E0E-435B-4A09-808E-1BF38F91CFBF}"/>
    <cellStyle name="20% - Accent3 2 3 5 2 5" xfId="22728" xr:uid="{13CDC691-141C-41D8-A903-9751C80011FD}"/>
    <cellStyle name="20% - Accent3 2 3 5 2 6" xfId="13431" xr:uid="{6020E47A-B102-4BE0-95B7-9D0F3B86699E}"/>
    <cellStyle name="20% - Accent3 2 3 5 3" xfId="6177" xr:uid="{00000000-0005-0000-0000-00007B010000}"/>
    <cellStyle name="20% - Accent3 2 3 5 3 2" xfId="41695" xr:uid="{C4783857-4C29-41BF-8CCF-377A8A4CD05E}"/>
    <cellStyle name="20% - Accent3 2 3 5 3 3" xfId="33248" xr:uid="{1DEA0B9E-2EC0-4FCA-86F0-F9BD029C36EF}"/>
    <cellStyle name="20% - Accent3 2 3 5 3 4" xfId="24800" xr:uid="{D36E0E77-7402-4D0C-B2EA-50E794826356}"/>
    <cellStyle name="20% - Accent3 2 3 5 3 5" xfId="15503" xr:uid="{ECA8679E-2555-4AA9-955C-23D2FD29DC6D}"/>
    <cellStyle name="20% - Accent3 2 3 5 4" xfId="37478" xr:uid="{71E6EA71-2F3C-4947-81BC-CAD39B8B9EA8}"/>
    <cellStyle name="20% - Accent3 2 3 5 5" xfId="29030" xr:uid="{793E374B-5A98-4B15-B3F8-6C225041DF84}"/>
    <cellStyle name="20% - Accent3 2 3 5 6" xfId="20583" xr:uid="{59A3389A-5097-478C-9811-CC57B0401A7D}"/>
    <cellStyle name="20% - Accent3 2 3 5 7" xfId="11286" xr:uid="{D9B4EC83-C35C-402A-8A32-00051AB1EBF6}"/>
    <cellStyle name="20% - Accent3 2 3 6" xfId="2284" xr:uid="{00000000-0005-0000-0000-00007C010000}"/>
    <cellStyle name="20% - Accent3 2 3 6 2" xfId="6590" xr:uid="{00000000-0005-0000-0000-00007D010000}"/>
    <cellStyle name="20% - Accent3 2 3 6 2 2" xfId="42108" xr:uid="{E1562EBC-63EC-4DF5-8810-F267478184A3}"/>
    <cellStyle name="20% - Accent3 2 3 6 2 3" xfId="33661" xr:uid="{E093D81C-78CE-4A6F-A449-1701F4B4F07E}"/>
    <cellStyle name="20% - Accent3 2 3 6 2 4" xfId="25213" xr:uid="{E569F0BF-6BF7-4771-9FDE-D54845231B9A}"/>
    <cellStyle name="20% - Accent3 2 3 6 2 5" xfId="15916" xr:uid="{FD760247-BE5E-40E1-821F-E50C0579FB03}"/>
    <cellStyle name="20% - Accent3 2 3 6 3" xfId="37891" xr:uid="{47BA5891-A04B-47A7-AE9D-5E823F2DFF80}"/>
    <cellStyle name="20% - Accent3 2 3 6 4" xfId="29443" xr:uid="{7AD65385-B2F7-4F03-B120-4C50C348478E}"/>
    <cellStyle name="20% - Accent3 2 3 6 5" xfId="20996" xr:uid="{93B5327B-279A-4490-8D0B-FA3B4D72B91C}"/>
    <cellStyle name="20% - Accent3 2 3 6 6" xfId="11699" xr:uid="{333972A7-81A7-4F9D-BF8A-39E68C09143A}"/>
    <cellStyle name="20% - Accent3 2 3 7" xfId="4524" xr:uid="{00000000-0005-0000-0000-00007E010000}"/>
    <cellStyle name="20% - Accent3 2 3 7 2" xfId="40042" xr:uid="{D9718DDC-3679-4846-A655-1C1932DF31ED}"/>
    <cellStyle name="20% - Accent3 2 3 7 3" xfId="31595" xr:uid="{6660E2D5-8DAD-453E-8821-66963C0DB97D}"/>
    <cellStyle name="20% - Accent3 2 3 7 4" xfId="23147" xr:uid="{84F73D0B-B4BD-4837-A57A-B5AA0F54A8E7}"/>
    <cellStyle name="20% - Accent3 2 3 7 5" xfId="13850" xr:uid="{D5BC2954-B54A-4B56-8484-8B5776B10E8E}"/>
    <cellStyle name="20% - Accent3 2 3 8" xfId="8999" xr:uid="{2B5D0148-B6EA-4DEA-92B1-644886C27051}"/>
    <cellStyle name="20% - Accent3 2 3 8 2" xfId="35825" xr:uid="{15DD860C-C77A-4922-BFF0-E4E56E3E9A48}"/>
    <cellStyle name="20% - Accent3 2 3 8 3" xfId="18322" xr:uid="{76319382-486B-46E8-9127-2CC613344DA4}"/>
    <cellStyle name="20% - Accent3 2 3 9" xfId="27377" xr:uid="{BB512B57-5244-4CC4-8A84-2CA1355BBC95}"/>
    <cellStyle name="20% - Accent3 2 4" xfId="587" xr:uid="{00000000-0005-0000-0000-00007F010000}"/>
    <cellStyle name="20% - Accent3 2 4 2" xfId="2858" xr:uid="{00000000-0005-0000-0000-000080010000}"/>
    <cellStyle name="20% - Accent3 2 4 2 2" xfId="7080" xr:uid="{00000000-0005-0000-0000-000081010000}"/>
    <cellStyle name="20% - Accent3 2 4 2 2 2" xfId="42598" xr:uid="{1E711BFE-DE48-428F-9C86-94B3841AFAC2}"/>
    <cellStyle name="20% - Accent3 2 4 2 2 3" xfId="34151" xr:uid="{2DAF82EB-E2A7-470E-B176-3B824DAEA22C}"/>
    <cellStyle name="20% - Accent3 2 4 2 2 4" xfId="25703" xr:uid="{E0F9451E-0F2E-41C6-8EC5-680CB39C195B}"/>
    <cellStyle name="20% - Accent3 2 4 2 2 5" xfId="16406" xr:uid="{8B7F039E-275F-40AE-96D3-3AF664BC029B}"/>
    <cellStyle name="20% - Accent3 2 4 2 3" xfId="38381" xr:uid="{1F55F85D-D913-45BE-985B-3B06E1D9A5E9}"/>
    <cellStyle name="20% - Accent3 2 4 2 4" xfId="29933" xr:uid="{D90A6B42-E10E-45FA-AA6C-51D358557CA3}"/>
    <cellStyle name="20% - Accent3 2 4 2 5" xfId="21486" xr:uid="{EE07B338-BDA2-48D0-AE54-2453745FC7EA}"/>
    <cellStyle name="20% - Accent3 2 4 2 6" xfId="12189" xr:uid="{3A1E8D83-94E7-46A3-AEE8-6F33D596D075}"/>
    <cellStyle name="20% - Accent3 2 4 3" xfId="4935" xr:uid="{00000000-0005-0000-0000-000082010000}"/>
    <cellStyle name="20% - Accent3 2 4 3 2" xfId="40453" xr:uid="{6CE6A99F-1AC9-4B25-B928-9ED0668A5564}"/>
    <cellStyle name="20% - Accent3 2 4 3 3" xfId="32006" xr:uid="{124065BA-4A17-4E7B-8A76-043919E483A2}"/>
    <cellStyle name="20% - Accent3 2 4 3 4" xfId="23558" xr:uid="{04F97829-77A1-452E-87AE-E168574C141F}"/>
    <cellStyle name="20% - Accent3 2 4 3 5" xfId="14261" xr:uid="{27AC394D-A487-4B52-822A-EF487E7FC788}"/>
    <cellStyle name="20% - Accent3 2 4 4" xfId="9216" xr:uid="{A12C3877-5492-4CD3-AD22-81B3F0AB1EDD}"/>
    <cellStyle name="20% - Accent3 2 4 4 2" xfId="36236" xr:uid="{9FF47C9F-B7BC-4978-9682-51DC1006A236}"/>
    <cellStyle name="20% - Accent3 2 4 4 3" xfId="18530" xr:uid="{585F7D01-137E-4DCA-B7FB-F8960C099F8E}"/>
    <cellStyle name="20% - Accent3 2 4 5" xfId="27788" xr:uid="{C1D60070-B6D0-4615-8B97-033EA8817F43}"/>
    <cellStyle name="20% - Accent3 2 4 6" xfId="19341" xr:uid="{B36968B4-6CB5-4726-8A71-4E930845747D}"/>
    <cellStyle name="20% - Accent3 2 4 7" xfId="10044" xr:uid="{FB3B5B9A-5C2B-4F4D-8B34-B6E224A54BAC}"/>
    <cellStyle name="20% - Accent3 2 5" xfId="1040" xr:uid="{00000000-0005-0000-0000-000083010000}"/>
    <cellStyle name="20% - Accent3 2 5 2" xfId="3271" xr:uid="{00000000-0005-0000-0000-000084010000}"/>
    <cellStyle name="20% - Accent3 2 5 2 2" xfId="7493" xr:uid="{00000000-0005-0000-0000-000085010000}"/>
    <cellStyle name="20% - Accent3 2 5 2 2 2" xfId="43011" xr:uid="{B96DAC6B-FF3E-4C83-9411-43B9398B5553}"/>
    <cellStyle name="20% - Accent3 2 5 2 2 3" xfId="34564" xr:uid="{FF6C7488-1BB6-46DD-990A-22E447F72038}"/>
    <cellStyle name="20% - Accent3 2 5 2 2 4" xfId="26116" xr:uid="{7D73B4D2-838A-4232-9559-70E07B32D8E2}"/>
    <cellStyle name="20% - Accent3 2 5 2 2 5" xfId="16819" xr:uid="{3737E0FA-6F7D-4DB8-B568-1A78EE4FB148}"/>
    <cellStyle name="20% - Accent3 2 5 2 3" xfId="38794" xr:uid="{6B9EEF38-DB27-4697-8689-B6ACB01EE169}"/>
    <cellStyle name="20% - Accent3 2 5 2 4" xfId="30346" xr:uid="{E11DC051-29F5-4C6A-B641-481B074D8F59}"/>
    <cellStyle name="20% - Accent3 2 5 2 5" xfId="21899" xr:uid="{7E5E406C-555A-4A5F-9395-DC9F704D775A}"/>
    <cellStyle name="20% - Accent3 2 5 2 6" xfId="12602" xr:uid="{25112C3F-B366-44EB-91AA-FA8B16027983}"/>
    <cellStyle name="20% - Accent3 2 5 3" xfId="5348" xr:uid="{00000000-0005-0000-0000-000086010000}"/>
    <cellStyle name="20% - Accent3 2 5 3 2" xfId="40866" xr:uid="{3D373A3B-016A-4F28-9650-51190A159E7B}"/>
    <cellStyle name="20% - Accent3 2 5 3 3" xfId="32419" xr:uid="{6CAA5E0B-9C5F-487D-9DB3-11A005DFFB45}"/>
    <cellStyle name="20% - Accent3 2 5 3 4" xfId="23971" xr:uid="{75852C43-B30E-4436-B2BE-5838516B170E}"/>
    <cellStyle name="20% - Accent3 2 5 3 5" xfId="14674" xr:uid="{7DE8EA63-D0D6-4493-864F-9020E228BEC8}"/>
    <cellStyle name="20% - Accent3 2 5 4" xfId="36649" xr:uid="{F2FD34FF-A865-44B3-8C3B-77C6970B82DF}"/>
    <cellStyle name="20% - Accent3 2 5 5" xfId="28201" xr:uid="{A0F9F528-0D41-4375-9B2D-A0C152FECB6D}"/>
    <cellStyle name="20% - Accent3 2 5 6" xfId="19754" xr:uid="{9A84FDD4-D9E6-4B2B-AB25-37F562AA1763}"/>
    <cellStyle name="20% - Accent3 2 5 7" xfId="10457" xr:uid="{3327BDE9-2BED-4366-A7C8-572AF1E08BA9}"/>
    <cellStyle name="20% - Accent3 2 6" xfId="1454" xr:uid="{00000000-0005-0000-0000-000087010000}"/>
    <cellStyle name="20% - Accent3 2 6 2" xfId="3684" xr:uid="{00000000-0005-0000-0000-000088010000}"/>
    <cellStyle name="20% - Accent3 2 6 2 2" xfId="7906" xr:uid="{00000000-0005-0000-0000-000089010000}"/>
    <cellStyle name="20% - Accent3 2 6 2 2 2" xfId="43424" xr:uid="{949036A7-42F6-4F75-B4B8-99AFE68B8508}"/>
    <cellStyle name="20% - Accent3 2 6 2 2 3" xfId="34977" xr:uid="{0BA23281-16F3-47F2-B31F-65366011A311}"/>
    <cellStyle name="20% - Accent3 2 6 2 2 4" xfId="26529" xr:uid="{9435D66D-72A4-471E-88EA-F38126AD4AB9}"/>
    <cellStyle name="20% - Accent3 2 6 2 2 5" xfId="17232" xr:uid="{A68FC417-4E73-4673-A6F5-1E68F8D5C209}"/>
    <cellStyle name="20% - Accent3 2 6 2 3" xfId="39207" xr:uid="{32E9B1CB-5FA7-4BB5-A3DD-88B712E218BF}"/>
    <cellStyle name="20% - Accent3 2 6 2 4" xfId="30759" xr:uid="{834A15F7-84A0-4689-8C43-D025038C27B8}"/>
    <cellStyle name="20% - Accent3 2 6 2 5" xfId="22312" xr:uid="{85F58DE5-0883-450D-8F64-19F8684506D6}"/>
    <cellStyle name="20% - Accent3 2 6 2 6" xfId="13015" xr:uid="{2E67AC0E-E770-4FAD-B4EF-DF2A3D6B7C9F}"/>
    <cellStyle name="20% - Accent3 2 6 3" xfId="5761" xr:uid="{00000000-0005-0000-0000-00008A010000}"/>
    <cellStyle name="20% - Accent3 2 6 3 2" xfId="41279" xr:uid="{5FF7F7B6-6D18-4791-A787-B8ABF6576334}"/>
    <cellStyle name="20% - Accent3 2 6 3 3" xfId="32832" xr:uid="{8AEDC807-9186-4A97-A02F-E195CBFC89DD}"/>
    <cellStyle name="20% - Accent3 2 6 3 4" xfId="24384" xr:uid="{BA152A8B-AD4B-4DEA-BA38-780ECA9C9850}"/>
    <cellStyle name="20% - Accent3 2 6 3 5" xfId="15087" xr:uid="{F9F64B78-2C82-4A6F-A619-D11ECD50C66B}"/>
    <cellStyle name="20% - Accent3 2 6 4" xfId="37062" xr:uid="{3E7847D1-1822-4421-8A9A-A4B194AFA1F1}"/>
    <cellStyle name="20% - Accent3 2 6 5" xfId="28614" xr:uid="{180B6FFE-E81F-4569-AEC1-94DC1A5E8A3A}"/>
    <cellStyle name="20% - Accent3 2 6 6" xfId="20167" xr:uid="{54A1E52F-5B50-469D-9D71-90CBF8BE3AB5}"/>
    <cellStyle name="20% - Accent3 2 6 7" xfId="10870" xr:uid="{EBCB9548-B431-4463-BE27-FD39A90C6044}"/>
    <cellStyle name="20% - Accent3 2 7" xfId="1868" xr:uid="{00000000-0005-0000-0000-00008B010000}"/>
    <cellStyle name="20% - Accent3 2 7 2" xfId="4097" xr:uid="{00000000-0005-0000-0000-00008C010000}"/>
    <cellStyle name="20% - Accent3 2 7 2 2" xfId="8319" xr:uid="{00000000-0005-0000-0000-00008D010000}"/>
    <cellStyle name="20% - Accent3 2 7 2 2 2" xfId="43837" xr:uid="{B7F3D549-8820-433E-BC43-73A967788996}"/>
    <cellStyle name="20% - Accent3 2 7 2 2 3" xfId="35390" xr:uid="{343EE2DC-EF0E-4FD1-9A75-EAFCE685FB22}"/>
    <cellStyle name="20% - Accent3 2 7 2 2 4" xfId="26942" xr:uid="{388006B2-F206-4739-9C78-3D6DF5040E14}"/>
    <cellStyle name="20% - Accent3 2 7 2 2 5" xfId="17645" xr:uid="{5D02BE96-F5E7-4987-AC93-4BE13A8337A5}"/>
    <cellStyle name="20% - Accent3 2 7 2 3" xfId="39620" xr:uid="{D41E7D48-7A2B-4F03-976B-356728024577}"/>
    <cellStyle name="20% - Accent3 2 7 2 4" xfId="31172" xr:uid="{3535B6C6-539A-423D-B36C-A49273C45CDA}"/>
    <cellStyle name="20% - Accent3 2 7 2 5" xfId="22725" xr:uid="{7A01C7CF-E47C-46C8-A324-B7DF278472B1}"/>
    <cellStyle name="20% - Accent3 2 7 2 6" xfId="13428" xr:uid="{40BC6298-6C74-431B-8333-F1553BE66212}"/>
    <cellStyle name="20% - Accent3 2 7 3" xfId="6174" xr:uid="{00000000-0005-0000-0000-00008E010000}"/>
    <cellStyle name="20% - Accent3 2 7 3 2" xfId="41692" xr:uid="{4384AA05-F57C-427C-A572-61088BAD6DE4}"/>
    <cellStyle name="20% - Accent3 2 7 3 3" xfId="33245" xr:uid="{E1AB08DA-F7AC-4099-ACB1-235AD52FA04D}"/>
    <cellStyle name="20% - Accent3 2 7 3 4" xfId="24797" xr:uid="{B64965F4-9E36-4BEB-8E5D-A8E386D9987A}"/>
    <cellStyle name="20% - Accent3 2 7 3 5" xfId="15500" xr:uid="{E962A3FE-14BC-4EAB-9AD0-02AE0422616B}"/>
    <cellStyle name="20% - Accent3 2 7 4" xfId="37475" xr:uid="{EBAB78F8-FC7E-491B-914E-F0D77B8356A8}"/>
    <cellStyle name="20% - Accent3 2 7 5" xfId="29027" xr:uid="{CA83F99E-DC9A-400D-B6C4-83B38756CD26}"/>
    <cellStyle name="20% - Accent3 2 7 6" xfId="20580" xr:uid="{14746983-392B-4ACF-8070-F77A87CF2E7C}"/>
    <cellStyle name="20% - Accent3 2 7 7" xfId="11283" xr:uid="{5A96E509-B82E-41B4-8CE1-FE33BDC829A6}"/>
    <cellStyle name="20% - Accent3 2 8" xfId="2281" xr:uid="{00000000-0005-0000-0000-00008F010000}"/>
    <cellStyle name="20% - Accent3 2 8 2" xfId="6587" xr:uid="{00000000-0005-0000-0000-000090010000}"/>
    <cellStyle name="20% - Accent3 2 8 2 2" xfId="42105" xr:uid="{43A68015-05C6-410F-9AA2-83F9E6AB4BB6}"/>
    <cellStyle name="20% - Accent3 2 8 2 3" xfId="33658" xr:uid="{9C607CCD-5974-41EB-A4C1-ADA40B824960}"/>
    <cellStyle name="20% - Accent3 2 8 2 4" xfId="25210" xr:uid="{C2B7D3F3-EE91-4BC4-B6AC-ADD8857B4DA2}"/>
    <cellStyle name="20% - Accent3 2 8 2 5" xfId="15913" xr:uid="{5982A6A2-84C3-466A-A933-DEF514EAC855}"/>
    <cellStyle name="20% - Accent3 2 8 3" xfId="37888" xr:uid="{B2692DDB-EAAF-42A8-B1D6-5D224A5C42B3}"/>
    <cellStyle name="20% - Accent3 2 8 4" xfId="29440" xr:uid="{2B1EAC95-49F7-4525-9832-8AE8E3DC4FF5}"/>
    <cellStyle name="20% - Accent3 2 8 5" xfId="20993" xr:uid="{1F3785EA-524F-4C87-A974-038D95829DD8}"/>
    <cellStyle name="20% - Accent3 2 8 6" xfId="11696" xr:uid="{C89271C9-9A98-42A9-94F2-DA83985974BF}"/>
    <cellStyle name="20% - Accent3 2 9" xfId="4521" xr:uid="{00000000-0005-0000-0000-000091010000}"/>
    <cellStyle name="20% - Accent3 2 9 2" xfId="40039" xr:uid="{A734AC3C-121D-4AF3-8184-603529BF0E78}"/>
    <cellStyle name="20% - Accent3 2 9 3" xfId="31592" xr:uid="{C85ABD2F-90DA-4D0A-87E6-DCC53A199EC3}"/>
    <cellStyle name="20% - Accent3 2 9 4" xfId="23144" xr:uid="{DB401534-CABE-449D-B7CC-03180647D507}"/>
    <cellStyle name="20% - Accent3 2 9 5" xfId="13847" xr:uid="{0B65A632-4BB1-47C8-8F99-6D87D27CC9AD}"/>
    <cellStyle name="20% - Accent3 3" xfId="22" xr:uid="{00000000-0005-0000-0000-000092010000}"/>
    <cellStyle name="20% - Accent3 3 10" xfId="27378" xr:uid="{335A9C6E-26FC-4173-8D15-E7D79D4D6E35}"/>
    <cellStyle name="20% - Accent3 3 11" xfId="18931" xr:uid="{1C02EB1F-9AC7-41C8-800D-F774B3A800E0}"/>
    <cellStyle name="20% - Accent3 3 12" xfId="9634" xr:uid="{CD9B1299-1192-4DD3-BB3C-149E54C7F9D8}"/>
    <cellStyle name="20% - Accent3 3 2" xfId="23" xr:uid="{00000000-0005-0000-0000-000093010000}"/>
    <cellStyle name="20% - Accent3 3 2 10" xfId="18932" xr:uid="{5D84A66F-7B35-46A4-B3CD-CC199E157D98}"/>
    <cellStyle name="20% - Accent3 3 2 11" xfId="9635" xr:uid="{AA565575-9A1E-4FB2-ABA3-0F041B1605E9}"/>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42603" xr:uid="{BA5A86B1-9041-45BD-976A-AD11AF5FA401}"/>
    <cellStyle name="20% - Accent3 3 2 2 2 2 3" xfId="34156" xr:uid="{A62BEE29-82B8-437B-92D5-0CCC21706585}"/>
    <cellStyle name="20% - Accent3 3 2 2 2 2 4" xfId="25708" xr:uid="{0971CC22-8576-4C57-91E7-954783DCE1C7}"/>
    <cellStyle name="20% - Accent3 3 2 2 2 2 5" xfId="16411" xr:uid="{AD4E3FA8-4585-4C01-AEB0-CED4BF800869}"/>
    <cellStyle name="20% - Accent3 3 2 2 2 3" xfId="38386" xr:uid="{ED4A7CE1-BE2B-47F9-92B6-C9AC7B7D4103}"/>
    <cellStyle name="20% - Accent3 3 2 2 2 4" xfId="29938" xr:uid="{A2F847A8-19E8-4D90-9015-CDF8072F7062}"/>
    <cellStyle name="20% - Accent3 3 2 2 2 5" xfId="21491" xr:uid="{5DF92D72-B69B-4500-B516-31C829CEA877}"/>
    <cellStyle name="20% - Accent3 3 2 2 2 6" xfId="12194" xr:uid="{2494B782-9EB5-4440-AB25-10CFCE7E6025}"/>
    <cellStyle name="20% - Accent3 3 2 2 3" xfId="4940" xr:uid="{00000000-0005-0000-0000-000097010000}"/>
    <cellStyle name="20% - Accent3 3 2 2 3 2" xfId="40458" xr:uid="{F33F0519-0EC7-4172-9B42-11AF41A67B07}"/>
    <cellStyle name="20% - Accent3 3 2 2 3 3" xfId="32011" xr:uid="{0CDF792A-FD88-40D9-A44C-B07BF572ED65}"/>
    <cellStyle name="20% - Accent3 3 2 2 3 4" xfId="23563" xr:uid="{95CE07EB-8E92-439F-B471-F1491FC071B9}"/>
    <cellStyle name="20% - Accent3 3 2 2 3 5" xfId="14266" xr:uid="{A8DCC7EF-2DF9-4D47-9225-93951563B1E6}"/>
    <cellStyle name="20% - Accent3 3 2 2 4" xfId="9497" xr:uid="{43A0E151-F418-49A1-AF18-121DEB02B6D4}"/>
    <cellStyle name="20% - Accent3 3 2 2 4 2" xfId="36241" xr:uid="{E4695078-4654-4FED-883A-920D4CFFD46A}"/>
    <cellStyle name="20% - Accent3 3 2 2 4 3" xfId="18810" xr:uid="{7429E6B9-6BCF-43DF-B065-9ECC37AF18F1}"/>
    <cellStyle name="20% - Accent3 3 2 2 5" xfId="27793" xr:uid="{74F1A7EE-DB3D-45F3-81F4-C7FAA8F19F5D}"/>
    <cellStyle name="20% - Accent3 3 2 2 6" xfId="19346" xr:uid="{2618B6B9-74FC-4C6A-8FBC-29E782B6BCA0}"/>
    <cellStyle name="20% - Accent3 3 2 2 7" xfId="10049" xr:uid="{1D63B393-0A95-49E2-A847-E23003E230DF}"/>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43016" xr:uid="{E8EB09D8-8051-4D69-862A-285CC8948C42}"/>
    <cellStyle name="20% - Accent3 3 2 3 2 2 3" xfId="34569" xr:uid="{B739AFEE-6857-4EA5-9739-D72D77AE17B5}"/>
    <cellStyle name="20% - Accent3 3 2 3 2 2 4" xfId="26121" xr:uid="{E6DC738B-B4DB-4F0D-B536-8837656738EF}"/>
    <cellStyle name="20% - Accent3 3 2 3 2 2 5" xfId="16824" xr:uid="{07BF843E-60C6-438D-AD20-B778D90AA802}"/>
    <cellStyle name="20% - Accent3 3 2 3 2 3" xfId="38799" xr:uid="{444A9B49-F7A6-4E18-ABD7-86EE79F9C256}"/>
    <cellStyle name="20% - Accent3 3 2 3 2 4" xfId="30351" xr:uid="{DFA57651-4533-4403-B990-E20858082C5A}"/>
    <cellStyle name="20% - Accent3 3 2 3 2 5" xfId="21904" xr:uid="{096ED01A-8C49-4DD7-8BCB-27029BBCF37A}"/>
    <cellStyle name="20% - Accent3 3 2 3 2 6" xfId="12607" xr:uid="{07EF111B-A62D-4228-9F47-5559EC84E589}"/>
    <cellStyle name="20% - Accent3 3 2 3 3" xfId="5353" xr:uid="{00000000-0005-0000-0000-00009B010000}"/>
    <cellStyle name="20% - Accent3 3 2 3 3 2" xfId="40871" xr:uid="{9A4FEB86-95A2-4890-AAAF-BD9DA4FF9240}"/>
    <cellStyle name="20% - Accent3 3 2 3 3 3" xfId="32424" xr:uid="{9917C6D8-456A-4B71-B596-90ED28505388}"/>
    <cellStyle name="20% - Accent3 3 2 3 3 4" xfId="23976" xr:uid="{81267A83-EBBE-44E5-B181-B785AAF73B1E}"/>
    <cellStyle name="20% - Accent3 3 2 3 3 5" xfId="14679" xr:uid="{9AF847AE-8F99-4F06-B050-559BE42038CB}"/>
    <cellStyle name="20% - Accent3 3 2 3 4" xfId="36654" xr:uid="{B3381054-52B4-472E-B583-384FF0B3E016}"/>
    <cellStyle name="20% - Accent3 3 2 3 5" xfId="28206" xr:uid="{31C68029-A7E7-4673-902D-26801E8E510E}"/>
    <cellStyle name="20% - Accent3 3 2 3 6" xfId="19759" xr:uid="{59883141-2279-415F-9C15-7225669DE620}"/>
    <cellStyle name="20% - Accent3 3 2 3 7" xfId="10462" xr:uid="{F6D0AE68-71BA-4CB9-8307-0E8E1FBB1E6D}"/>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43429" xr:uid="{9644A617-9F59-404D-9C35-69ED767B9B27}"/>
    <cellStyle name="20% - Accent3 3 2 4 2 2 3" xfId="34982" xr:uid="{57E6F16F-87B7-401D-AF37-839D51DF9F6A}"/>
    <cellStyle name="20% - Accent3 3 2 4 2 2 4" xfId="26534" xr:uid="{CACF48FB-187A-4C2A-9E6C-B813733961DD}"/>
    <cellStyle name="20% - Accent3 3 2 4 2 2 5" xfId="17237" xr:uid="{237B75B7-8CEC-42F9-BE01-C60DCE7858EF}"/>
    <cellStyle name="20% - Accent3 3 2 4 2 3" xfId="39212" xr:uid="{49EBA291-5776-40A0-BA2D-0534162EA69F}"/>
    <cellStyle name="20% - Accent3 3 2 4 2 4" xfId="30764" xr:uid="{72B40DAF-0B2C-488F-BF78-9DD9885DDA73}"/>
    <cellStyle name="20% - Accent3 3 2 4 2 5" xfId="22317" xr:uid="{CBECCAEA-FB69-4961-A41E-0B649E0E4080}"/>
    <cellStyle name="20% - Accent3 3 2 4 2 6" xfId="13020" xr:uid="{633F9900-AD5D-4FB5-B6DC-B7972E4E53B0}"/>
    <cellStyle name="20% - Accent3 3 2 4 3" xfId="5766" xr:uid="{00000000-0005-0000-0000-00009F010000}"/>
    <cellStyle name="20% - Accent3 3 2 4 3 2" xfId="41284" xr:uid="{0499526C-DB29-415D-B7B5-5908FCEEF090}"/>
    <cellStyle name="20% - Accent3 3 2 4 3 3" xfId="32837" xr:uid="{61836B3B-FE37-488C-9465-A241FC6C8BA6}"/>
    <cellStyle name="20% - Accent3 3 2 4 3 4" xfId="24389" xr:uid="{4CDB79C6-D0FE-432E-ACD9-E4576D73AFD7}"/>
    <cellStyle name="20% - Accent3 3 2 4 3 5" xfId="15092" xr:uid="{041FC7A9-8F03-43E2-939E-5A11E2884CCE}"/>
    <cellStyle name="20% - Accent3 3 2 4 4" xfId="37067" xr:uid="{8D5B11D9-1048-43D9-9DEA-BB328788A52C}"/>
    <cellStyle name="20% - Accent3 3 2 4 5" xfId="28619" xr:uid="{BFE05DED-B666-41FA-B585-612151982802}"/>
    <cellStyle name="20% - Accent3 3 2 4 6" xfId="20172" xr:uid="{943D56A2-73FE-4247-AB4B-2413A7FDF32F}"/>
    <cellStyle name="20% - Accent3 3 2 4 7" xfId="10875" xr:uid="{693E03C3-02F3-4966-BE61-826975577BE3}"/>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43842" xr:uid="{4708FF3D-A5B3-4FE9-BF50-33730B7FEB9F}"/>
    <cellStyle name="20% - Accent3 3 2 5 2 2 3" xfId="35395" xr:uid="{41FA4615-439C-4D6B-A6AB-E38AF2725144}"/>
    <cellStyle name="20% - Accent3 3 2 5 2 2 4" xfId="26947" xr:uid="{5CABFC55-DED7-4627-9138-4417B34C69A1}"/>
    <cellStyle name="20% - Accent3 3 2 5 2 2 5" xfId="17650" xr:uid="{6CF8CFB2-21FD-4428-A901-12CC58AA7354}"/>
    <cellStyle name="20% - Accent3 3 2 5 2 3" xfId="39625" xr:uid="{07C4B4EE-09D2-448C-951D-58FFC9283969}"/>
    <cellStyle name="20% - Accent3 3 2 5 2 4" xfId="31177" xr:uid="{1DCF843D-4742-4DF8-9F12-2CCF89735761}"/>
    <cellStyle name="20% - Accent3 3 2 5 2 5" xfId="22730" xr:uid="{25C0D67C-F3B5-438B-8297-18AB5456E89A}"/>
    <cellStyle name="20% - Accent3 3 2 5 2 6" xfId="13433" xr:uid="{3DCAB513-0F56-4629-AC12-315AA97976E4}"/>
    <cellStyle name="20% - Accent3 3 2 5 3" xfId="6179" xr:uid="{00000000-0005-0000-0000-0000A3010000}"/>
    <cellStyle name="20% - Accent3 3 2 5 3 2" xfId="41697" xr:uid="{01ED7167-4ABB-4C36-BE48-87F0EBF5D134}"/>
    <cellStyle name="20% - Accent3 3 2 5 3 3" xfId="33250" xr:uid="{AA05FF03-2962-49C5-8FD2-B00B685B981E}"/>
    <cellStyle name="20% - Accent3 3 2 5 3 4" xfId="24802" xr:uid="{29AFD775-F20D-4D77-8ABB-E2C4C61330C7}"/>
    <cellStyle name="20% - Accent3 3 2 5 3 5" xfId="15505" xr:uid="{F607CC26-0DCA-4025-B222-D0DA796FE353}"/>
    <cellStyle name="20% - Accent3 3 2 5 4" xfId="37480" xr:uid="{CB33CB82-7FC3-492C-9C6F-D50A4A9B6470}"/>
    <cellStyle name="20% - Accent3 3 2 5 5" xfId="29032" xr:uid="{3F834892-6847-4D94-8382-77F116B5EFCA}"/>
    <cellStyle name="20% - Accent3 3 2 5 6" xfId="20585" xr:uid="{7787B466-8F3B-4E69-91FE-15BB15FB9DE0}"/>
    <cellStyle name="20% - Accent3 3 2 5 7" xfId="11288" xr:uid="{EB925EC2-ACB4-424F-A138-496F9E1E6F62}"/>
    <cellStyle name="20% - Accent3 3 2 6" xfId="2286" xr:uid="{00000000-0005-0000-0000-0000A4010000}"/>
    <cellStyle name="20% - Accent3 3 2 6 2" xfId="6592" xr:uid="{00000000-0005-0000-0000-0000A5010000}"/>
    <cellStyle name="20% - Accent3 3 2 6 2 2" xfId="42110" xr:uid="{896C05CA-BC1B-45C5-B101-EB0BFF87B7FB}"/>
    <cellStyle name="20% - Accent3 3 2 6 2 3" xfId="33663" xr:uid="{1AE316A0-51F9-4738-8C2F-3085818B5557}"/>
    <cellStyle name="20% - Accent3 3 2 6 2 4" xfId="25215" xr:uid="{E98661C4-5686-4056-868C-0BC9DBF34594}"/>
    <cellStyle name="20% - Accent3 3 2 6 2 5" xfId="15918" xr:uid="{EF8B703E-0327-44D6-9B66-4EE6C83B8ACA}"/>
    <cellStyle name="20% - Accent3 3 2 6 3" xfId="37893" xr:uid="{88B9E105-EEA5-44DA-82F9-D1CA37B1D0ED}"/>
    <cellStyle name="20% - Accent3 3 2 6 4" xfId="29445" xr:uid="{E20C5FAF-B7CC-4E57-B899-C11A1414FFFB}"/>
    <cellStyle name="20% - Accent3 3 2 6 5" xfId="20998" xr:uid="{AE8A8946-5A26-4380-ACC0-D3155EFDAB9C}"/>
    <cellStyle name="20% - Accent3 3 2 6 6" xfId="11701" xr:uid="{2372FBAE-C790-4A5C-BFE6-8DFCF9D4ED2A}"/>
    <cellStyle name="20% - Accent3 3 2 7" xfId="4526" xr:uid="{00000000-0005-0000-0000-0000A6010000}"/>
    <cellStyle name="20% - Accent3 3 2 7 2" xfId="40044" xr:uid="{4F951457-4166-45A6-B367-9B2945E32346}"/>
    <cellStyle name="20% - Accent3 3 2 7 3" xfId="31597" xr:uid="{BC1E0B07-8A9E-456A-B2F9-295D14E90F44}"/>
    <cellStyle name="20% - Accent3 3 2 7 4" xfId="23149" xr:uid="{D2FA120C-FD6E-47B3-8ADB-BEE56BE77605}"/>
    <cellStyle name="20% - Accent3 3 2 7 5" xfId="13852" xr:uid="{58A28C4F-9815-4E93-A32A-E03FD16679BA}"/>
    <cellStyle name="20% - Accent3 3 2 8" xfId="9072" xr:uid="{422EC144-F6F8-460E-8B93-316BBF9707FB}"/>
    <cellStyle name="20% - Accent3 3 2 8 2" xfId="35827" xr:uid="{868AA24F-273B-4CE8-8FBA-7F1EFF00E8E3}"/>
    <cellStyle name="20% - Accent3 3 2 8 3" xfId="18395" xr:uid="{C61B28D1-0C39-4D86-8400-E7268FDAA070}"/>
    <cellStyle name="20% - Accent3 3 2 9" xfId="27379" xr:uid="{80A31AA3-B3B5-4396-BFF6-B0C8C791A7DB}"/>
    <cellStyle name="20% - Accent3 3 3" xfId="591" xr:uid="{00000000-0005-0000-0000-0000A7010000}"/>
    <cellStyle name="20% - Accent3 3 3 2" xfId="2862" xr:uid="{00000000-0005-0000-0000-0000A8010000}"/>
    <cellStyle name="20% - Accent3 3 3 2 2" xfId="7084" xr:uid="{00000000-0005-0000-0000-0000A9010000}"/>
    <cellStyle name="20% - Accent3 3 3 2 2 2" xfId="42602" xr:uid="{B0422335-589C-4F59-93F4-DBFF4B9F0216}"/>
    <cellStyle name="20% - Accent3 3 3 2 2 3" xfId="34155" xr:uid="{9D510D9C-E5E1-46BF-94CA-F0E07FCBECD2}"/>
    <cellStyle name="20% - Accent3 3 3 2 2 4" xfId="25707" xr:uid="{405C2CBF-5152-42B1-B097-4719AE2ECECC}"/>
    <cellStyle name="20% - Accent3 3 3 2 2 5" xfId="16410" xr:uid="{6DB5746E-226B-4C07-B01F-B4212D8543E6}"/>
    <cellStyle name="20% - Accent3 3 3 2 3" xfId="38385" xr:uid="{22BF47E5-CF25-4214-8627-41FF30E890A4}"/>
    <cellStyle name="20% - Accent3 3 3 2 4" xfId="29937" xr:uid="{D6D0B94C-F59B-4C7E-9153-3D8A071C0252}"/>
    <cellStyle name="20% - Accent3 3 3 2 5" xfId="21490" xr:uid="{54598304-F25C-444F-9438-E5F0B5330EB1}"/>
    <cellStyle name="20% - Accent3 3 3 2 6" xfId="12193" xr:uid="{87A37790-9601-4000-BB44-617C694770E5}"/>
    <cellStyle name="20% - Accent3 3 3 3" xfId="4939" xr:uid="{00000000-0005-0000-0000-0000AA010000}"/>
    <cellStyle name="20% - Accent3 3 3 3 2" xfId="40457" xr:uid="{3DCFB4E7-467A-455D-A3DF-AA6057844708}"/>
    <cellStyle name="20% - Accent3 3 3 3 3" xfId="32010" xr:uid="{F7F73935-93F3-4AB3-BFA5-23122F3C3BCC}"/>
    <cellStyle name="20% - Accent3 3 3 3 4" xfId="23562" xr:uid="{EC0F618D-9815-42FE-9B70-B9B223DB92DC}"/>
    <cellStyle name="20% - Accent3 3 3 3 5" xfId="14265" xr:uid="{C3E856D5-16C0-4A08-9F22-4D476AA6C26A}"/>
    <cellStyle name="20% - Accent3 3 3 4" xfId="9290" xr:uid="{8511D0A3-BAF4-4D49-BFEA-2ED828678819}"/>
    <cellStyle name="20% - Accent3 3 3 4 2" xfId="36240" xr:uid="{DDA64DC2-EE21-428D-9F3C-63C909BC47C4}"/>
    <cellStyle name="20% - Accent3 3 3 4 3" xfId="18603" xr:uid="{55F29ADF-CA44-4678-89DC-C810865BC47C}"/>
    <cellStyle name="20% - Accent3 3 3 5" xfId="27792" xr:uid="{16940DD2-50CA-41B6-AD7B-B8D944895675}"/>
    <cellStyle name="20% - Accent3 3 3 6" xfId="19345" xr:uid="{3A3290B8-5227-4AE9-95F3-E00A74AC7F71}"/>
    <cellStyle name="20% - Accent3 3 3 7" xfId="10048" xr:uid="{4A906D51-DCEC-4F43-B9A1-E758AEF05E88}"/>
    <cellStyle name="20% - Accent3 3 4" xfId="1044" xr:uid="{00000000-0005-0000-0000-0000AB010000}"/>
    <cellStyle name="20% - Accent3 3 4 2" xfId="3275" xr:uid="{00000000-0005-0000-0000-0000AC010000}"/>
    <cellStyle name="20% - Accent3 3 4 2 2" xfId="7497" xr:uid="{00000000-0005-0000-0000-0000AD010000}"/>
    <cellStyle name="20% - Accent3 3 4 2 2 2" xfId="43015" xr:uid="{3840204E-24CE-4737-8458-BFDE9348F272}"/>
    <cellStyle name="20% - Accent3 3 4 2 2 3" xfId="34568" xr:uid="{24BD9623-9936-41CA-B04F-92F6336663E8}"/>
    <cellStyle name="20% - Accent3 3 4 2 2 4" xfId="26120" xr:uid="{EF22F103-F05D-4E77-8291-FC3095A19C74}"/>
    <cellStyle name="20% - Accent3 3 4 2 2 5" xfId="16823" xr:uid="{3FC371A9-0A4D-403A-AC0E-80E719A67F5A}"/>
    <cellStyle name="20% - Accent3 3 4 2 3" xfId="38798" xr:uid="{43CCF577-9B77-4078-82B5-B823153D3DC8}"/>
    <cellStyle name="20% - Accent3 3 4 2 4" xfId="30350" xr:uid="{7431BD6D-42E9-4765-922E-D5C58759DB73}"/>
    <cellStyle name="20% - Accent3 3 4 2 5" xfId="21903" xr:uid="{FCACE5DE-E082-4C17-AAE2-B822E5F0B49A}"/>
    <cellStyle name="20% - Accent3 3 4 2 6" xfId="12606" xr:uid="{C9058BC0-5FE3-484F-B18C-C5A92EC2B436}"/>
    <cellStyle name="20% - Accent3 3 4 3" xfId="5352" xr:uid="{00000000-0005-0000-0000-0000AE010000}"/>
    <cellStyle name="20% - Accent3 3 4 3 2" xfId="40870" xr:uid="{DA4C10EE-BB03-416F-865A-2B088F8D1AA9}"/>
    <cellStyle name="20% - Accent3 3 4 3 3" xfId="32423" xr:uid="{4E16F281-7796-422E-8852-B7F1E1A6CC02}"/>
    <cellStyle name="20% - Accent3 3 4 3 4" xfId="23975" xr:uid="{BAF457FE-B631-472C-BC90-E86F0A445264}"/>
    <cellStyle name="20% - Accent3 3 4 3 5" xfId="14678" xr:uid="{22D6B6E0-8D36-4481-9ECB-F0E9AC0D488A}"/>
    <cellStyle name="20% - Accent3 3 4 4" xfId="36653" xr:uid="{B40EC8D2-4B34-48A3-A157-15051DDA1AE4}"/>
    <cellStyle name="20% - Accent3 3 4 5" xfId="28205" xr:uid="{33C871D8-8758-462A-9114-6373FA2738C5}"/>
    <cellStyle name="20% - Accent3 3 4 6" xfId="19758" xr:uid="{E89F36FF-812D-44C4-A37A-7F844E16DD20}"/>
    <cellStyle name="20% - Accent3 3 4 7" xfId="10461" xr:uid="{DEBE267D-BB74-44A2-85EB-CB7F8FB1D404}"/>
    <cellStyle name="20% - Accent3 3 5" xfId="1458" xr:uid="{00000000-0005-0000-0000-0000AF010000}"/>
    <cellStyle name="20% - Accent3 3 5 2" xfId="3688" xr:uid="{00000000-0005-0000-0000-0000B0010000}"/>
    <cellStyle name="20% - Accent3 3 5 2 2" xfId="7910" xr:uid="{00000000-0005-0000-0000-0000B1010000}"/>
    <cellStyle name="20% - Accent3 3 5 2 2 2" xfId="43428" xr:uid="{4B4DCEE0-A7C7-40EE-90A2-6EFEC0CD7997}"/>
    <cellStyle name="20% - Accent3 3 5 2 2 3" xfId="34981" xr:uid="{2114C2DE-3724-409D-9FB7-4C785A3257EC}"/>
    <cellStyle name="20% - Accent3 3 5 2 2 4" xfId="26533" xr:uid="{AB286FF1-E7CA-4C43-AADC-4ECA1BF1B31C}"/>
    <cellStyle name="20% - Accent3 3 5 2 2 5" xfId="17236" xr:uid="{EF345D9B-B738-4CD8-B9B8-8EE0F2033FE2}"/>
    <cellStyle name="20% - Accent3 3 5 2 3" xfId="39211" xr:uid="{9F066BAD-D177-403B-8EDE-161A2595A146}"/>
    <cellStyle name="20% - Accent3 3 5 2 4" xfId="30763" xr:uid="{72D3B88A-C234-4070-ADA3-D802C67551E2}"/>
    <cellStyle name="20% - Accent3 3 5 2 5" xfId="22316" xr:uid="{59282A19-1C2A-4CA8-877F-BBB5F7EEE001}"/>
    <cellStyle name="20% - Accent3 3 5 2 6" xfId="13019" xr:uid="{D37AAAAF-7511-445F-BBA0-6524664C086B}"/>
    <cellStyle name="20% - Accent3 3 5 3" xfId="5765" xr:uid="{00000000-0005-0000-0000-0000B2010000}"/>
    <cellStyle name="20% - Accent3 3 5 3 2" xfId="41283" xr:uid="{37CC6D3E-9814-4B33-8EAC-613A1F63E410}"/>
    <cellStyle name="20% - Accent3 3 5 3 3" xfId="32836" xr:uid="{356A14DC-3BFC-4F35-B9BD-E9D152F6DB7A}"/>
    <cellStyle name="20% - Accent3 3 5 3 4" xfId="24388" xr:uid="{CA9FFF88-A021-4D5C-BC90-96EF58A93A23}"/>
    <cellStyle name="20% - Accent3 3 5 3 5" xfId="15091" xr:uid="{F8741900-8D55-48BB-A367-5B63D61A030E}"/>
    <cellStyle name="20% - Accent3 3 5 4" xfId="37066" xr:uid="{DBE78F97-C476-44AC-9AF8-8B121BA573DF}"/>
    <cellStyle name="20% - Accent3 3 5 5" xfId="28618" xr:uid="{6299583B-6956-4BD0-A038-DA55F4831B8D}"/>
    <cellStyle name="20% - Accent3 3 5 6" xfId="20171" xr:uid="{79C9E03D-4B07-49D8-BC69-9C9C17F1E275}"/>
    <cellStyle name="20% - Accent3 3 5 7" xfId="10874" xr:uid="{90299206-CDFA-44F6-8F73-8D9F15B7DBFB}"/>
    <cellStyle name="20% - Accent3 3 6" xfId="1872" xr:uid="{00000000-0005-0000-0000-0000B3010000}"/>
    <cellStyle name="20% - Accent3 3 6 2" xfId="4101" xr:uid="{00000000-0005-0000-0000-0000B4010000}"/>
    <cellStyle name="20% - Accent3 3 6 2 2" xfId="8323" xr:uid="{00000000-0005-0000-0000-0000B5010000}"/>
    <cellStyle name="20% - Accent3 3 6 2 2 2" xfId="43841" xr:uid="{42DEF78C-4B5A-4F17-90E1-57134841FEDE}"/>
    <cellStyle name="20% - Accent3 3 6 2 2 3" xfId="35394" xr:uid="{5865B8AA-9727-41AE-ABAA-118D207BFDF2}"/>
    <cellStyle name="20% - Accent3 3 6 2 2 4" xfId="26946" xr:uid="{D27AD85F-0786-40E7-A5A3-5812678C0579}"/>
    <cellStyle name="20% - Accent3 3 6 2 2 5" xfId="17649" xr:uid="{25F09752-009C-4A84-8F53-7B4AFF18333A}"/>
    <cellStyle name="20% - Accent3 3 6 2 3" xfId="39624" xr:uid="{150784F2-BCD6-44AB-B8F4-68C0136F0F1F}"/>
    <cellStyle name="20% - Accent3 3 6 2 4" xfId="31176" xr:uid="{B44EC0CB-9DBE-4532-8F96-39BABB2BD051}"/>
    <cellStyle name="20% - Accent3 3 6 2 5" xfId="22729" xr:uid="{B237BED2-07CB-4FCB-A732-C5503D6DB3DA}"/>
    <cellStyle name="20% - Accent3 3 6 2 6" xfId="13432" xr:uid="{4B5936F4-F440-423E-9D95-B10CF6C3B783}"/>
    <cellStyle name="20% - Accent3 3 6 3" xfId="6178" xr:uid="{00000000-0005-0000-0000-0000B6010000}"/>
    <cellStyle name="20% - Accent3 3 6 3 2" xfId="41696" xr:uid="{726D9563-0AE7-421F-BBC2-B13171459725}"/>
    <cellStyle name="20% - Accent3 3 6 3 3" xfId="33249" xr:uid="{36407668-FFB5-41C0-AFA4-C08EC2724E54}"/>
    <cellStyle name="20% - Accent3 3 6 3 4" xfId="24801" xr:uid="{7D4AF395-CCAE-457C-91ED-5C71CC203C02}"/>
    <cellStyle name="20% - Accent3 3 6 3 5" xfId="15504" xr:uid="{2CA2AF89-6581-49D9-BD92-98C14D346A23}"/>
    <cellStyle name="20% - Accent3 3 6 4" xfId="37479" xr:uid="{24BCB062-82AB-49F4-B2F1-7F115F80EEA3}"/>
    <cellStyle name="20% - Accent3 3 6 5" xfId="29031" xr:uid="{570A92A2-EBA9-452A-955D-B655A4F54810}"/>
    <cellStyle name="20% - Accent3 3 6 6" xfId="20584" xr:uid="{23D28BA3-3FBF-4C34-BCD4-E9150027A3FC}"/>
    <cellStyle name="20% - Accent3 3 6 7" xfId="11287" xr:uid="{C6B8D348-3D2E-4058-9812-101A3FB9F353}"/>
    <cellStyle name="20% - Accent3 3 7" xfId="2285" xr:uid="{00000000-0005-0000-0000-0000B7010000}"/>
    <cellStyle name="20% - Accent3 3 7 2" xfId="6591" xr:uid="{00000000-0005-0000-0000-0000B8010000}"/>
    <cellStyle name="20% - Accent3 3 7 2 2" xfId="42109" xr:uid="{67C36B8D-CC2F-4F0E-B878-B056574C8B00}"/>
    <cellStyle name="20% - Accent3 3 7 2 3" xfId="33662" xr:uid="{3580B1EA-6B11-4DDF-B9C3-976E3D2B9785}"/>
    <cellStyle name="20% - Accent3 3 7 2 4" xfId="25214" xr:uid="{EC40D6CE-D747-432F-9BD6-D58C5E16CEB1}"/>
    <cellStyle name="20% - Accent3 3 7 2 5" xfId="15917" xr:uid="{00346A0C-5A72-4620-BB69-BE21AA8F6CAB}"/>
    <cellStyle name="20% - Accent3 3 7 3" xfId="37892" xr:uid="{BD010F49-FC72-431B-B55A-7AD01AD7A69D}"/>
    <cellStyle name="20% - Accent3 3 7 4" xfId="29444" xr:uid="{D4989576-8E2C-4E41-8AF4-948B0B1C2264}"/>
    <cellStyle name="20% - Accent3 3 7 5" xfId="20997" xr:uid="{9AE893CA-3ADE-4AB2-8CF7-0A5837D87580}"/>
    <cellStyle name="20% - Accent3 3 7 6" xfId="11700" xr:uid="{2E8717F8-3552-42C0-89B7-EF0336E35F22}"/>
    <cellStyle name="20% - Accent3 3 8" xfId="4525" xr:uid="{00000000-0005-0000-0000-0000B9010000}"/>
    <cellStyle name="20% - Accent3 3 8 2" xfId="40043" xr:uid="{70156D42-C033-478C-98D5-13CF4E46EA5A}"/>
    <cellStyle name="20% - Accent3 3 8 3" xfId="31596" xr:uid="{A395ED3B-B577-438E-8492-EA56DDBDDDA1}"/>
    <cellStyle name="20% - Accent3 3 8 4" xfId="23148" xr:uid="{7EEA4B97-6511-4B39-81B8-27E80E4534FE}"/>
    <cellStyle name="20% - Accent3 3 8 5" xfId="13851" xr:uid="{E9F4F897-3ED5-4117-8E67-A52BCBB63A5B}"/>
    <cellStyle name="20% - Accent3 3 9" xfId="8865" xr:uid="{FFA3EBA3-F40D-47A2-8AA1-A3A9E7BB9A8E}"/>
    <cellStyle name="20% - Accent3 3 9 2" xfId="35826" xr:uid="{CE6E52A7-D14F-445E-927B-1BA745D386E1}"/>
    <cellStyle name="20% - Accent3 3 9 3" xfId="18188" xr:uid="{984163D2-9C93-467D-94ED-D3924E03F7A9}"/>
    <cellStyle name="20% - Accent3 4" xfId="24" xr:uid="{00000000-0005-0000-0000-0000BA010000}"/>
    <cellStyle name="20% - Accent3 4 10" xfId="18933" xr:uid="{510C1B89-7369-49BC-83B3-89C4394F4F88}"/>
    <cellStyle name="20% - Accent3 4 11" xfId="9636" xr:uid="{6C729BD0-9923-460B-84BE-A3AA16A17DB5}"/>
    <cellStyle name="20% - Accent3 4 2" xfId="593" xr:uid="{00000000-0005-0000-0000-0000BB010000}"/>
    <cellStyle name="20% - Accent3 4 2 2" xfId="2864" xr:uid="{00000000-0005-0000-0000-0000BC010000}"/>
    <cellStyle name="20% - Accent3 4 2 2 2" xfId="7086" xr:uid="{00000000-0005-0000-0000-0000BD010000}"/>
    <cellStyle name="20% - Accent3 4 2 2 2 2" xfId="42604" xr:uid="{F98FCAC9-7C3D-4E4B-A45F-AA67B95E4DAF}"/>
    <cellStyle name="20% - Accent3 4 2 2 2 3" xfId="34157" xr:uid="{C448F1B5-2D07-434B-BA7E-376450CF5DA7}"/>
    <cellStyle name="20% - Accent3 4 2 2 2 4" xfId="25709" xr:uid="{8D3066F4-A4E1-43F8-B5F8-18F6C99AB1C5}"/>
    <cellStyle name="20% - Accent3 4 2 2 2 5" xfId="16412" xr:uid="{13E326C4-A72A-4DBF-8191-F66457DFEBDE}"/>
    <cellStyle name="20% - Accent3 4 2 2 3" xfId="38387" xr:uid="{1AE5C9A5-38D1-4618-A188-A928F564505B}"/>
    <cellStyle name="20% - Accent3 4 2 2 4" xfId="29939" xr:uid="{C68D1313-3B87-472C-9951-4611CE327F71}"/>
    <cellStyle name="20% - Accent3 4 2 2 5" xfId="21492" xr:uid="{EFAF7300-3ADD-432E-815E-84DA90C37941}"/>
    <cellStyle name="20% - Accent3 4 2 2 6" xfId="12195" xr:uid="{12B1E7A7-26F0-4A5F-BC5F-CBE61FBE2F27}"/>
    <cellStyle name="20% - Accent3 4 2 3" xfId="4941" xr:uid="{00000000-0005-0000-0000-0000BE010000}"/>
    <cellStyle name="20% - Accent3 4 2 3 2" xfId="40459" xr:uid="{7160EA6D-1443-47E7-8619-BCD34C54EBE4}"/>
    <cellStyle name="20% - Accent3 4 2 3 3" xfId="32012" xr:uid="{24157EBD-E664-4420-A5DA-2C6F101FD7AA}"/>
    <cellStyle name="20% - Accent3 4 2 3 4" xfId="23564" xr:uid="{2AB7BFCB-E94E-42F7-AA57-8A246E810705}"/>
    <cellStyle name="20% - Accent3 4 2 3 5" xfId="14267" xr:uid="{0F28C419-AC27-419F-BA27-47364985D84A}"/>
    <cellStyle name="20% - Accent3 4 2 4" xfId="9376" xr:uid="{92AC27CA-0B0B-4AFE-8457-D3F19BE2837F}"/>
    <cellStyle name="20% - Accent3 4 2 4 2" xfId="36242" xr:uid="{BFBA04BC-C2A6-4B8B-84AF-CBA1C530DB70}"/>
    <cellStyle name="20% - Accent3 4 2 4 3" xfId="18689" xr:uid="{CB6D0DB1-3916-4A66-8A1D-A5E2C62002C0}"/>
    <cellStyle name="20% - Accent3 4 2 5" xfId="27794" xr:uid="{B85C7E89-E1B1-4A4C-B43F-1E5F3F243D3D}"/>
    <cellStyle name="20% - Accent3 4 2 6" xfId="19347" xr:uid="{13D63C0B-5E93-451D-8F30-8F6BD41B6E18}"/>
    <cellStyle name="20% - Accent3 4 2 7" xfId="10050" xr:uid="{4FFDCBD6-E7A5-4AB6-9682-1ED70E6E7E1A}"/>
    <cellStyle name="20% - Accent3 4 3" xfId="1046" xr:uid="{00000000-0005-0000-0000-0000BF010000}"/>
    <cellStyle name="20% - Accent3 4 3 2" xfId="3277" xr:uid="{00000000-0005-0000-0000-0000C0010000}"/>
    <cellStyle name="20% - Accent3 4 3 2 2" xfId="7499" xr:uid="{00000000-0005-0000-0000-0000C1010000}"/>
    <cellStyle name="20% - Accent3 4 3 2 2 2" xfId="43017" xr:uid="{18147B52-0ED2-4015-8F54-393F73E9CCD0}"/>
    <cellStyle name="20% - Accent3 4 3 2 2 3" xfId="34570" xr:uid="{26097E77-1742-4026-A230-997F0202A118}"/>
    <cellStyle name="20% - Accent3 4 3 2 2 4" xfId="26122" xr:uid="{F6D0BFFB-A319-4775-A8D9-AA8DB6A98C22}"/>
    <cellStyle name="20% - Accent3 4 3 2 2 5" xfId="16825" xr:uid="{13622175-37F0-4576-A58E-A1C781E9207D}"/>
    <cellStyle name="20% - Accent3 4 3 2 3" xfId="38800" xr:uid="{F7F32F6B-7EB5-444B-87BC-D9434DF6D754}"/>
    <cellStyle name="20% - Accent3 4 3 2 4" xfId="30352" xr:uid="{F32CBE7C-1479-4A5C-8073-F40581DBDEC8}"/>
    <cellStyle name="20% - Accent3 4 3 2 5" xfId="21905" xr:uid="{4D40CF24-12E1-45B8-93EB-CE420900442D}"/>
    <cellStyle name="20% - Accent3 4 3 2 6" xfId="12608" xr:uid="{E7BDAF7E-7BB5-4E3D-8A96-B951E595C6CB}"/>
    <cellStyle name="20% - Accent3 4 3 3" xfId="5354" xr:uid="{00000000-0005-0000-0000-0000C2010000}"/>
    <cellStyle name="20% - Accent3 4 3 3 2" xfId="40872" xr:uid="{14DFD8B4-1D86-48CC-83A1-16AB5B506063}"/>
    <cellStyle name="20% - Accent3 4 3 3 3" xfId="32425" xr:uid="{237C6C91-0BCF-4DF9-9E60-C1D8DAB8411D}"/>
    <cellStyle name="20% - Accent3 4 3 3 4" xfId="23977" xr:uid="{BA948AF1-C361-43F6-8FA9-899C4E09092C}"/>
    <cellStyle name="20% - Accent3 4 3 3 5" xfId="14680" xr:uid="{25B5CF71-AF4A-4EF5-8B5B-0B3B95304E44}"/>
    <cellStyle name="20% - Accent3 4 3 4" xfId="36655" xr:uid="{DB74EFD9-70A9-45D6-A8FA-DD0F67D9E805}"/>
    <cellStyle name="20% - Accent3 4 3 5" xfId="28207" xr:uid="{AA1C06F0-7858-4542-A3F2-E2D7942DE9DD}"/>
    <cellStyle name="20% - Accent3 4 3 6" xfId="19760" xr:uid="{74D3A888-29BD-4129-A901-6F079124D4EF}"/>
    <cellStyle name="20% - Accent3 4 3 7" xfId="10463" xr:uid="{E0403232-5B80-4923-940C-38B9BCAA487C}"/>
    <cellStyle name="20% - Accent3 4 4" xfId="1460" xr:uid="{00000000-0005-0000-0000-0000C3010000}"/>
    <cellStyle name="20% - Accent3 4 4 2" xfId="3690" xr:uid="{00000000-0005-0000-0000-0000C4010000}"/>
    <cellStyle name="20% - Accent3 4 4 2 2" xfId="7912" xr:uid="{00000000-0005-0000-0000-0000C5010000}"/>
    <cellStyle name="20% - Accent3 4 4 2 2 2" xfId="43430" xr:uid="{C8ADE24B-6E74-4BE1-A53B-1971AB485C77}"/>
    <cellStyle name="20% - Accent3 4 4 2 2 3" xfId="34983" xr:uid="{D39D27BB-A6C0-4731-AC3C-DFB79E9A8CA4}"/>
    <cellStyle name="20% - Accent3 4 4 2 2 4" xfId="26535" xr:uid="{20C27F51-C5C6-4D05-B9A2-05B01C36A660}"/>
    <cellStyle name="20% - Accent3 4 4 2 2 5" xfId="17238" xr:uid="{7EFA83F1-2281-44AD-9F23-09994B02D6E2}"/>
    <cellStyle name="20% - Accent3 4 4 2 3" xfId="39213" xr:uid="{EC29F8C2-2DD5-402D-B396-A377ACF8AF6B}"/>
    <cellStyle name="20% - Accent3 4 4 2 4" xfId="30765" xr:uid="{5C15B3A5-E58C-42A3-9B87-A90A17B63471}"/>
    <cellStyle name="20% - Accent3 4 4 2 5" xfId="22318" xr:uid="{BD3FF4B1-F6A9-4D17-A2B7-73877E54630A}"/>
    <cellStyle name="20% - Accent3 4 4 2 6" xfId="13021" xr:uid="{E9875657-8F98-405B-B69C-F11D1603F8AE}"/>
    <cellStyle name="20% - Accent3 4 4 3" xfId="5767" xr:uid="{00000000-0005-0000-0000-0000C6010000}"/>
    <cellStyle name="20% - Accent3 4 4 3 2" xfId="41285" xr:uid="{DCDAF834-49D6-4C52-A28F-0A0B438E5580}"/>
    <cellStyle name="20% - Accent3 4 4 3 3" xfId="32838" xr:uid="{1CB80F32-9A23-409E-8656-B907F5672259}"/>
    <cellStyle name="20% - Accent3 4 4 3 4" xfId="24390" xr:uid="{6634F55B-C73D-4E8D-BC1D-2C783A2B3F47}"/>
    <cellStyle name="20% - Accent3 4 4 3 5" xfId="15093" xr:uid="{C0FCDB6D-7AFF-447B-AF07-0CCAEA1C38BF}"/>
    <cellStyle name="20% - Accent3 4 4 4" xfId="37068" xr:uid="{20FC9508-53B4-4743-B478-3F2FF3DB41F4}"/>
    <cellStyle name="20% - Accent3 4 4 5" xfId="28620" xr:uid="{A0CC8AD4-9676-4B18-8E4E-F1C5CE825CD1}"/>
    <cellStyle name="20% - Accent3 4 4 6" xfId="20173" xr:uid="{B3A140E1-E0B0-40E4-B942-DF53F8799487}"/>
    <cellStyle name="20% - Accent3 4 4 7" xfId="10876" xr:uid="{C6C0130A-2BF9-4752-83D9-BB8A5055FB80}"/>
    <cellStyle name="20% - Accent3 4 5" xfId="1874" xr:uid="{00000000-0005-0000-0000-0000C7010000}"/>
    <cellStyle name="20% - Accent3 4 5 2" xfId="4103" xr:uid="{00000000-0005-0000-0000-0000C8010000}"/>
    <cellStyle name="20% - Accent3 4 5 2 2" xfId="8325" xr:uid="{00000000-0005-0000-0000-0000C9010000}"/>
    <cellStyle name="20% - Accent3 4 5 2 2 2" xfId="43843" xr:uid="{6FB8C3C2-C80A-403E-A3BF-3428C5D59EB0}"/>
    <cellStyle name="20% - Accent3 4 5 2 2 3" xfId="35396" xr:uid="{569E748E-1D76-497F-8E71-D7596BBAA2F0}"/>
    <cellStyle name="20% - Accent3 4 5 2 2 4" xfId="26948" xr:uid="{F3648338-CC71-4DCB-8B56-2AE87109A7DF}"/>
    <cellStyle name="20% - Accent3 4 5 2 2 5" xfId="17651" xr:uid="{0F7A9EC5-F741-46B1-A988-E175849CCCD1}"/>
    <cellStyle name="20% - Accent3 4 5 2 3" xfId="39626" xr:uid="{1B144792-4274-4600-ABDC-324F094B416F}"/>
    <cellStyle name="20% - Accent3 4 5 2 4" xfId="31178" xr:uid="{36E8D349-61B0-4857-85DA-B4F871401A68}"/>
    <cellStyle name="20% - Accent3 4 5 2 5" xfId="22731" xr:uid="{32708B0D-03E3-42C8-914D-4CEAC3DF9DF5}"/>
    <cellStyle name="20% - Accent3 4 5 2 6" xfId="13434" xr:uid="{9A0408EE-AC5B-4E2E-86A5-084E87BF5CC6}"/>
    <cellStyle name="20% - Accent3 4 5 3" xfId="6180" xr:uid="{00000000-0005-0000-0000-0000CA010000}"/>
    <cellStyle name="20% - Accent3 4 5 3 2" xfId="41698" xr:uid="{3626126C-6FA3-4F7F-89EA-8FBCE7FCAE5B}"/>
    <cellStyle name="20% - Accent3 4 5 3 3" xfId="33251" xr:uid="{94494D98-68E1-43C3-8C04-6A104EB1921E}"/>
    <cellStyle name="20% - Accent3 4 5 3 4" xfId="24803" xr:uid="{6AAA76D3-1EB1-48DF-BEB1-65C1F544EA92}"/>
    <cellStyle name="20% - Accent3 4 5 3 5" xfId="15506" xr:uid="{4E68E516-BECF-4EEF-BE87-5F7F81DD3096}"/>
    <cellStyle name="20% - Accent3 4 5 4" xfId="37481" xr:uid="{EFD1CAA7-B117-427E-9533-729BEF3B70A6}"/>
    <cellStyle name="20% - Accent3 4 5 5" xfId="29033" xr:uid="{CE030A9A-B1CA-4727-A5C6-7304BE6EB906}"/>
    <cellStyle name="20% - Accent3 4 5 6" xfId="20586" xr:uid="{CDB49146-792A-4CAD-84AB-54933C89CB18}"/>
    <cellStyle name="20% - Accent3 4 5 7" xfId="11289" xr:uid="{94B4C53A-39ED-4D31-9D56-A53E12C08253}"/>
    <cellStyle name="20% - Accent3 4 6" xfId="2287" xr:uid="{00000000-0005-0000-0000-0000CB010000}"/>
    <cellStyle name="20% - Accent3 4 6 2" xfId="6593" xr:uid="{00000000-0005-0000-0000-0000CC010000}"/>
    <cellStyle name="20% - Accent3 4 6 2 2" xfId="42111" xr:uid="{40809BA8-FC05-4FFA-8055-E3AAE6AEB5DA}"/>
    <cellStyle name="20% - Accent3 4 6 2 3" xfId="33664" xr:uid="{8E166526-2FB4-48E8-9C20-C52F6CDC58BC}"/>
    <cellStyle name="20% - Accent3 4 6 2 4" xfId="25216" xr:uid="{B3953D12-DEFC-4D4B-96BE-20F6ECFF4F18}"/>
    <cellStyle name="20% - Accent3 4 6 2 5" xfId="15919" xr:uid="{FD1EEDEC-E4F7-4F07-B551-7D3FD9FD605D}"/>
    <cellStyle name="20% - Accent3 4 6 3" xfId="37894" xr:uid="{C76CC9CF-9DD6-442E-AEFC-2E9638AAAB58}"/>
    <cellStyle name="20% - Accent3 4 6 4" xfId="29446" xr:uid="{DA1E15AA-61EA-4620-8F3F-EFB23B4249E5}"/>
    <cellStyle name="20% - Accent3 4 6 5" xfId="20999" xr:uid="{6603ED55-356E-45A7-8B53-E9B45C750BEA}"/>
    <cellStyle name="20% - Accent3 4 6 6" xfId="11702" xr:uid="{9B94AC2D-C772-434C-8FA6-FC4F3437BC63}"/>
    <cellStyle name="20% - Accent3 4 7" xfId="4527" xr:uid="{00000000-0005-0000-0000-0000CD010000}"/>
    <cellStyle name="20% - Accent3 4 7 2" xfId="40045" xr:uid="{48CADFB9-F6FF-4C9F-B4F0-BEC600AA9582}"/>
    <cellStyle name="20% - Accent3 4 7 3" xfId="31598" xr:uid="{25A97854-D717-408C-A4C8-2227392304AC}"/>
    <cellStyle name="20% - Accent3 4 7 4" xfId="23150" xr:uid="{097CAA37-C208-48A2-BB34-02E98171C350}"/>
    <cellStyle name="20% - Accent3 4 7 5" xfId="13853" xr:uid="{AEDBCC61-82F5-4276-8A5A-972EC123BD24}"/>
    <cellStyle name="20% - Accent3 4 8" xfId="8951" xr:uid="{3CB7770B-4F12-4C44-B65D-06C641FEE851}"/>
    <cellStyle name="20% - Accent3 4 8 2" xfId="35828" xr:uid="{B3443A41-0BFB-4B76-9736-14F455433603}"/>
    <cellStyle name="20% - Accent3 4 8 3" xfId="18274" xr:uid="{680CF12D-CCA1-4EEC-AF05-B959EECAFF02}"/>
    <cellStyle name="20% - Accent3 4 9" xfId="27380" xr:uid="{C60297C7-D563-4158-B654-DB679147CC48}"/>
    <cellStyle name="20% - Accent3 5" xfId="586" xr:uid="{00000000-0005-0000-0000-0000CE010000}"/>
    <cellStyle name="20% - Accent3 5 2" xfId="2857" xr:uid="{00000000-0005-0000-0000-0000CF010000}"/>
    <cellStyle name="20% - Accent3 5 2 2" xfId="7079" xr:uid="{00000000-0005-0000-0000-0000D0010000}"/>
    <cellStyle name="20% - Accent3 5 2 2 2" xfId="42597" xr:uid="{71064AD3-7242-4E2F-9825-824F8FBEB346}"/>
    <cellStyle name="20% - Accent3 5 2 2 3" xfId="34150" xr:uid="{27FEA12B-AE83-4B30-BB0E-E1049ED63193}"/>
    <cellStyle name="20% - Accent3 5 2 2 4" xfId="25702" xr:uid="{4B70A6C8-E5C1-4142-8C57-BC533F00ECB8}"/>
    <cellStyle name="20% - Accent3 5 2 2 5" xfId="16405" xr:uid="{73EEE014-7D81-433A-B43A-E56B705BE4F2}"/>
    <cellStyle name="20% - Accent3 5 2 3" xfId="38380" xr:uid="{69991E0F-0F6A-4D27-B891-06853167A76C}"/>
    <cellStyle name="20% - Accent3 5 2 4" xfId="29932" xr:uid="{D3A5010C-44F5-4642-A709-EE8B3D199239}"/>
    <cellStyle name="20% - Accent3 5 2 5" xfId="21485" xr:uid="{8A516CA4-9B61-40E3-8990-DFB28C469725}"/>
    <cellStyle name="20% - Accent3 5 2 6" xfId="12188" xr:uid="{F7F2F2E9-876C-4A0D-9B54-F1C06CC5CF0C}"/>
    <cellStyle name="20% - Accent3 5 3" xfId="4934" xr:uid="{00000000-0005-0000-0000-0000D1010000}"/>
    <cellStyle name="20% - Accent3 5 3 2" xfId="40452" xr:uid="{F0C57A95-60F4-4FB6-AE3B-17187A5F8941}"/>
    <cellStyle name="20% - Accent3 5 3 3" xfId="32005" xr:uid="{70D336DF-3211-4911-B2AF-71B9B38C4E07}"/>
    <cellStyle name="20% - Accent3 5 3 4" xfId="23557" xr:uid="{9043E7E9-DFD1-4ED0-BE5E-255AFC6C0199}"/>
    <cellStyle name="20% - Accent3 5 3 5" xfId="14260" xr:uid="{3C6CE034-6A97-47E3-A542-42F1C366A444}"/>
    <cellStyle name="20% - Accent3 5 4" xfId="9184" xr:uid="{F51B2D95-9593-4370-A6D2-AFEF087D7920}"/>
    <cellStyle name="20% - Accent3 5 4 2" xfId="36235" xr:uid="{A9ABF91C-5261-4758-8436-2B668BC0D0C7}"/>
    <cellStyle name="20% - Accent3 5 4 3" xfId="18500" xr:uid="{F5312CE2-8443-46CD-AA00-556819094E4D}"/>
    <cellStyle name="20% - Accent3 5 5" xfId="27787" xr:uid="{9E0C4B9F-6BBE-45DB-BA91-2FDB0AD20321}"/>
    <cellStyle name="20% - Accent3 5 6" xfId="19340" xr:uid="{4F14C696-9A5B-4EE0-8D5A-7FF9E92E0F60}"/>
    <cellStyle name="20% - Accent3 5 7" xfId="10043" xr:uid="{CF6A2FCA-840E-4E16-AD0E-3AA72C8E387F}"/>
    <cellStyle name="20% - Accent3 6" xfId="1039" xr:uid="{00000000-0005-0000-0000-0000D2010000}"/>
    <cellStyle name="20% - Accent3 6 2" xfId="3270" xr:uid="{00000000-0005-0000-0000-0000D3010000}"/>
    <cellStyle name="20% - Accent3 6 2 2" xfId="7492" xr:uid="{00000000-0005-0000-0000-0000D4010000}"/>
    <cellStyle name="20% - Accent3 6 2 2 2" xfId="43010" xr:uid="{C4321F66-C894-4956-8BF7-1FAF9180142C}"/>
    <cellStyle name="20% - Accent3 6 2 2 3" xfId="34563" xr:uid="{117E9CB8-D7E4-48BB-8728-1A9119CE509C}"/>
    <cellStyle name="20% - Accent3 6 2 2 4" xfId="26115" xr:uid="{C11B1341-43D4-4109-A684-09192CFC6F3D}"/>
    <cellStyle name="20% - Accent3 6 2 2 5" xfId="16818" xr:uid="{9484EE6C-0404-4C22-A2D8-926E399B6A8D}"/>
    <cellStyle name="20% - Accent3 6 2 3" xfId="38793" xr:uid="{5509EE5B-6439-477F-A986-F568C9CB292C}"/>
    <cellStyle name="20% - Accent3 6 2 4" xfId="30345" xr:uid="{2786E48F-58F2-4269-88DD-89EEF3FEF6E9}"/>
    <cellStyle name="20% - Accent3 6 2 5" xfId="21898" xr:uid="{3D320A0B-4362-4F30-B3F0-C0E25A00DB66}"/>
    <cellStyle name="20% - Accent3 6 2 6" xfId="12601" xr:uid="{9C79780B-2A1F-412E-A332-315D7904C184}"/>
    <cellStyle name="20% - Accent3 6 3" xfId="5347" xr:uid="{00000000-0005-0000-0000-0000D5010000}"/>
    <cellStyle name="20% - Accent3 6 3 2" xfId="40865" xr:uid="{B264A904-EFC2-4386-890C-064504B71E93}"/>
    <cellStyle name="20% - Accent3 6 3 3" xfId="32418" xr:uid="{3E7B88E3-DB7F-4EF7-84EE-DA8286EEFFF5}"/>
    <cellStyle name="20% - Accent3 6 3 4" xfId="23970" xr:uid="{DA35113B-634C-4AE0-B810-58B095894AB1}"/>
    <cellStyle name="20% - Accent3 6 3 5" xfId="14673" xr:uid="{B3096DA7-CE9A-4D3A-A688-DCAEEC8DDEA7}"/>
    <cellStyle name="20% - Accent3 6 4" xfId="36648" xr:uid="{9A7D4669-7906-4883-848F-498025E1703D}"/>
    <cellStyle name="20% - Accent3 6 5" xfId="28200" xr:uid="{92A73270-565A-40CB-9F09-C1CC04E97CB9}"/>
    <cellStyle name="20% - Accent3 6 6" xfId="19753" xr:uid="{F135F776-A50A-404D-8CCD-90BB49DADEF9}"/>
    <cellStyle name="20% - Accent3 6 7" xfId="10456" xr:uid="{FFA276F6-8BE6-43B2-B68B-95B5F9FCA82A}"/>
    <cellStyle name="20% - Accent3 7" xfId="1453" xr:uid="{00000000-0005-0000-0000-0000D6010000}"/>
    <cellStyle name="20% - Accent3 7 2" xfId="3683" xr:uid="{00000000-0005-0000-0000-0000D7010000}"/>
    <cellStyle name="20% - Accent3 7 2 2" xfId="7905" xr:uid="{00000000-0005-0000-0000-0000D8010000}"/>
    <cellStyle name="20% - Accent3 7 2 2 2" xfId="43423" xr:uid="{9E95AE5E-007D-47BE-9A39-AEF52D87D986}"/>
    <cellStyle name="20% - Accent3 7 2 2 3" xfId="34976" xr:uid="{344A7384-0770-411A-BE5A-37B7A946E393}"/>
    <cellStyle name="20% - Accent3 7 2 2 4" xfId="26528" xr:uid="{EE009B7B-D2E7-4C42-A351-344AF5C20A5C}"/>
    <cellStyle name="20% - Accent3 7 2 2 5" xfId="17231" xr:uid="{1E44BBEB-F00D-4406-A0BF-D98133F0BF63}"/>
    <cellStyle name="20% - Accent3 7 2 3" xfId="39206" xr:uid="{97E45FB5-C783-428B-A4E6-E8C1425DC252}"/>
    <cellStyle name="20% - Accent3 7 2 4" xfId="30758" xr:uid="{DBC50594-3C15-49E2-A0EA-7F464693F4EF}"/>
    <cellStyle name="20% - Accent3 7 2 5" xfId="22311" xr:uid="{DD0A3BC4-E845-48BE-925B-469284A8A8B4}"/>
    <cellStyle name="20% - Accent3 7 2 6" xfId="13014" xr:uid="{814FD1A0-4DEA-44DA-9650-E93F034608DF}"/>
    <cellStyle name="20% - Accent3 7 3" xfId="5760" xr:uid="{00000000-0005-0000-0000-0000D9010000}"/>
    <cellStyle name="20% - Accent3 7 3 2" xfId="41278" xr:uid="{33AE53DC-5390-49A1-A6DC-77E8545F314D}"/>
    <cellStyle name="20% - Accent3 7 3 3" xfId="32831" xr:uid="{87B72FE4-B53C-4394-97E6-C8B71806A249}"/>
    <cellStyle name="20% - Accent3 7 3 4" xfId="24383" xr:uid="{FE094983-D9B9-493F-BC56-D5D95502FEAE}"/>
    <cellStyle name="20% - Accent3 7 3 5" xfId="15086" xr:uid="{E2F7D818-5012-4515-B8A4-C11E3C410111}"/>
    <cellStyle name="20% - Accent3 7 4" xfId="37061" xr:uid="{47841B87-E3E0-4087-8049-78DE5780C43E}"/>
    <cellStyle name="20% - Accent3 7 5" xfId="28613" xr:uid="{B4AC2437-3621-46FE-9AAC-9CE66C1B902A}"/>
    <cellStyle name="20% - Accent3 7 6" xfId="20166" xr:uid="{59395DA4-3BD8-4FFD-B4BA-3347E4E3B045}"/>
    <cellStyle name="20% - Accent3 7 7" xfId="10869" xr:uid="{36683648-262C-4949-8221-A030E7C8E35B}"/>
    <cellStyle name="20% - Accent3 8" xfId="1867" xr:uid="{00000000-0005-0000-0000-0000DA010000}"/>
    <cellStyle name="20% - Accent3 8 2" xfId="4096" xr:uid="{00000000-0005-0000-0000-0000DB010000}"/>
    <cellStyle name="20% - Accent3 8 2 2" xfId="8318" xr:uid="{00000000-0005-0000-0000-0000DC010000}"/>
    <cellStyle name="20% - Accent3 8 2 2 2" xfId="43836" xr:uid="{AA80905C-65B3-417A-96EB-CEB9EABB8D60}"/>
    <cellStyle name="20% - Accent3 8 2 2 3" xfId="35389" xr:uid="{84504D34-1B22-4FD9-88BB-91EEA6A2EA88}"/>
    <cellStyle name="20% - Accent3 8 2 2 4" xfId="26941" xr:uid="{AA39F650-0E63-4543-985B-42FC49C8B554}"/>
    <cellStyle name="20% - Accent3 8 2 2 5" xfId="17644" xr:uid="{79DEF838-ECA9-4778-9C56-E7A7268625B4}"/>
    <cellStyle name="20% - Accent3 8 2 3" xfId="39619" xr:uid="{7C1C8BA5-5A0F-4470-8125-BC482EB9D3CA}"/>
    <cellStyle name="20% - Accent3 8 2 4" xfId="31171" xr:uid="{F26EFA14-C2D3-4652-8FD1-6B22A24BF4CF}"/>
    <cellStyle name="20% - Accent3 8 2 5" xfId="22724" xr:uid="{02D3085C-98F5-427D-915F-95C534589466}"/>
    <cellStyle name="20% - Accent3 8 2 6" xfId="13427" xr:uid="{30B1D4A9-D027-443F-B32A-A1C7667FF1A4}"/>
    <cellStyle name="20% - Accent3 8 3" xfId="6173" xr:uid="{00000000-0005-0000-0000-0000DD010000}"/>
    <cellStyle name="20% - Accent3 8 3 2" xfId="41691" xr:uid="{CBA66776-B8AA-4121-9752-C6B7C25914DC}"/>
    <cellStyle name="20% - Accent3 8 3 3" xfId="33244" xr:uid="{EDD126C7-C980-41BC-A214-8BE0B8637E9C}"/>
    <cellStyle name="20% - Accent3 8 3 4" xfId="24796" xr:uid="{59B57B47-A0B0-433A-97EC-6EB8D0D6AC09}"/>
    <cellStyle name="20% - Accent3 8 3 5" xfId="15499" xr:uid="{C8E2C846-AD3E-488A-8395-82437F6AE8DB}"/>
    <cellStyle name="20% - Accent3 8 4" xfId="37474" xr:uid="{751115A5-CF30-4FAD-8503-102F7D46C1A8}"/>
    <cellStyle name="20% - Accent3 8 5" xfId="29026" xr:uid="{939225F8-881F-4E52-8C08-4D435B6C64C6}"/>
    <cellStyle name="20% - Accent3 8 6" xfId="20579" xr:uid="{3ACF646B-8A53-4AE7-B2CA-016F9069D2F7}"/>
    <cellStyle name="20% - Accent3 8 7" xfId="11282" xr:uid="{E224787C-16A8-455F-BE69-31A925E99A95}"/>
    <cellStyle name="20% - Accent3 9" xfId="2280" xr:uid="{00000000-0005-0000-0000-0000DE010000}"/>
    <cellStyle name="20% - Accent3 9 2" xfId="6586" xr:uid="{00000000-0005-0000-0000-0000DF010000}"/>
    <cellStyle name="20% - Accent3 9 2 2" xfId="42104" xr:uid="{5338466F-A49A-41DA-9011-4A9DAD093ECA}"/>
    <cellStyle name="20% - Accent3 9 2 3" xfId="33657" xr:uid="{729C5C47-7BD3-4143-84EC-3F556AE02A88}"/>
    <cellStyle name="20% - Accent3 9 2 4" xfId="25209" xr:uid="{D19270D4-5256-4978-90FD-6D912788B856}"/>
    <cellStyle name="20% - Accent3 9 2 5" xfId="15912" xr:uid="{FB8FA877-BEC7-41CF-B824-4B1246651C4B}"/>
    <cellStyle name="20% - Accent3 9 3" xfId="37887" xr:uid="{59B5CC7B-2746-4F48-86A9-40B02CE649B8}"/>
    <cellStyle name="20% - Accent3 9 4" xfId="29439" xr:uid="{B320BBA4-DECA-47E0-B2A8-E279DACFC0D7}"/>
    <cellStyle name="20% - Accent3 9 5" xfId="20992" xr:uid="{B5836E92-4A17-4D7F-9D54-6AAFF32FDB96}"/>
    <cellStyle name="20% - Accent3 9 6" xfId="11695" xr:uid="{7BE58094-4BD0-4AFD-AC2A-808D3C8A4F2C}"/>
    <cellStyle name="20% - Accent4" xfId="25" builtinId="42" customBuiltin="1"/>
    <cellStyle name="20% - Accent4 10" xfId="4528" xr:uid="{00000000-0005-0000-0000-0000E1010000}"/>
    <cellStyle name="20% - Accent4 10 2" xfId="40046" xr:uid="{D3910C51-15CE-4C33-9035-8B278A5CE1E1}"/>
    <cellStyle name="20% - Accent4 10 3" xfId="31599" xr:uid="{E6CB796F-DE52-4174-BB11-36A1E9640231}"/>
    <cellStyle name="20% - Accent4 10 4" xfId="23151" xr:uid="{9AEEC0AB-D1D4-48C6-A2EC-5F928041E111}"/>
    <cellStyle name="20% - Accent4 10 5" xfId="13854" xr:uid="{9E6518AE-44E2-47C8-AF7A-CD6914B389FB}"/>
    <cellStyle name="20% - Accent4 11" xfId="8764" xr:uid="{4A9BF508-806C-496D-AEC5-5842E4A62892}"/>
    <cellStyle name="20% - Accent4 11 2" xfId="35829" xr:uid="{D73E86BE-B5EE-42A2-AA2E-42088F400CDC}"/>
    <cellStyle name="20% - Accent4 11 3" xfId="18087" xr:uid="{5C019C55-C2E2-4B21-8484-C2B7FCED99E9}"/>
    <cellStyle name="20% - Accent4 12" xfId="27381" xr:uid="{7DD657C8-892B-4C55-968B-14A3A84E43D4}"/>
    <cellStyle name="20% - Accent4 13" xfId="18934" xr:uid="{8BCAE279-D413-4AC4-94BB-6C13F2DFDE59}"/>
    <cellStyle name="20% - Accent4 14" xfId="9637" xr:uid="{FECC683B-2EC4-4004-8129-724A0C25C24D}"/>
    <cellStyle name="20% - Accent4 2" xfId="26" xr:uid="{00000000-0005-0000-0000-0000E2010000}"/>
    <cellStyle name="20% - Accent4 2 10" xfId="8794" xr:uid="{31A2F477-5237-45C2-B43F-25AC049A95FF}"/>
    <cellStyle name="20% - Accent4 2 10 2" xfId="35830" xr:uid="{2AFA29CF-9AD6-4CE2-919A-429369E9388A}"/>
    <cellStyle name="20% - Accent4 2 10 3" xfId="18117" xr:uid="{6113F4B7-278A-4E58-8C7C-5DF0D2898421}"/>
    <cellStyle name="20% - Accent4 2 11" xfId="27382" xr:uid="{F4893EE6-CD96-48A2-AD97-67E918EBD672}"/>
    <cellStyle name="20% - Accent4 2 12" xfId="18935" xr:uid="{B491C7D5-5BB5-4807-872E-A8718B528F26}"/>
    <cellStyle name="20% - Accent4 2 13" xfId="9638" xr:uid="{493ADA9C-8509-4FCC-A194-8193B5F5B961}"/>
    <cellStyle name="20% - Accent4 2 2" xfId="27" xr:uid="{00000000-0005-0000-0000-0000E3010000}"/>
    <cellStyle name="20% - Accent4 2 2 10" xfId="27383" xr:uid="{AE1EC9E1-4780-400E-8DF6-239181FEC156}"/>
    <cellStyle name="20% - Accent4 2 2 11" xfId="18936" xr:uid="{263B7B2A-C01F-47B1-9AC7-4839978256E4}"/>
    <cellStyle name="20% - Accent4 2 2 12" xfId="9639" xr:uid="{F03AE5F2-6E3C-49A1-837C-150B298A7169}"/>
    <cellStyle name="20% - Accent4 2 2 2" xfId="28" xr:uid="{00000000-0005-0000-0000-0000E4010000}"/>
    <cellStyle name="20% - Accent4 2 2 2 10" xfId="18937" xr:uid="{7401C4B4-8B81-45D4-8E5D-7AE2CBAD65B0}"/>
    <cellStyle name="20% - Accent4 2 2 2 11" xfId="9640" xr:uid="{F691F133-690C-48B6-9D8E-521399506DF1}"/>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42608" xr:uid="{688A02FE-EEFE-48C0-9797-24C19B03F723}"/>
    <cellStyle name="20% - Accent4 2 2 2 2 2 2 3" xfId="34161" xr:uid="{9831469E-6116-41DC-ACA8-00A69E0D6861}"/>
    <cellStyle name="20% - Accent4 2 2 2 2 2 2 4" xfId="25713" xr:uid="{E864704A-46E1-4846-8C24-2896F74DCDCC}"/>
    <cellStyle name="20% - Accent4 2 2 2 2 2 2 5" xfId="16416" xr:uid="{B0515C71-A533-4649-8B08-BB8F93DFC5A4}"/>
    <cellStyle name="20% - Accent4 2 2 2 2 2 3" xfId="38391" xr:uid="{C8D3F991-39CE-41BB-B995-2D350D8C5BDE}"/>
    <cellStyle name="20% - Accent4 2 2 2 2 2 4" xfId="29943" xr:uid="{27AA3C46-69DE-4675-B302-E500D478BA40}"/>
    <cellStyle name="20% - Accent4 2 2 2 2 2 5" xfId="21496" xr:uid="{3F7D2E79-0BA9-410B-9F69-FEEDEEFFFC54}"/>
    <cellStyle name="20% - Accent4 2 2 2 2 2 6" xfId="12199" xr:uid="{757DA406-97B0-4BEB-AAFA-5908100C422F}"/>
    <cellStyle name="20% - Accent4 2 2 2 2 3" xfId="4945" xr:uid="{00000000-0005-0000-0000-0000E8010000}"/>
    <cellStyle name="20% - Accent4 2 2 2 2 3 2" xfId="40463" xr:uid="{28B35165-4838-4870-9D43-F2D2F1425B3E}"/>
    <cellStyle name="20% - Accent4 2 2 2 2 3 3" xfId="32016" xr:uid="{C88542F3-F750-4E58-9E37-26CC0B4D1039}"/>
    <cellStyle name="20% - Accent4 2 2 2 2 3 4" xfId="23568" xr:uid="{E112961C-60A8-4F2D-B84B-68C339119567}"/>
    <cellStyle name="20% - Accent4 2 2 2 2 3 5" xfId="14271" xr:uid="{8A7F5F05-D6E2-4902-BEEC-FB4E1A0E977B}"/>
    <cellStyle name="20% - Accent4 2 2 2 2 4" xfId="9529" xr:uid="{0C40CE19-1873-4316-818D-CC943AAFBB7B}"/>
    <cellStyle name="20% - Accent4 2 2 2 2 4 2" xfId="36246" xr:uid="{B98FB5B8-17E8-4D54-9778-9CF78E4EE034}"/>
    <cellStyle name="20% - Accent4 2 2 2 2 4 3" xfId="18842" xr:uid="{8289F8B3-AA1B-4E15-89EC-E7C0281E56CB}"/>
    <cellStyle name="20% - Accent4 2 2 2 2 5" xfId="27798" xr:uid="{5E5D0BBE-0ADB-4CF0-A9AF-8F094083D818}"/>
    <cellStyle name="20% - Accent4 2 2 2 2 6" xfId="19351" xr:uid="{D464299D-0257-40FF-857B-D86675CDC549}"/>
    <cellStyle name="20% - Accent4 2 2 2 2 7" xfId="10054" xr:uid="{91AB6C42-AB4C-4B42-B0E2-044861970F74}"/>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43021" xr:uid="{A7413902-F8F4-4AA1-B05E-5233F2C964C0}"/>
    <cellStyle name="20% - Accent4 2 2 2 3 2 2 3" xfId="34574" xr:uid="{B10B3B10-1154-4E51-871D-ABD9081E5F1F}"/>
    <cellStyle name="20% - Accent4 2 2 2 3 2 2 4" xfId="26126" xr:uid="{23DA4BA8-F046-4B24-8F81-3BAD409E2F29}"/>
    <cellStyle name="20% - Accent4 2 2 2 3 2 2 5" xfId="16829" xr:uid="{1E68BD07-B3DB-4F41-8B5F-9210B491A4E3}"/>
    <cellStyle name="20% - Accent4 2 2 2 3 2 3" xfId="38804" xr:uid="{4571E906-1CB4-4D95-B881-39058E94C7EC}"/>
    <cellStyle name="20% - Accent4 2 2 2 3 2 4" xfId="30356" xr:uid="{A133F254-27E0-4FD4-A4CC-0180C8EB03B3}"/>
    <cellStyle name="20% - Accent4 2 2 2 3 2 5" xfId="21909" xr:uid="{19C58ADE-89F0-46A9-88BC-A67BE888327F}"/>
    <cellStyle name="20% - Accent4 2 2 2 3 2 6" xfId="12612" xr:uid="{7DD4CAA2-5D93-44D1-AC41-2B8E8B1AE1AC}"/>
    <cellStyle name="20% - Accent4 2 2 2 3 3" xfId="5358" xr:uid="{00000000-0005-0000-0000-0000EC010000}"/>
    <cellStyle name="20% - Accent4 2 2 2 3 3 2" xfId="40876" xr:uid="{29BC8C90-A39E-4523-8379-B1861438D4E8}"/>
    <cellStyle name="20% - Accent4 2 2 2 3 3 3" xfId="32429" xr:uid="{7D9136BA-1841-48CF-8455-467922E5835B}"/>
    <cellStyle name="20% - Accent4 2 2 2 3 3 4" xfId="23981" xr:uid="{89B6CA48-4165-4722-B3CC-600FDC1FCF3C}"/>
    <cellStyle name="20% - Accent4 2 2 2 3 3 5" xfId="14684" xr:uid="{3B4605AA-873A-4D67-B49F-DF22E6BEF61B}"/>
    <cellStyle name="20% - Accent4 2 2 2 3 4" xfId="36659" xr:uid="{C7351753-6BA6-4ACC-8B12-A40D9BF1980F}"/>
    <cellStyle name="20% - Accent4 2 2 2 3 5" xfId="28211" xr:uid="{1760432C-1D1C-427A-94BF-6666924C4D79}"/>
    <cellStyle name="20% - Accent4 2 2 2 3 6" xfId="19764" xr:uid="{06EB9DCF-6168-46C0-B178-EFC2C3F08642}"/>
    <cellStyle name="20% - Accent4 2 2 2 3 7" xfId="10467" xr:uid="{7F89CB98-88D9-4954-99DA-93C58FF4A085}"/>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43434" xr:uid="{5B54BCB2-AE5A-48E7-BC05-BA5041E04989}"/>
    <cellStyle name="20% - Accent4 2 2 2 4 2 2 3" xfId="34987" xr:uid="{2FE9F967-FAF6-4379-A03E-2429C2C0F52B}"/>
    <cellStyle name="20% - Accent4 2 2 2 4 2 2 4" xfId="26539" xr:uid="{148DD77B-A318-4E62-ACAA-8C621820B040}"/>
    <cellStyle name="20% - Accent4 2 2 2 4 2 2 5" xfId="17242" xr:uid="{CF76DD3A-92A3-4080-8D18-72AA33817E7E}"/>
    <cellStyle name="20% - Accent4 2 2 2 4 2 3" xfId="39217" xr:uid="{3D481780-64D3-4773-98CD-6D551AABB062}"/>
    <cellStyle name="20% - Accent4 2 2 2 4 2 4" xfId="30769" xr:uid="{E43F8F49-CE1B-4486-A38F-097B8E0BE977}"/>
    <cellStyle name="20% - Accent4 2 2 2 4 2 5" xfId="22322" xr:uid="{A5D6ED25-A668-45E1-A517-DEB063FB41E3}"/>
    <cellStyle name="20% - Accent4 2 2 2 4 2 6" xfId="13025" xr:uid="{2E2833D9-CAE6-4743-A3DC-18950A4909BA}"/>
    <cellStyle name="20% - Accent4 2 2 2 4 3" xfId="5771" xr:uid="{00000000-0005-0000-0000-0000F0010000}"/>
    <cellStyle name="20% - Accent4 2 2 2 4 3 2" xfId="41289" xr:uid="{0B54988C-7C90-404C-A6DC-3FD2C7C7D0D1}"/>
    <cellStyle name="20% - Accent4 2 2 2 4 3 3" xfId="32842" xr:uid="{5C840DB4-A914-4583-BD9A-B88EBD4015D0}"/>
    <cellStyle name="20% - Accent4 2 2 2 4 3 4" xfId="24394" xr:uid="{954E8163-3C2F-4125-9323-3569DAF14580}"/>
    <cellStyle name="20% - Accent4 2 2 2 4 3 5" xfId="15097" xr:uid="{5F693649-C070-40C8-9EEE-E790707869B0}"/>
    <cellStyle name="20% - Accent4 2 2 2 4 4" xfId="37072" xr:uid="{4E5E7E2D-D60A-4EA3-9A5D-27874881D6CF}"/>
    <cellStyle name="20% - Accent4 2 2 2 4 5" xfId="28624" xr:uid="{17D35E02-E10F-4CA9-B800-9D67A2A4559E}"/>
    <cellStyle name="20% - Accent4 2 2 2 4 6" xfId="20177" xr:uid="{AA735A19-2A50-44D3-BE9E-DBD004A7C63E}"/>
    <cellStyle name="20% - Accent4 2 2 2 4 7" xfId="10880" xr:uid="{D1B42E40-AF4F-48E3-AB9A-106F9E7478AD}"/>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43847" xr:uid="{266B066B-F074-4387-B54D-EC6E5D5CA238}"/>
    <cellStyle name="20% - Accent4 2 2 2 5 2 2 3" xfId="35400" xr:uid="{10774896-F7F0-46C8-ACB0-D093EE43B26F}"/>
    <cellStyle name="20% - Accent4 2 2 2 5 2 2 4" xfId="26952" xr:uid="{298FDDD8-A367-466E-9AFE-A25714A80FCD}"/>
    <cellStyle name="20% - Accent4 2 2 2 5 2 2 5" xfId="17655" xr:uid="{DA32F1B5-64E7-4486-B306-97B9EE54D13E}"/>
    <cellStyle name="20% - Accent4 2 2 2 5 2 3" xfId="39630" xr:uid="{D4D47D6E-87CC-4469-98B7-5EE8F99311E6}"/>
    <cellStyle name="20% - Accent4 2 2 2 5 2 4" xfId="31182" xr:uid="{8C40C158-EAF6-4A40-914B-F7408284C712}"/>
    <cellStyle name="20% - Accent4 2 2 2 5 2 5" xfId="22735" xr:uid="{51A5DE0A-D24E-4E04-A335-5E54E6346223}"/>
    <cellStyle name="20% - Accent4 2 2 2 5 2 6" xfId="13438" xr:uid="{253DED17-7A00-4CE5-80B3-00540C2609CC}"/>
    <cellStyle name="20% - Accent4 2 2 2 5 3" xfId="6184" xr:uid="{00000000-0005-0000-0000-0000F4010000}"/>
    <cellStyle name="20% - Accent4 2 2 2 5 3 2" xfId="41702" xr:uid="{D239D36C-FF71-4FD4-9813-3219E84B261E}"/>
    <cellStyle name="20% - Accent4 2 2 2 5 3 3" xfId="33255" xr:uid="{5F6EA015-FA84-4FCB-83EF-9CC00CDDE191}"/>
    <cellStyle name="20% - Accent4 2 2 2 5 3 4" xfId="24807" xr:uid="{E7765677-C0E1-41CA-B45B-8940A865B5C5}"/>
    <cellStyle name="20% - Accent4 2 2 2 5 3 5" xfId="15510" xr:uid="{170031B8-20E0-437F-AE96-24D964AE4D2B}"/>
    <cellStyle name="20% - Accent4 2 2 2 5 4" xfId="37485" xr:uid="{69E006DA-91D4-4AA3-BD9B-6F52D07C6AE1}"/>
    <cellStyle name="20% - Accent4 2 2 2 5 5" xfId="29037" xr:uid="{C828C5F5-1FDB-4E57-8C18-B1B07F5F6ADD}"/>
    <cellStyle name="20% - Accent4 2 2 2 5 6" xfId="20590" xr:uid="{8089C8E0-A289-418B-B2B4-11F0984F52C5}"/>
    <cellStyle name="20% - Accent4 2 2 2 5 7" xfId="11293" xr:uid="{40E87CA9-6325-4991-AEAD-F61DA96E47D5}"/>
    <cellStyle name="20% - Accent4 2 2 2 6" xfId="2291" xr:uid="{00000000-0005-0000-0000-0000F5010000}"/>
    <cellStyle name="20% - Accent4 2 2 2 6 2" xfId="6597" xr:uid="{00000000-0005-0000-0000-0000F6010000}"/>
    <cellStyle name="20% - Accent4 2 2 2 6 2 2" xfId="42115" xr:uid="{BD7D1EEA-1985-453F-8F43-248F218D5FAF}"/>
    <cellStyle name="20% - Accent4 2 2 2 6 2 3" xfId="33668" xr:uid="{FED0D802-2E3F-4151-83FE-20821C98D8B0}"/>
    <cellStyle name="20% - Accent4 2 2 2 6 2 4" xfId="25220" xr:uid="{70B5B0FC-C592-47C3-AC51-A83B3E788C94}"/>
    <cellStyle name="20% - Accent4 2 2 2 6 2 5" xfId="15923" xr:uid="{A01F4530-A27F-47C6-845B-4256AB7A4BFB}"/>
    <cellStyle name="20% - Accent4 2 2 2 6 3" xfId="37898" xr:uid="{364AB86D-9C82-4BC7-BAD4-60AC0ED27674}"/>
    <cellStyle name="20% - Accent4 2 2 2 6 4" xfId="29450" xr:uid="{CCE3BC05-1121-44FB-A6DB-7DC02E32B650}"/>
    <cellStyle name="20% - Accent4 2 2 2 6 5" xfId="21003" xr:uid="{4C91BD5F-1135-412A-9F5E-CA1470442FC5}"/>
    <cellStyle name="20% - Accent4 2 2 2 6 6" xfId="11706" xr:uid="{658FEFFD-F55B-4B28-AC35-6EBE0E8122C2}"/>
    <cellStyle name="20% - Accent4 2 2 2 7" xfId="4531" xr:uid="{00000000-0005-0000-0000-0000F7010000}"/>
    <cellStyle name="20% - Accent4 2 2 2 7 2" xfId="40049" xr:uid="{95ED9513-BD4E-4E22-ADC9-A33E87649E31}"/>
    <cellStyle name="20% - Accent4 2 2 2 7 3" xfId="31602" xr:uid="{46321E1E-B6C0-4716-99D4-5541F5E1A866}"/>
    <cellStyle name="20% - Accent4 2 2 2 7 4" xfId="23154" xr:uid="{1F8713FB-AC19-4B01-A226-FEABDED6590B}"/>
    <cellStyle name="20% - Accent4 2 2 2 7 5" xfId="13857" xr:uid="{29E1DADE-49CC-4727-8543-BC9CCD210C6E}"/>
    <cellStyle name="20% - Accent4 2 2 2 8" xfId="9104" xr:uid="{526BE306-22BA-4A85-81B2-34AEB56F0D90}"/>
    <cellStyle name="20% - Accent4 2 2 2 8 2" xfId="35832" xr:uid="{4BB42C11-BC3E-48E0-9B7C-2AFAE61EDEE9}"/>
    <cellStyle name="20% - Accent4 2 2 2 8 3" xfId="18427" xr:uid="{654CB5CF-47EA-47D2-BE26-8E0A117BB547}"/>
    <cellStyle name="20% - Accent4 2 2 2 9" xfId="27384" xr:uid="{F113DE16-C07E-4CDE-89C5-79F3DC84B1F3}"/>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42607" xr:uid="{977F9773-E56B-4585-9076-03531CB5D330}"/>
    <cellStyle name="20% - Accent4 2 2 3 2 2 3" xfId="34160" xr:uid="{3D861A65-ADC3-408D-8EDF-D8716A0569A6}"/>
    <cellStyle name="20% - Accent4 2 2 3 2 2 4" xfId="25712" xr:uid="{4B10A370-BA04-4507-8ED8-DD4375C8372F}"/>
    <cellStyle name="20% - Accent4 2 2 3 2 2 5" xfId="16415" xr:uid="{11EBB1DD-DFF8-4CD9-AA78-FC15B716A2FF}"/>
    <cellStyle name="20% - Accent4 2 2 3 2 3" xfId="38390" xr:uid="{640F25CC-AA38-4DDB-A252-AC56CC17160A}"/>
    <cellStyle name="20% - Accent4 2 2 3 2 4" xfId="29942" xr:uid="{9C0D7F54-3A20-4BBC-962B-97498A10A544}"/>
    <cellStyle name="20% - Accent4 2 2 3 2 5" xfId="21495" xr:uid="{D6BD8034-A40F-48E0-96F5-BDEA665FC513}"/>
    <cellStyle name="20% - Accent4 2 2 3 2 6" xfId="12198" xr:uid="{904AF23F-18C8-4F3C-9BDB-1D6FD122A635}"/>
    <cellStyle name="20% - Accent4 2 2 3 3" xfId="4944" xr:uid="{00000000-0005-0000-0000-0000FB010000}"/>
    <cellStyle name="20% - Accent4 2 2 3 3 2" xfId="40462" xr:uid="{9F9B7D99-C1C4-4CB3-AB96-58880D5896D3}"/>
    <cellStyle name="20% - Accent4 2 2 3 3 3" xfId="32015" xr:uid="{4C6E6248-1C6F-4FCE-947D-9C623A4CB477}"/>
    <cellStyle name="20% - Accent4 2 2 3 3 4" xfId="23567" xr:uid="{0CABB0C9-E218-45A1-9697-FF2413980292}"/>
    <cellStyle name="20% - Accent4 2 2 3 3 5" xfId="14270" xr:uid="{AB16EC6C-0DD4-4DE1-B32F-EECD7DE7D463}"/>
    <cellStyle name="20% - Accent4 2 2 3 4" xfId="9322" xr:uid="{003BBE99-27AA-4036-A373-4475953A88F4}"/>
    <cellStyle name="20% - Accent4 2 2 3 4 2" xfId="36245" xr:uid="{775B7CC7-9871-4C93-923E-A3211DB29A75}"/>
    <cellStyle name="20% - Accent4 2 2 3 4 3" xfId="18635" xr:uid="{96BED573-09E4-40CC-BA49-769D9746303F}"/>
    <cellStyle name="20% - Accent4 2 2 3 5" xfId="27797" xr:uid="{152D96A8-2975-41F1-B564-70A7FDBDA0D9}"/>
    <cellStyle name="20% - Accent4 2 2 3 6" xfId="19350" xr:uid="{9EF4D9EA-B4A9-405C-A9DB-09CEEFB7A8C9}"/>
    <cellStyle name="20% - Accent4 2 2 3 7" xfId="10053" xr:uid="{5E819F5E-248C-40B3-B74A-C5E1E2FBBB08}"/>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43020" xr:uid="{D8B5650E-37F0-4D9A-9DD7-48A299544139}"/>
    <cellStyle name="20% - Accent4 2 2 4 2 2 3" xfId="34573" xr:uid="{D4803F0D-0534-4DE2-A990-3601D34D9688}"/>
    <cellStyle name="20% - Accent4 2 2 4 2 2 4" xfId="26125" xr:uid="{6E857B59-1A6F-4CF3-94CD-76508C9CFF45}"/>
    <cellStyle name="20% - Accent4 2 2 4 2 2 5" xfId="16828" xr:uid="{00FD1F23-0D34-4817-BFBD-A472CD64CECF}"/>
    <cellStyle name="20% - Accent4 2 2 4 2 3" xfId="38803" xr:uid="{F5452A7E-BE4C-4BAE-A9E7-B2FF16702048}"/>
    <cellStyle name="20% - Accent4 2 2 4 2 4" xfId="30355" xr:uid="{3F9DEAE7-35D6-46F1-AAD4-41EA17898268}"/>
    <cellStyle name="20% - Accent4 2 2 4 2 5" xfId="21908" xr:uid="{B9E8AA0C-A508-4F7A-9479-8C92CD0F807C}"/>
    <cellStyle name="20% - Accent4 2 2 4 2 6" xfId="12611" xr:uid="{FACB7DF1-8E36-49C1-B3B7-2AA1F900E930}"/>
    <cellStyle name="20% - Accent4 2 2 4 3" xfId="5357" xr:uid="{00000000-0005-0000-0000-0000FF010000}"/>
    <cellStyle name="20% - Accent4 2 2 4 3 2" xfId="40875" xr:uid="{07A9E840-DB4D-4B12-89BC-B5EB02C3FFEF}"/>
    <cellStyle name="20% - Accent4 2 2 4 3 3" xfId="32428" xr:uid="{FA37F855-78A0-4F56-A282-E8213D33B009}"/>
    <cellStyle name="20% - Accent4 2 2 4 3 4" xfId="23980" xr:uid="{7A2F4308-36C3-4285-95F6-62FDA6B237AE}"/>
    <cellStyle name="20% - Accent4 2 2 4 3 5" xfId="14683" xr:uid="{F97E63F6-9ABD-4EB4-8DEC-063ACB44F3EF}"/>
    <cellStyle name="20% - Accent4 2 2 4 4" xfId="36658" xr:uid="{A6193A61-472D-49B2-A832-4933870774E4}"/>
    <cellStyle name="20% - Accent4 2 2 4 5" xfId="28210" xr:uid="{A1B5EB19-2BA2-4C0C-BA17-83DD89271158}"/>
    <cellStyle name="20% - Accent4 2 2 4 6" xfId="19763" xr:uid="{21AAAB84-2891-4813-831B-2979BBCAE481}"/>
    <cellStyle name="20% - Accent4 2 2 4 7" xfId="10466" xr:uid="{B8DC98DD-6628-479F-8310-0A480AD58B0F}"/>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43433" xr:uid="{0B686745-0EE3-450D-8D2A-40426533FBEA}"/>
    <cellStyle name="20% - Accent4 2 2 5 2 2 3" xfId="34986" xr:uid="{2D862304-B231-49EC-936A-CD94EDEF3107}"/>
    <cellStyle name="20% - Accent4 2 2 5 2 2 4" xfId="26538" xr:uid="{1BA4E5EA-0702-4D77-BDF6-4963BAB58E26}"/>
    <cellStyle name="20% - Accent4 2 2 5 2 2 5" xfId="17241" xr:uid="{52F5A067-D8C8-470A-8BCB-FA661130F52C}"/>
    <cellStyle name="20% - Accent4 2 2 5 2 3" xfId="39216" xr:uid="{27E708B9-4704-4FB3-9FD9-71FE7AD6922A}"/>
    <cellStyle name="20% - Accent4 2 2 5 2 4" xfId="30768" xr:uid="{33FC9575-CB38-41E5-AB98-B1CEC570E768}"/>
    <cellStyle name="20% - Accent4 2 2 5 2 5" xfId="22321" xr:uid="{2C11A1BB-CD3D-4AD5-A5C1-B3C298A580DF}"/>
    <cellStyle name="20% - Accent4 2 2 5 2 6" xfId="13024" xr:uid="{7C3D6E08-14F4-48EE-BBD5-B4A2DD8D9A78}"/>
    <cellStyle name="20% - Accent4 2 2 5 3" xfId="5770" xr:uid="{00000000-0005-0000-0000-000003020000}"/>
    <cellStyle name="20% - Accent4 2 2 5 3 2" xfId="41288" xr:uid="{AEC9A5F8-0A32-416F-94E6-C0D59A9F9AA5}"/>
    <cellStyle name="20% - Accent4 2 2 5 3 3" xfId="32841" xr:uid="{2CBFAAEA-47F1-4F37-991A-3FBDD5FF55ED}"/>
    <cellStyle name="20% - Accent4 2 2 5 3 4" xfId="24393" xr:uid="{6E3D7039-7DDA-43C6-97A7-83A46CFA9209}"/>
    <cellStyle name="20% - Accent4 2 2 5 3 5" xfId="15096" xr:uid="{4D2AF7E9-272A-4180-AF05-78C915C44785}"/>
    <cellStyle name="20% - Accent4 2 2 5 4" xfId="37071" xr:uid="{AFAC52CF-D2C7-4304-AB68-DE0F753D7865}"/>
    <cellStyle name="20% - Accent4 2 2 5 5" xfId="28623" xr:uid="{6574D20A-F9CB-4EA7-AE81-B22A6C0A783E}"/>
    <cellStyle name="20% - Accent4 2 2 5 6" xfId="20176" xr:uid="{B4D4C37D-DC52-470C-AB3B-493D162FAB36}"/>
    <cellStyle name="20% - Accent4 2 2 5 7" xfId="10879" xr:uid="{21C47ABD-D5C4-47A7-9FC7-72F9481902FF}"/>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43846" xr:uid="{0930A5D2-5B6D-482E-984F-78812FE0A597}"/>
    <cellStyle name="20% - Accent4 2 2 6 2 2 3" xfId="35399" xr:uid="{5851548C-C10B-4F49-B19F-0294A09799CB}"/>
    <cellStyle name="20% - Accent4 2 2 6 2 2 4" xfId="26951" xr:uid="{184BADB9-5315-4A00-A6B5-E0CC50A6DEFA}"/>
    <cellStyle name="20% - Accent4 2 2 6 2 2 5" xfId="17654" xr:uid="{7241A636-696A-4503-B880-399E9F032553}"/>
    <cellStyle name="20% - Accent4 2 2 6 2 3" xfId="39629" xr:uid="{E6DD191F-7A13-4CE4-A71F-0EFAB0B3D6E5}"/>
    <cellStyle name="20% - Accent4 2 2 6 2 4" xfId="31181" xr:uid="{1D2EA593-5DC6-4F9E-B077-9F3755E958C0}"/>
    <cellStyle name="20% - Accent4 2 2 6 2 5" xfId="22734" xr:uid="{4BB7A24D-732B-4007-972B-499076ECC54E}"/>
    <cellStyle name="20% - Accent4 2 2 6 2 6" xfId="13437" xr:uid="{8C8301E0-4906-40DF-87AB-50F6DC334E33}"/>
    <cellStyle name="20% - Accent4 2 2 6 3" xfId="6183" xr:uid="{00000000-0005-0000-0000-000007020000}"/>
    <cellStyle name="20% - Accent4 2 2 6 3 2" xfId="41701" xr:uid="{726B2F0F-E1FF-4007-88F1-97A57AE03FB9}"/>
    <cellStyle name="20% - Accent4 2 2 6 3 3" xfId="33254" xr:uid="{EFF667DE-24D0-40D3-B3C3-C5393DD85A53}"/>
    <cellStyle name="20% - Accent4 2 2 6 3 4" xfId="24806" xr:uid="{A4CA964F-57BC-4308-A354-FB89C9F396F4}"/>
    <cellStyle name="20% - Accent4 2 2 6 3 5" xfId="15509" xr:uid="{0EA151B6-BA07-4907-861A-785D7D121C4B}"/>
    <cellStyle name="20% - Accent4 2 2 6 4" xfId="37484" xr:uid="{2676E52E-F97D-40C5-AE99-E7943D5E9D41}"/>
    <cellStyle name="20% - Accent4 2 2 6 5" xfId="29036" xr:uid="{A16360FC-2FCF-4731-B5E8-B9DFABA5A7A4}"/>
    <cellStyle name="20% - Accent4 2 2 6 6" xfId="20589" xr:uid="{1951C8FD-FF25-456D-8C28-27BDF269153A}"/>
    <cellStyle name="20% - Accent4 2 2 6 7" xfId="11292" xr:uid="{47A6796A-9C94-4DBB-A76A-85C91B0A1467}"/>
    <cellStyle name="20% - Accent4 2 2 7" xfId="2290" xr:uid="{00000000-0005-0000-0000-000008020000}"/>
    <cellStyle name="20% - Accent4 2 2 7 2" xfId="6596" xr:uid="{00000000-0005-0000-0000-000009020000}"/>
    <cellStyle name="20% - Accent4 2 2 7 2 2" xfId="42114" xr:uid="{6404D000-A8F0-4C32-9AFB-9F33442E030F}"/>
    <cellStyle name="20% - Accent4 2 2 7 2 3" xfId="33667" xr:uid="{D4AC266F-EE6E-4308-B6F0-7991B5CA9BCF}"/>
    <cellStyle name="20% - Accent4 2 2 7 2 4" xfId="25219" xr:uid="{10A76038-9571-4AD2-9D4A-AC19ECBC02E0}"/>
    <cellStyle name="20% - Accent4 2 2 7 2 5" xfId="15922" xr:uid="{E86CACBE-250D-415D-AE42-4771194ABB25}"/>
    <cellStyle name="20% - Accent4 2 2 7 3" xfId="37897" xr:uid="{B0737DAB-83CF-40C6-8928-C4A8E2591DD3}"/>
    <cellStyle name="20% - Accent4 2 2 7 4" xfId="29449" xr:uid="{D1637532-9C97-4CFF-89E4-EF8C6D2847D6}"/>
    <cellStyle name="20% - Accent4 2 2 7 5" xfId="21002" xr:uid="{D43C821F-E968-4293-858A-229651FBB9B2}"/>
    <cellStyle name="20% - Accent4 2 2 7 6" xfId="11705" xr:uid="{967AB496-91D5-4DBB-8564-0F7E5FD9FA24}"/>
    <cellStyle name="20% - Accent4 2 2 8" xfId="4530" xr:uid="{00000000-0005-0000-0000-00000A020000}"/>
    <cellStyle name="20% - Accent4 2 2 8 2" xfId="40048" xr:uid="{D7FE3B15-00CD-4E80-8C94-44F36BEEB047}"/>
    <cellStyle name="20% - Accent4 2 2 8 3" xfId="31601" xr:uid="{8643E56B-5160-4936-91EB-E93BE805CA33}"/>
    <cellStyle name="20% - Accent4 2 2 8 4" xfId="23153" xr:uid="{42F04050-D71D-4B5C-BFC6-D805A87F0983}"/>
    <cellStyle name="20% - Accent4 2 2 8 5" xfId="13856" xr:uid="{44EBD599-E80C-497A-965A-895F2A26AB9F}"/>
    <cellStyle name="20% - Accent4 2 2 9" xfId="8897" xr:uid="{3A58A73C-0193-4EAC-8E12-5BF8743CE9BA}"/>
    <cellStyle name="20% - Accent4 2 2 9 2" xfId="35831" xr:uid="{B448565E-A4BB-4082-8549-1754968AE069}"/>
    <cellStyle name="20% - Accent4 2 2 9 3" xfId="18220" xr:uid="{AA8A9740-CDD3-46BB-9175-CE89A4BC5351}"/>
    <cellStyle name="20% - Accent4 2 3" xfId="29" xr:uid="{00000000-0005-0000-0000-00000B020000}"/>
    <cellStyle name="20% - Accent4 2 3 10" xfId="18938" xr:uid="{CD93192F-4B34-42D1-BC7A-2B3D966BAD82}"/>
    <cellStyle name="20% - Accent4 2 3 11" xfId="9641" xr:uid="{D6EED67E-F5EA-4AAF-A578-E63F9E0EF375}"/>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42609" xr:uid="{CE4FE768-A145-498E-A37C-7C621CFD13B8}"/>
    <cellStyle name="20% - Accent4 2 3 2 2 2 3" xfId="34162" xr:uid="{BBBAC78B-0E0C-442E-9AD6-D540EF6AB393}"/>
    <cellStyle name="20% - Accent4 2 3 2 2 2 4" xfId="25714" xr:uid="{DC8A2B0C-3FCC-4EA2-B9EA-C832AC2948DC}"/>
    <cellStyle name="20% - Accent4 2 3 2 2 2 5" xfId="16417" xr:uid="{0EE0C222-9039-4B78-AF32-AF7E7320693E}"/>
    <cellStyle name="20% - Accent4 2 3 2 2 3" xfId="38392" xr:uid="{B229973E-784A-4613-8BEB-29AEEE39B943}"/>
    <cellStyle name="20% - Accent4 2 3 2 2 4" xfId="29944" xr:uid="{71E71B55-347C-4EA2-8A92-3C3792CC1108}"/>
    <cellStyle name="20% - Accent4 2 3 2 2 5" xfId="21497" xr:uid="{6FF777ED-12AD-47BD-9EE2-15C041ED69C5}"/>
    <cellStyle name="20% - Accent4 2 3 2 2 6" xfId="12200" xr:uid="{190F162E-848E-4AA5-BCFF-362FFE041931}"/>
    <cellStyle name="20% - Accent4 2 3 2 3" xfId="4946" xr:uid="{00000000-0005-0000-0000-00000F020000}"/>
    <cellStyle name="20% - Accent4 2 3 2 3 2" xfId="40464" xr:uid="{5BC0B0BD-7483-4B9A-8B26-C198E8E21EDB}"/>
    <cellStyle name="20% - Accent4 2 3 2 3 3" xfId="32017" xr:uid="{7F7F378D-6085-44C7-AC8B-DE80D9D6C960}"/>
    <cellStyle name="20% - Accent4 2 3 2 3 4" xfId="23569" xr:uid="{B44251B2-908C-4C2A-A533-1C6696686E68}"/>
    <cellStyle name="20% - Accent4 2 3 2 3 5" xfId="14272" xr:uid="{13F3B062-67BB-4868-8EB3-EA1CFA045F07}"/>
    <cellStyle name="20% - Accent4 2 3 2 4" xfId="9426" xr:uid="{5B247D51-FBFD-4799-8395-E3F1C04297B8}"/>
    <cellStyle name="20% - Accent4 2 3 2 4 2" xfId="36247" xr:uid="{C8F2316B-115D-4AA2-A3D6-2F4AB19525DA}"/>
    <cellStyle name="20% - Accent4 2 3 2 4 3" xfId="18739" xr:uid="{13BA4C03-B199-40E9-A4FA-9402A49C94BA}"/>
    <cellStyle name="20% - Accent4 2 3 2 5" xfId="27799" xr:uid="{FC67A118-5417-4CE3-961D-E188FE3D3E10}"/>
    <cellStyle name="20% - Accent4 2 3 2 6" xfId="19352" xr:uid="{52C75362-E549-45C9-BD96-7BF52AE5E1DE}"/>
    <cellStyle name="20% - Accent4 2 3 2 7" xfId="10055" xr:uid="{2645AEF6-A93B-4218-BACA-FA90AA71F5CD}"/>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43022" xr:uid="{9BE1B059-2699-4168-AA73-28C7140CBB54}"/>
    <cellStyle name="20% - Accent4 2 3 3 2 2 3" xfId="34575" xr:uid="{76D312C1-8B6A-472E-BDFD-0A9F3080B09F}"/>
    <cellStyle name="20% - Accent4 2 3 3 2 2 4" xfId="26127" xr:uid="{878B87BD-C106-47D9-A032-B9661255D8CA}"/>
    <cellStyle name="20% - Accent4 2 3 3 2 2 5" xfId="16830" xr:uid="{22D342D3-BA57-4941-99B9-35E94DCEEC93}"/>
    <cellStyle name="20% - Accent4 2 3 3 2 3" xfId="38805" xr:uid="{BF0F824B-BEC9-4BEC-B33C-4FD1B6AAA74F}"/>
    <cellStyle name="20% - Accent4 2 3 3 2 4" xfId="30357" xr:uid="{72742B48-CADB-49E2-B447-B37CA6E22E56}"/>
    <cellStyle name="20% - Accent4 2 3 3 2 5" xfId="21910" xr:uid="{21B23B98-AA17-4231-8CA6-410A99159F7D}"/>
    <cellStyle name="20% - Accent4 2 3 3 2 6" xfId="12613" xr:uid="{DF6C77E8-CD65-4323-AE27-A995133034F5}"/>
    <cellStyle name="20% - Accent4 2 3 3 3" xfId="5359" xr:uid="{00000000-0005-0000-0000-000013020000}"/>
    <cellStyle name="20% - Accent4 2 3 3 3 2" xfId="40877" xr:uid="{40505088-D1F2-4CA8-9F72-C201BD518748}"/>
    <cellStyle name="20% - Accent4 2 3 3 3 3" xfId="32430" xr:uid="{2D94B616-AE3B-44FE-8B1C-41E0A5BA0353}"/>
    <cellStyle name="20% - Accent4 2 3 3 3 4" xfId="23982" xr:uid="{27EE9A9E-652D-4BC3-B6A4-6069BB792E97}"/>
    <cellStyle name="20% - Accent4 2 3 3 3 5" xfId="14685" xr:uid="{CB71426F-73C5-4A28-9177-77BF1EC640EF}"/>
    <cellStyle name="20% - Accent4 2 3 3 4" xfId="36660" xr:uid="{273BDF3D-DAE1-4757-AA83-C4010585C9DF}"/>
    <cellStyle name="20% - Accent4 2 3 3 5" xfId="28212" xr:uid="{994E9AA0-7EBB-46FF-AA1A-B06E831C4BD4}"/>
    <cellStyle name="20% - Accent4 2 3 3 6" xfId="19765" xr:uid="{FAD67342-45A3-42A0-8F74-3C1D3F0AD50C}"/>
    <cellStyle name="20% - Accent4 2 3 3 7" xfId="10468" xr:uid="{6C25E2F4-D37A-42D7-993D-DE3FB9F2E201}"/>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43435" xr:uid="{BD9A76AE-8B7C-4353-B538-56C1DE44A198}"/>
    <cellStyle name="20% - Accent4 2 3 4 2 2 3" xfId="34988" xr:uid="{DF066864-F0C2-4919-AB08-39FEDEA3ACE5}"/>
    <cellStyle name="20% - Accent4 2 3 4 2 2 4" xfId="26540" xr:uid="{868F2FB0-A915-41CB-8313-04DBD0921F69}"/>
    <cellStyle name="20% - Accent4 2 3 4 2 2 5" xfId="17243" xr:uid="{94A00AC5-592E-4434-A016-DAEAD716AE3A}"/>
    <cellStyle name="20% - Accent4 2 3 4 2 3" xfId="39218" xr:uid="{21DEC35C-1BE7-41A0-B030-02C6D6FE414F}"/>
    <cellStyle name="20% - Accent4 2 3 4 2 4" xfId="30770" xr:uid="{4D4AEDD1-5342-4297-9252-E8818AEFF77F}"/>
    <cellStyle name="20% - Accent4 2 3 4 2 5" xfId="22323" xr:uid="{3D16BF93-B791-4E81-976F-AD32F820BF02}"/>
    <cellStyle name="20% - Accent4 2 3 4 2 6" xfId="13026" xr:uid="{40FD30FD-E60C-437B-93DA-5A3092B2E9E3}"/>
    <cellStyle name="20% - Accent4 2 3 4 3" xfId="5772" xr:uid="{00000000-0005-0000-0000-000017020000}"/>
    <cellStyle name="20% - Accent4 2 3 4 3 2" xfId="41290" xr:uid="{FEEB42DE-95F5-41BC-A0CA-8A3720ADF891}"/>
    <cellStyle name="20% - Accent4 2 3 4 3 3" xfId="32843" xr:uid="{3DF9A030-5BC3-4726-B71C-19F5EC05A217}"/>
    <cellStyle name="20% - Accent4 2 3 4 3 4" xfId="24395" xr:uid="{D361FA4F-2A9C-4527-9869-5276E7300FB4}"/>
    <cellStyle name="20% - Accent4 2 3 4 3 5" xfId="15098" xr:uid="{4BC540DC-EEE8-4DC7-9919-E4FD1DF0E65C}"/>
    <cellStyle name="20% - Accent4 2 3 4 4" xfId="37073" xr:uid="{62C5B53E-E7D1-4BFA-A475-246E130F9D8E}"/>
    <cellStyle name="20% - Accent4 2 3 4 5" xfId="28625" xr:uid="{0D4DAAB7-D769-4A76-8937-29090A9F7269}"/>
    <cellStyle name="20% - Accent4 2 3 4 6" xfId="20178" xr:uid="{4C81D81B-14E8-4442-93CC-3FB3893700D1}"/>
    <cellStyle name="20% - Accent4 2 3 4 7" xfId="10881" xr:uid="{67B290F9-6A4E-4568-A201-D5A5B2110B4A}"/>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43848" xr:uid="{17311AEC-1349-46B8-BF68-BB0E69F7674E}"/>
    <cellStyle name="20% - Accent4 2 3 5 2 2 3" xfId="35401" xr:uid="{F62837F0-6A71-45A1-9299-A709B5EF99F1}"/>
    <cellStyle name="20% - Accent4 2 3 5 2 2 4" xfId="26953" xr:uid="{463801AC-8EFE-4D41-8509-F3EF45500E32}"/>
    <cellStyle name="20% - Accent4 2 3 5 2 2 5" xfId="17656" xr:uid="{1AEF2433-083A-47D3-B752-6A1429997226}"/>
    <cellStyle name="20% - Accent4 2 3 5 2 3" xfId="39631" xr:uid="{91532FF7-5A4C-4944-A0BF-0E05ABD1E549}"/>
    <cellStyle name="20% - Accent4 2 3 5 2 4" xfId="31183" xr:uid="{B46D2274-AC57-4337-AA10-F5B8D2B90328}"/>
    <cellStyle name="20% - Accent4 2 3 5 2 5" xfId="22736" xr:uid="{E1E6F184-68AF-48D6-86A8-CB76542CFDE0}"/>
    <cellStyle name="20% - Accent4 2 3 5 2 6" xfId="13439" xr:uid="{194EC5B3-A32A-4BE7-B83F-37459562070F}"/>
    <cellStyle name="20% - Accent4 2 3 5 3" xfId="6185" xr:uid="{00000000-0005-0000-0000-00001B020000}"/>
    <cellStyle name="20% - Accent4 2 3 5 3 2" xfId="41703" xr:uid="{27E36AA3-5CC4-4379-ACD9-75CAB6D7E1D7}"/>
    <cellStyle name="20% - Accent4 2 3 5 3 3" xfId="33256" xr:uid="{59AC1ACF-35A0-4F79-9BAA-410B1473733D}"/>
    <cellStyle name="20% - Accent4 2 3 5 3 4" xfId="24808" xr:uid="{CC1A5E94-0445-475F-86EE-53F6A145794F}"/>
    <cellStyle name="20% - Accent4 2 3 5 3 5" xfId="15511" xr:uid="{6825CE3A-C78E-4BC9-8B44-1B0071F2B367}"/>
    <cellStyle name="20% - Accent4 2 3 5 4" xfId="37486" xr:uid="{C22137DE-CB1F-43DE-A1BA-062EE4129FFF}"/>
    <cellStyle name="20% - Accent4 2 3 5 5" xfId="29038" xr:uid="{55EBC9BB-9A8D-406D-A8EA-0040E3B355D6}"/>
    <cellStyle name="20% - Accent4 2 3 5 6" xfId="20591" xr:uid="{92B9B90B-35E0-4EC0-84AC-B13D1FD559BF}"/>
    <cellStyle name="20% - Accent4 2 3 5 7" xfId="11294" xr:uid="{25CEEDE6-8D8D-48B9-A323-D541B680D5A6}"/>
    <cellStyle name="20% - Accent4 2 3 6" xfId="2292" xr:uid="{00000000-0005-0000-0000-00001C020000}"/>
    <cellStyle name="20% - Accent4 2 3 6 2" xfId="6598" xr:uid="{00000000-0005-0000-0000-00001D020000}"/>
    <cellStyle name="20% - Accent4 2 3 6 2 2" xfId="42116" xr:uid="{BEECEE42-E647-4EA6-8A66-7FA245D25EDD}"/>
    <cellStyle name="20% - Accent4 2 3 6 2 3" xfId="33669" xr:uid="{61776CD1-61AD-49F4-9DFD-C315F80C83A1}"/>
    <cellStyle name="20% - Accent4 2 3 6 2 4" xfId="25221" xr:uid="{BCD21ECB-15BA-47B6-ADCF-D0BF52843C43}"/>
    <cellStyle name="20% - Accent4 2 3 6 2 5" xfId="15924" xr:uid="{E8043A24-F5C8-4D18-B44D-1064BA3AB376}"/>
    <cellStyle name="20% - Accent4 2 3 6 3" xfId="37899" xr:uid="{C86054DE-55C9-46D7-862B-C0D446D98411}"/>
    <cellStyle name="20% - Accent4 2 3 6 4" xfId="29451" xr:uid="{24D1C162-34F8-4566-BE8A-54D8CCC9B5E2}"/>
    <cellStyle name="20% - Accent4 2 3 6 5" xfId="21004" xr:uid="{C7A3F8F4-2EF3-45F4-BC53-8F8428DF9B3B}"/>
    <cellStyle name="20% - Accent4 2 3 6 6" xfId="11707" xr:uid="{59E55FFE-696A-4136-A7CE-1E47D60AE3B4}"/>
    <cellStyle name="20% - Accent4 2 3 7" xfId="4532" xr:uid="{00000000-0005-0000-0000-00001E020000}"/>
    <cellStyle name="20% - Accent4 2 3 7 2" xfId="40050" xr:uid="{85FD0388-5995-4546-8611-6AD8569B7950}"/>
    <cellStyle name="20% - Accent4 2 3 7 3" xfId="31603" xr:uid="{16076704-068D-4432-A6AA-581B118F92DF}"/>
    <cellStyle name="20% - Accent4 2 3 7 4" xfId="23155" xr:uid="{3282AD0A-F1C9-4A3A-A2D2-3611B7CCC970}"/>
    <cellStyle name="20% - Accent4 2 3 7 5" xfId="13858" xr:uid="{B0CFC577-AEDB-4E26-9188-0DFFDCBB378E}"/>
    <cellStyle name="20% - Accent4 2 3 8" xfId="9001" xr:uid="{B9DE6BBA-06E2-4FC8-B645-F20E60244072}"/>
    <cellStyle name="20% - Accent4 2 3 8 2" xfId="35833" xr:uid="{0056FF19-6045-47F8-813A-F70A20950C39}"/>
    <cellStyle name="20% - Accent4 2 3 8 3" xfId="18324" xr:uid="{C7BDD87E-8BE3-4273-8FA0-E0D085C9340F}"/>
    <cellStyle name="20% - Accent4 2 3 9" xfId="27385" xr:uid="{9304F42B-CB7E-4102-A3F5-162B48C419BF}"/>
    <cellStyle name="20% - Accent4 2 4" xfId="595" xr:uid="{00000000-0005-0000-0000-00001F020000}"/>
    <cellStyle name="20% - Accent4 2 4 2" xfId="2866" xr:uid="{00000000-0005-0000-0000-000020020000}"/>
    <cellStyle name="20% - Accent4 2 4 2 2" xfId="7088" xr:uid="{00000000-0005-0000-0000-000021020000}"/>
    <cellStyle name="20% - Accent4 2 4 2 2 2" xfId="42606" xr:uid="{0E11E6F6-516E-4970-B95C-8304135075F6}"/>
    <cellStyle name="20% - Accent4 2 4 2 2 3" xfId="34159" xr:uid="{4A265064-B03A-4FEC-8EC4-188CBF362D30}"/>
    <cellStyle name="20% - Accent4 2 4 2 2 4" xfId="25711" xr:uid="{FD373401-A481-4EDE-9676-32AA689722FB}"/>
    <cellStyle name="20% - Accent4 2 4 2 2 5" xfId="16414" xr:uid="{9CF4BF45-D665-46BA-843E-EACA7E6D5692}"/>
    <cellStyle name="20% - Accent4 2 4 2 3" xfId="38389" xr:uid="{58F04A7D-2AA3-4809-832A-4C118A54A88A}"/>
    <cellStyle name="20% - Accent4 2 4 2 4" xfId="29941" xr:uid="{6422AE23-8602-4F38-AED1-865E5743FF74}"/>
    <cellStyle name="20% - Accent4 2 4 2 5" xfId="21494" xr:uid="{241BF8B5-F44E-425A-8F55-1B826FB4C85C}"/>
    <cellStyle name="20% - Accent4 2 4 2 6" xfId="12197" xr:uid="{F2C3037C-57C1-4D4E-8280-30FA8540946F}"/>
    <cellStyle name="20% - Accent4 2 4 3" xfId="4943" xr:uid="{00000000-0005-0000-0000-000022020000}"/>
    <cellStyle name="20% - Accent4 2 4 3 2" xfId="40461" xr:uid="{0293E70D-AE61-4312-9765-7DA3C06CA816}"/>
    <cellStyle name="20% - Accent4 2 4 3 3" xfId="32014" xr:uid="{65C53285-2365-4A3F-A4B3-71B3376DC6A3}"/>
    <cellStyle name="20% - Accent4 2 4 3 4" xfId="23566" xr:uid="{BB3AF981-6F40-496C-99F0-2C22EA80D974}"/>
    <cellStyle name="20% - Accent4 2 4 3 5" xfId="14269" xr:uid="{F7735B9E-4576-420C-B7D3-2B00226AA88E}"/>
    <cellStyle name="20% - Accent4 2 4 4" xfId="9218" xr:uid="{EEA9CEE5-7B27-41EB-B571-13D0ADC44445}"/>
    <cellStyle name="20% - Accent4 2 4 4 2" xfId="36244" xr:uid="{94FDA711-B49E-42E3-8920-20C703AAFB73}"/>
    <cellStyle name="20% - Accent4 2 4 4 3" xfId="18532" xr:uid="{4DAF0500-1913-4590-9E3C-9FA42E595826}"/>
    <cellStyle name="20% - Accent4 2 4 5" xfId="27796" xr:uid="{92939001-827B-44C0-ACD1-C49AC5492EE2}"/>
    <cellStyle name="20% - Accent4 2 4 6" xfId="19349" xr:uid="{0DF09A6C-A6C6-4535-A5F0-432742A11969}"/>
    <cellStyle name="20% - Accent4 2 4 7" xfId="10052" xr:uid="{2ACBD83B-EF39-48D8-AE47-E1EC4987917A}"/>
    <cellStyle name="20% - Accent4 2 5" xfId="1048" xr:uid="{00000000-0005-0000-0000-000023020000}"/>
    <cellStyle name="20% - Accent4 2 5 2" xfId="3279" xr:uid="{00000000-0005-0000-0000-000024020000}"/>
    <cellStyle name="20% - Accent4 2 5 2 2" xfId="7501" xr:uid="{00000000-0005-0000-0000-000025020000}"/>
    <cellStyle name="20% - Accent4 2 5 2 2 2" xfId="43019" xr:uid="{355AFB27-A74B-408E-9016-499CA51F699D}"/>
    <cellStyle name="20% - Accent4 2 5 2 2 3" xfId="34572" xr:uid="{9F7B8BF4-0675-40A8-BDFD-E9E1861919EE}"/>
    <cellStyle name="20% - Accent4 2 5 2 2 4" xfId="26124" xr:uid="{6CB37302-1540-41DE-AA82-03C5B9E38CA5}"/>
    <cellStyle name="20% - Accent4 2 5 2 2 5" xfId="16827" xr:uid="{49A50256-A111-4B4C-A5AE-89F34F54FFEE}"/>
    <cellStyle name="20% - Accent4 2 5 2 3" xfId="38802" xr:uid="{159FF7A3-44A8-4D36-82CD-F9D8384F54A3}"/>
    <cellStyle name="20% - Accent4 2 5 2 4" xfId="30354" xr:uid="{45C69BB4-555A-4384-BF72-1BC74F42FCF0}"/>
    <cellStyle name="20% - Accent4 2 5 2 5" xfId="21907" xr:uid="{B2E2A9CB-1F1B-4DE5-8669-3408DFD2A8C4}"/>
    <cellStyle name="20% - Accent4 2 5 2 6" xfId="12610" xr:uid="{3196BC79-8F41-4786-A847-BA0CCB1C5E47}"/>
    <cellStyle name="20% - Accent4 2 5 3" xfId="5356" xr:uid="{00000000-0005-0000-0000-000026020000}"/>
    <cellStyle name="20% - Accent4 2 5 3 2" xfId="40874" xr:uid="{1D802A48-8978-4A8B-BB2E-6FE4A7F8847E}"/>
    <cellStyle name="20% - Accent4 2 5 3 3" xfId="32427" xr:uid="{86D88C80-D349-49EA-980F-B1040A583F55}"/>
    <cellStyle name="20% - Accent4 2 5 3 4" xfId="23979" xr:uid="{A861ED92-58C9-4813-9EA5-4605DCC25A81}"/>
    <cellStyle name="20% - Accent4 2 5 3 5" xfId="14682" xr:uid="{DDEC9D3B-9D5E-461F-BA10-8E0C3A5CD1D6}"/>
    <cellStyle name="20% - Accent4 2 5 4" xfId="36657" xr:uid="{9737E1BB-C7D7-4443-AE9A-0DA24A443CCD}"/>
    <cellStyle name="20% - Accent4 2 5 5" xfId="28209" xr:uid="{FB96AC31-C3FB-42EF-817A-B9AB611E0F94}"/>
    <cellStyle name="20% - Accent4 2 5 6" xfId="19762" xr:uid="{23523819-84B3-4441-8422-48CCE29D7E84}"/>
    <cellStyle name="20% - Accent4 2 5 7" xfId="10465" xr:uid="{0BE459C0-4072-48FF-A5B8-1D331334CE61}"/>
    <cellStyle name="20% - Accent4 2 6" xfId="1462" xr:uid="{00000000-0005-0000-0000-000027020000}"/>
    <cellStyle name="20% - Accent4 2 6 2" xfId="3692" xr:uid="{00000000-0005-0000-0000-000028020000}"/>
    <cellStyle name="20% - Accent4 2 6 2 2" xfId="7914" xr:uid="{00000000-0005-0000-0000-000029020000}"/>
    <cellStyle name="20% - Accent4 2 6 2 2 2" xfId="43432" xr:uid="{E75DFFB6-8D71-4D8E-9812-995B74566537}"/>
    <cellStyle name="20% - Accent4 2 6 2 2 3" xfId="34985" xr:uid="{F7223E00-3EAC-4DBB-894E-C8059B371A7D}"/>
    <cellStyle name="20% - Accent4 2 6 2 2 4" xfId="26537" xr:uid="{D0135670-BBC4-4939-AFDA-C8ECB2CCFB50}"/>
    <cellStyle name="20% - Accent4 2 6 2 2 5" xfId="17240" xr:uid="{33E1BA72-964F-44B0-AB54-71FE6731D5A4}"/>
    <cellStyle name="20% - Accent4 2 6 2 3" xfId="39215" xr:uid="{558DFCC2-A373-4461-AE4E-1736F83FB804}"/>
    <cellStyle name="20% - Accent4 2 6 2 4" xfId="30767" xr:uid="{7294029F-D783-4A6D-9F59-5C3A8E508720}"/>
    <cellStyle name="20% - Accent4 2 6 2 5" xfId="22320" xr:uid="{9C50050D-F979-4831-B927-580DFDC14229}"/>
    <cellStyle name="20% - Accent4 2 6 2 6" xfId="13023" xr:uid="{0C6D8D3C-7B59-4673-921D-4C6EE7F9FAB8}"/>
    <cellStyle name="20% - Accent4 2 6 3" xfId="5769" xr:uid="{00000000-0005-0000-0000-00002A020000}"/>
    <cellStyle name="20% - Accent4 2 6 3 2" xfId="41287" xr:uid="{FD671146-29E5-423A-8ADA-9F0A5368CF3A}"/>
    <cellStyle name="20% - Accent4 2 6 3 3" xfId="32840" xr:uid="{CBCF5E10-BB1C-4902-8CBB-BAAB176EEBD2}"/>
    <cellStyle name="20% - Accent4 2 6 3 4" xfId="24392" xr:uid="{130BFE8B-6DD1-454E-8C88-AAE4964E28A0}"/>
    <cellStyle name="20% - Accent4 2 6 3 5" xfId="15095" xr:uid="{47123CDF-CEF2-4451-A927-22D645CAE486}"/>
    <cellStyle name="20% - Accent4 2 6 4" xfId="37070" xr:uid="{78523880-5DC4-40E1-9E00-45D3D08D2721}"/>
    <cellStyle name="20% - Accent4 2 6 5" xfId="28622" xr:uid="{4B86EF1A-25DF-44B6-842D-052B76F8CAC5}"/>
    <cellStyle name="20% - Accent4 2 6 6" xfId="20175" xr:uid="{F529C5A5-E96B-4D67-A25F-CFC112E22D9A}"/>
    <cellStyle name="20% - Accent4 2 6 7" xfId="10878" xr:uid="{772F3B03-47A0-4AAB-A54E-232C57FDB81C}"/>
    <cellStyle name="20% - Accent4 2 7" xfId="1876" xr:uid="{00000000-0005-0000-0000-00002B020000}"/>
    <cellStyle name="20% - Accent4 2 7 2" xfId="4105" xr:uid="{00000000-0005-0000-0000-00002C020000}"/>
    <cellStyle name="20% - Accent4 2 7 2 2" xfId="8327" xr:uid="{00000000-0005-0000-0000-00002D020000}"/>
    <cellStyle name="20% - Accent4 2 7 2 2 2" xfId="43845" xr:uid="{01BA110F-BC6F-42F9-B3B3-3CD2AE588949}"/>
    <cellStyle name="20% - Accent4 2 7 2 2 3" xfId="35398" xr:uid="{80002F50-6763-44A6-AD41-C6E300FB7385}"/>
    <cellStyle name="20% - Accent4 2 7 2 2 4" xfId="26950" xr:uid="{CF87A8B2-0B4A-4141-B25B-285EF5BDA87E}"/>
    <cellStyle name="20% - Accent4 2 7 2 2 5" xfId="17653" xr:uid="{A73B95BC-ED98-4F4A-84AD-C5A6C1DDDB75}"/>
    <cellStyle name="20% - Accent4 2 7 2 3" xfId="39628" xr:uid="{832F37A2-1488-430E-BEC9-09FBFCF0989C}"/>
    <cellStyle name="20% - Accent4 2 7 2 4" xfId="31180" xr:uid="{9F3C4F12-3051-40D4-85AD-5E5062A4F63C}"/>
    <cellStyle name="20% - Accent4 2 7 2 5" xfId="22733" xr:uid="{B55E5F17-4E00-4B99-B6BE-DE853DD573BB}"/>
    <cellStyle name="20% - Accent4 2 7 2 6" xfId="13436" xr:uid="{AA60BB0A-E542-46D9-BA7B-CC74D23F56E0}"/>
    <cellStyle name="20% - Accent4 2 7 3" xfId="6182" xr:uid="{00000000-0005-0000-0000-00002E020000}"/>
    <cellStyle name="20% - Accent4 2 7 3 2" xfId="41700" xr:uid="{B1BE637E-796C-484D-82EB-2E9E30DE2278}"/>
    <cellStyle name="20% - Accent4 2 7 3 3" xfId="33253" xr:uid="{BD426BDF-80F8-4EA7-9BB3-00E3695EDE6E}"/>
    <cellStyle name="20% - Accent4 2 7 3 4" xfId="24805" xr:uid="{7EAFF98E-56D2-4C86-B8E0-A9578D959B1A}"/>
    <cellStyle name="20% - Accent4 2 7 3 5" xfId="15508" xr:uid="{0CBC10E9-0561-40A6-A8E0-906043B468E4}"/>
    <cellStyle name="20% - Accent4 2 7 4" xfId="37483" xr:uid="{678D4706-F25A-4409-87DB-BA46C774B779}"/>
    <cellStyle name="20% - Accent4 2 7 5" xfId="29035" xr:uid="{8E777B47-49E5-471E-A82C-893CE9C8E4E1}"/>
    <cellStyle name="20% - Accent4 2 7 6" xfId="20588" xr:uid="{51924956-9B22-4AC1-88F5-BB51E50E67EA}"/>
    <cellStyle name="20% - Accent4 2 7 7" xfId="11291" xr:uid="{AEC27EC9-7E45-4BC1-B064-C2485033C90A}"/>
    <cellStyle name="20% - Accent4 2 8" xfId="2289" xr:uid="{00000000-0005-0000-0000-00002F020000}"/>
    <cellStyle name="20% - Accent4 2 8 2" xfId="6595" xr:uid="{00000000-0005-0000-0000-000030020000}"/>
    <cellStyle name="20% - Accent4 2 8 2 2" xfId="42113" xr:uid="{BD33069F-27B7-4849-9D9D-45937EA58904}"/>
    <cellStyle name="20% - Accent4 2 8 2 3" xfId="33666" xr:uid="{5FF8C4E1-BE0C-428F-857B-C9EB61D4FA9A}"/>
    <cellStyle name="20% - Accent4 2 8 2 4" xfId="25218" xr:uid="{002B51B0-77A9-4EF4-BDC0-B0FBDAD792B1}"/>
    <cellStyle name="20% - Accent4 2 8 2 5" xfId="15921" xr:uid="{DD5D5DA0-1DB5-4213-9304-301569F9C536}"/>
    <cellStyle name="20% - Accent4 2 8 3" xfId="37896" xr:uid="{35870BAB-52A9-49E7-9FA4-1F52A2444F2D}"/>
    <cellStyle name="20% - Accent4 2 8 4" xfId="29448" xr:uid="{CFE62085-C7B1-433A-A5B8-DE0B7C0C1DA1}"/>
    <cellStyle name="20% - Accent4 2 8 5" xfId="21001" xr:uid="{C4A2A9DC-7A21-4C88-B0ED-F8074BF82730}"/>
    <cellStyle name="20% - Accent4 2 8 6" xfId="11704" xr:uid="{135E0E9F-F339-4913-9EB4-D2F96531D324}"/>
    <cellStyle name="20% - Accent4 2 9" xfId="4529" xr:uid="{00000000-0005-0000-0000-000031020000}"/>
    <cellStyle name="20% - Accent4 2 9 2" xfId="40047" xr:uid="{79920EAD-33C8-4EAD-995E-BC570A33E78B}"/>
    <cellStyle name="20% - Accent4 2 9 3" xfId="31600" xr:uid="{F4AA457B-25B5-4292-865A-0AE88523B2B6}"/>
    <cellStyle name="20% - Accent4 2 9 4" xfId="23152" xr:uid="{EB1D47C6-A597-40C0-A7FE-B1F89E0E69C9}"/>
    <cellStyle name="20% - Accent4 2 9 5" xfId="13855" xr:uid="{C5AD6AF0-A3F3-4F1F-8BF4-080F46833786}"/>
    <cellStyle name="20% - Accent4 3" xfId="30" xr:uid="{00000000-0005-0000-0000-000032020000}"/>
    <cellStyle name="20% - Accent4 3 10" xfId="27386" xr:uid="{5B5A95AF-CDD8-47BC-BAAA-BF14614A4751}"/>
    <cellStyle name="20% - Accent4 3 11" xfId="18939" xr:uid="{F4EF9040-DED2-438F-B195-943BD53164F7}"/>
    <cellStyle name="20% - Accent4 3 12" xfId="9642" xr:uid="{AF39FCB7-2ACA-4A24-A6B5-5FDAE1B00CBF}"/>
    <cellStyle name="20% - Accent4 3 2" xfId="31" xr:uid="{00000000-0005-0000-0000-000033020000}"/>
    <cellStyle name="20% - Accent4 3 2 10" xfId="18940" xr:uid="{F9F1AFA3-035D-4693-B395-8E7F28C45416}"/>
    <cellStyle name="20% - Accent4 3 2 11" xfId="9643" xr:uid="{5FC44A80-33DC-49A9-B058-F1CC34141A7B}"/>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42611" xr:uid="{206B6842-03C8-448A-A9BF-54FA05E84A10}"/>
    <cellStyle name="20% - Accent4 3 2 2 2 2 3" xfId="34164" xr:uid="{72799C89-EE6D-42F6-BE4F-8A738125B281}"/>
    <cellStyle name="20% - Accent4 3 2 2 2 2 4" xfId="25716" xr:uid="{AA6E828A-3EEE-402C-A344-CAFFFAB7B67D}"/>
    <cellStyle name="20% - Accent4 3 2 2 2 2 5" xfId="16419" xr:uid="{1E740731-616A-40A0-8FA8-65A82BBD8D82}"/>
    <cellStyle name="20% - Accent4 3 2 2 2 3" xfId="38394" xr:uid="{CE19F739-BFDD-4007-8B98-6FA2573A76BF}"/>
    <cellStyle name="20% - Accent4 3 2 2 2 4" xfId="29946" xr:uid="{04CC3253-0713-42A0-B6BB-EBB505AC920F}"/>
    <cellStyle name="20% - Accent4 3 2 2 2 5" xfId="21499" xr:uid="{9C91AB4C-7E27-466B-8E1B-815EAEF89F5B}"/>
    <cellStyle name="20% - Accent4 3 2 2 2 6" xfId="12202" xr:uid="{6B0580C5-A602-401F-9ED3-0F9C13949319}"/>
    <cellStyle name="20% - Accent4 3 2 2 3" xfId="4948" xr:uid="{00000000-0005-0000-0000-000037020000}"/>
    <cellStyle name="20% - Accent4 3 2 2 3 2" xfId="40466" xr:uid="{0AA4A2B5-6141-4888-B0DB-E82DA4C5055F}"/>
    <cellStyle name="20% - Accent4 3 2 2 3 3" xfId="32019" xr:uid="{18C96B3A-E100-4EB3-8787-0D83D2762F7D}"/>
    <cellStyle name="20% - Accent4 3 2 2 3 4" xfId="23571" xr:uid="{DD0FD76E-7072-4C55-A140-DFB11EDD5348}"/>
    <cellStyle name="20% - Accent4 3 2 2 3 5" xfId="14274" xr:uid="{705DAC05-F8C1-40D7-84EF-48E439962ED1}"/>
    <cellStyle name="20% - Accent4 3 2 2 4" xfId="9499" xr:uid="{019308F4-938B-408B-A627-483AF94276A0}"/>
    <cellStyle name="20% - Accent4 3 2 2 4 2" xfId="36249" xr:uid="{500925CB-37F2-4F28-BA61-CEB5DC63CF06}"/>
    <cellStyle name="20% - Accent4 3 2 2 4 3" xfId="18812" xr:uid="{7C56E8F2-A8D5-4106-A3B3-C06642017C2F}"/>
    <cellStyle name="20% - Accent4 3 2 2 5" xfId="27801" xr:uid="{2972DBBA-F19F-41C3-9037-65E8E25332F7}"/>
    <cellStyle name="20% - Accent4 3 2 2 6" xfId="19354" xr:uid="{972AC929-1C67-42AF-9DF2-48E822BB9C91}"/>
    <cellStyle name="20% - Accent4 3 2 2 7" xfId="10057" xr:uid="{1B6F8748-ACAB-4413-8592-CACD2D7F46CE}"/>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43024" xr:uid="{7CA1276A-C03A-48B0-AD0C-4C0A2BCC997A}"/>
    <cellStyle name="20% - Accent4 3 2 3 2 2 3" xfId="34577" xr:uid="{6E2FA4FB-7A45-43D3-A75B-587A106842EC}"/>
    <cellStyle name="20% - Accent4 3 2 3 2 2 4" xfId="26129" xr:uid="{1558D9B3-09F3-4FFD-A65F-DFF9F919F1E1}"/>
    <cellStyle name="20% - Accent4 3 2 3 2 2 5" xfId="16832" xr:uid="{CAE8C8A9-5DF4-46A6-9ADA-17CE93C863B2}"/>
    <cellStyle name="20% - Accent4 3 2 3 2 3" xfId="38807" xr:uid="{E2B0764B-7056-4018-96E0-E9F28F1E9659}"/>
    <cellStyle name="20% - Accent4 3 2 3 2 4" xfId="30359" xr:uid="{51140B7E-4F39-45B7-8461-991119EE9C30}"/>
    <cellStyle name="20% - Accent4 3 2 3 2 5" xfId="21912" xr:uid="{8C9170AC-DC97-49FB-A043-D3C566F945CB}"/>
    <cellStyle name="20% - Accent4 3 2 3 2 6" xfId="12615" xr:uid="{74AA3136-8077-4B24-A80C-359C1ADBF01C}"/>
    <cellStyle name="20% - Accent4 3 2 3 3" xfId="5361" xr:uid="{00000000-0005-0000-0000-00003B020000}"/>
    <cellStyle name="20% - Accent4 3 2 3 3 2" xfId="40879" xr:uid="{2AD54B25-0934-4AE6-AA29-12648FB9CB90}"/>
    <cellStyle name="20% - Accent4 3 2 3 3 3" xfId="32432" xr:uid="{7FF439C0-C932-49C4-B0A3-EE6D455C3329}"/>
    <cellStyle name="20% - Accent4 3 2 3 3 4" xfId="23984" xr:uid="{35A129FD-33B5-44F7-9356-5DF771976123}"/>
    <cellStyle name="20% - Accent4 3 2 3 3 5" xfId="14687" xr:uid="{6BE9F3A7-4BD6-475D-8585-8DB16B0B2130}"/>
    <cellStyle name="20% - Accent4 3 2 3 4" xfId="36662" xr:uid="{7F43115F-03F2-4A61-AA5E-35D219348D43}"/>
    <cellStyle name="20% - Accent4 3 2 3 5" xfId="28214" xr:uid="{D312337E-5476-4093-AE4B-AF1E87C375E5}"/>
    <cellStyle name="20% - Accent4 3 2 3 6" xfId="19767" xr:uid="{AB9D3CE8-96CC-4DFB-A7F5-B20E39A3BCC2}"/>
    <cellStyle name="20% - Accent4 3 2 3 7" xfId="10470" xr:uid="{7D2C485F-A4CC-4F4F-9D7D-38A2C0031F43}"/>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43437" xr:uid="{4DDC46C1-B8E2-46A1-B1B9-E100F08B8FC4}"/>
    <cellStyle name="20% - Accent4 3 2 4 2 2 3" xfId="34990" xr:uid="{6178A278-6297-40F7-B9DA-C16C4F86EA3F}"/>
    <cellStyle name="20% - Accent4 3 2 4 2 2 4" xfId="26542" xr:uid="{D97C7E61-14F0-4866-A6CC-9873FCC46418}"/>
    <cellStyle name="20% - Accent4 3 2 4 2 2 5" xfId="17245" xr:uid="{FDB7A510-70A1-4593-9C0F-FD2DE7DAB5F3}"/>
    <cellStyle name="20% - Accent4 3 2 4 2 3" xfId="39220" xr:uid="{01C1A263-5C6F-4C18-9C3F-5BA10A7F5722}"/>
    <cellStyle name="20% - Accent4 3 2 4 2 4" xfId="30772" xr:uid="{965A9965-05B6-486D-8212-B40A72D74F89}"/>
    <cellStyle name="20% - Accent4 3 2 4 2 5" xfId="22325" xr:uid="{9F13A303-EBF9-4A0F-84E5-BE89535E9869}"/>
    <cellStyle name="20% - Accent4 3 2 4 2 6" xfId="13028" xr:uid="{2C3742E0-97C9-4AE6-8B8B-1E2B8D783FEE}"/>
    <cellStyle name="20% - Accent4 3 2 4 3" xfId="5774" xr:uid="{00000000-0005-0000-0000-00003F020000}"/>
    <cellStyle name="20% - Accent4 3 2 4 3 2" xfId="41292" xr:uid="{9CE72865-A3F4-41F0-9929-756177F4E77D}"/>
    <cellStyle name="20% - Accent4 3 2 4 3 3" xfId="32845" xr:uid="{F86F8B9C-BCEA-4648-A94D-45B96396D6B6}"/>
    <cellStyle name="20% - Accent4 3 2 4 3 4" xfId="24397" xr:uid="{3CC8C23A-D609-4A1A-A883-C74103FE1483}"/>
    <cellStyle name="20% - Accent4 3 2 4 3 5" xfId="15100" xr:uid="{EF2DD46D-63C1-46FD-9FE7-B86A3A2C8002}"/>
    <cellStyle name="20% - Accent4 3 2 4 4" xfId="37075" xr:uid="{EDC1AA01-0EAD-44C1-827B-49BFFB601B89}"/>
    <cellStyle name="20% - Accent4 3 2 4 5" xfId="28627" xr:uid="{37E9A99A-27EA-47AD-8AB9-73FC33A7C5E7}"/>
    <cellStyle name="20% - Accent4 3 2 4 6" xfId="20180" xr:uid="{38B150DA-8AD1-421C-AD18-650B9289F2BE}"/>
    <cellStyle name="20% - Accent4 3 2 4 7" xfId="10883" xr:uid="{5D58B2CB-08F2-4E21-BA30-1D54D89FE0CD}"/>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43850" xr:uid="{A1896238-8102-424E-965C-F81EA5CFD19D}"/>
    <cellStyle name="20% - Accent4 3 2 5 2 2 3" xfId="35403" xr:uid="{D9AA08AA-BBDE-4D9E-8FA9-25DF4D5A78CE}"/>
    <cellStyle name="20% - Accent4 3 2 5 2 2 4" xfId="26955" xr:uid="{0C86B51B-486B-4BA8-949A-59080779F396}"/>
    <cellStyle name="20% - Accent4 3 2 5 2 2 5" xfId="17658" xr:uid="{CF47EBA0-5252-4660-A200-899AC0D498A7}"/>
    <cellStyle name="20% - Accent4 3 2 5 2 3" xfId="39633" xr:uid="{3B09391A-DF78-4D2C-97E8-577E561D8D1B}"/>
    <cellStyle name="20% - Accent4 3 2 5 2 4" xfId="31185" xr:uid="{A76FA4BE-1A58-482B-9903-A82AAC1918BA}"/>
    <cellStyle name="20% - Accent4 3 2 5 2 5" xfId="22738" xr:uid="{86FC2D95-02E7-47EA-AB7E-31F988B1188F}"/>
    <cellStyle name="20% - Accent4 3 2 5 2 6" xfId="13441" xr:uid="{09148E06-C069-453B-98C4-2EB14CD9ADD6}"/>
    <cellStyle name="20% - Accent4 3 2 5 3" xfId="6187" xr:uid="{00000000-0005-0000-0000-000043020000}"/>
    <cellStyle name="20% - Accent4 3 2 5 3 2" xfId="41705" xr:uid="{F5B88F06-CFE8-4C72-BB09-01B4B69D17DD}"/>
    <cellStyle name="20% - Accent4 3 2 5 3 3" xfId="33258" xr:uid="{9F8C647D-B7E3-4004-8796-AB93CA186338}"/>
    <cellStyle name="20% - Accent4 3 2 5 3 4" xfId="24810" xr:uid="{4A08DA3B-C7B6-477A-81C1-AB34EE8E5AA8}"/>
    <cellStyle name="20% - Accent4 3 2 5 3 5" xfId="15513" xr:uid="{746DAD2E-0975-40BC-A89C-44FFC89AAE1F}"/>
    <cellStyle name="20% - Accent4 3 2 5 4" xfId="37488" xr:uid="{DAF967B3-611C-4538-ABA3-506D42AAAA6E}"/>
    <cellStyle name="20% - Accent4 3 2 5 5" xfId="29040" xr:uid="{2350D05A-B4FD-4B9A-AC22-236096E73494}"/>
    <cellStyle name="20% - Accent4 3 2 5 6" xfId="20593" xr:uid="{E3856464-1858-4A08-9398-93FA712EE51E}"/>
    <cellStyle name="20% - Accent4 3 2 5 7" xfId="11296" xr:uid="{57382104-1546-4E82-B410-9DE791C0E3FF}"/>
    <cellStyle name="20% - Accent4 3 2 6" xfId="2294" xr:uid="{00000000-0005-0000-0000-000044020000}"/>
    <cellStyle name="20% - Accent4 3 2 6 2" xfId="6600" xr:uid="{00000000-0005-0000-0000-000045020000}"/>
    <cellStyle name="20% - Accent4 3 2 6 2 2" xfId="42118" xr:uid="{88F5D6C8-0F6C-4485-9A83-9DA231AFC739}"/>
    <cellStyle name="20% - Accent4 3 2 6 2 3" xfId="33671" xr:uid="{DF088853-FF2C-405C-B0DC-08EEBC0E458B}"/>
    <cellStyle name="20% - Accent4 3 2 6 2 4" xfId="25223" xr:uid="{11C6703E-E5AD-4065-BBB2-7EF42D83EDAB}"/>
    <cellStyle name="20% - Accent4 3 2 6 2 5" xfId="15926" xr:uid="{6ECBEFD0-5793-4E15-9F58-3B83B8B1BC2F}"/>
    <cellStyle name="20% - Accent4 3 2 6 3" xfId="37901" xr:uid="{DFAD8413-AC34-4FEB-A0B9-4BA3378DF433}"/>
    <cellStyle name="20% - Accent4 3 2 6 4" xfId="29453" xr:uid="{C412FE68-3EBA-40A1-AF63-B583C1B1C969}"/>
    <cellStyle name="20% - Accent4 3 2 6 5" xfId="21006" xr:uid="{8E9ECED8-2B65-4F2F-82A8-2D263AD1BB98}"/>
    <cellStyle name="20% - Accent4 3 2 6 6" xfId="11709" xr:uid="{56CD4AB2-48F9-4AE1-A1B9-0CCF8B780CE2}"/>
    <cellStyle name="20% - Accent4 3 2 7" xfId="4534" xr:uid="{00000000-0005-0000-0000-000046020000}"/>
    <cellStyle name="20% - Accent4 3 2 7 2" xfId="40052" xr:uid="{1493E7F3-BBA8-464E-B055-A6D89E72AC64}"/>
    <cellStyle name="20% - Accent4 3 2 7 3" xfId="31605" xr:uid="{D1134F88-7B54-45AE-AD34-AF3B4571B301}"/>
    <cellStyle name="20% - Accent4 3 2 7 4" xfId="23157" xr:uid="{B23B78D2-E223-460F-A915-292A6CE5632E}"/>
    <cellStyle name="20% - Accent4 3 2 7 5" xfId="13860" xr:uid="{5E35F566-68B2-488D-AA44-2DE6EEBDDD35}"/>
    <cellStyle name="20% - Accent4 3 2 8" xfId="9074" xr:uid="{BA25EAA8-2B5F-4309-91A3-FC61FCEF209C}"/>
    <cellStyle name="20% - Accent4 3 2 8 2" xfId="35835" xr:uid="{6C60F9D8-C105-4DF0-B4B9-E95D4C284132}"/>
    <cellStyle name="20% - Accent4 3 2 8 3" xfId="18397" xr:uid="{22419C93-06D9-4BEA-BA49-431A72B7127A}"/>
    <cellStyle name="20% - Accent4 3 2 9" xfId="27387" xr:uid="{B1D1358E-3239-4BE7-87BC-FFAE2E51ADDF}"/>
    <cellStyle name="20% - Accent4 3 3" xfId="599" xr:uid="{00000000-0005-0000-0000-000047020000}"/>
    <cellStyle name="20% - Accent4 3 3 2" xfId="2870" xr:uid="{00000000-0005-0000-0000-000048020000}"/>
    <cellStyle name="20% - Accent4 3 3 2 2" xfId="7092" xr:uid="{00000000-0005-0000-0000-000049020000}"/>
    <cellStyle name="20% - Accent4 3 3 2 2 2" xfId="42610" xr:uid="{C16EA5F4-CA37-4F59-84FF-ECF5B753F902}"/>
    <cellStyle name="20% - Accent4 3 3 2 2 3" xfId="34163" xr:uid="{3AA05AA7-CD62-468D-8E74-A19AFA580135}"/>
    <cellStyle name="20% - Accent4 3 3 2 2 4" xfId="25715" xr:uid="{6E8B07BC-0724-4D51-92FD-4FD75FA87D35}"/>
    <cellStyle name="20% - Accent4 3 3 2 2 5" xfId="16418" xr:uid="{B67300F2-9299-4FDD-A15D-6DC1B71E5B60}"/>
    <cellStyle name="20% - Accent4 3 3 2 3" xfId="38393" xr:uid="{327D81DF-CB74-456D-84DD-543ED0C80DA1}"/>
    <cellStyle name="20% - Accent4 3 3 2 4" xfId="29945" xr:uid="{4CBE04FA-A04D-412C-BC01-ED1E808BBE75}"/>
    <cellStyle name="20% - Accent4 3 3 2 5" xfId="21498" xr:uid="{0E8CF1AE-8919-4CEC-BC22-4AAAEE72CDC2}"/>
    <cellStyle name="20% - Accent4 3 3 2 6" xfId="12201" xr:uid="{38C6BC66-55CB-461E-A926-154E8BF95AC1}"/>
    <cellStyle name="20% - Accent4 3 3 3" xfId="4947" xr:uid="{00000000-0005-0000-0000-00004A020000}"/>
    <cellStyle name="20% - Accent4 3 3 3 2" xfId="40465" xr:uid="{C9C7BBD2-D228-4DB7-8DBC-F1E6D819C2F2}"/>
    <cellStyle name="20% - Accent4 3 3 3 3" xfId="32018" xr:uid="{85943DCD-06C3-47A8-AA1C-6B98A92404ED}"/>
    <cellStyle name="20% - Accent4 3 3 3 4" xfId="23570" xr:uid="{E20BA34E-F50F-4EAD-8E01-CD80738E0DF0}"/>
    <cellStyle name="20% - Accent4 3 3 3 5" xfId="14273" xr:uid="{53E85AC9-07BF-4F66-8CA8-F46A6E444194}"/>
    <cellStyle name="20% - Accent4 3 3 4" xfId="9292" xr:uid="{E33AB5E9-A8F9-45CB-AD95-0E461E901C30}"/>
    <cellStyle name="20% - Accent4 3 3 4 2" xfId="36248" xr:uid="{EB92C045-543C-4BB9-A968-521B7A542F4A}"/>
    <cellStyle name="20% - Accent4 3 3 4 3" xfId="18605" xr:uid="{8DF67A15-3DEE-4328-A47F-6DAA3F560BD9}"/>
    <cellStyle name="20% - Accent4 3 3 5" xfId="27800" xr:uid="{5F5939D9-ED74-4EE3-B0C9-F0B139DE87F4}"/>
    <cellStyle name="20% - Accent4 3 3 6" xfId="19353" xr:uid="{DA5E30FD-FB4B-4482-AA29-16C7F0DE220F}"/>
    <cellStyle name="20% - Accent4 3 3 7" xfId="10056" xr:uid="{5CAE995D-67BC-430A-A399-BF64002DE379}"/>
    <cellStyle name="20% - Accent4 3 4" xfId="1052" xr:uid="{00000000-0005-0000-0000-00004B020000}"/>
    <cellStyle name="20% - Accent4 3 4 2" xfId="3283" xr:uid="{00000000-0005-0000-0000-00004C020000}"/>
    <cellStyle name="20% - Accent4 3 4 2 2" xfId="7505" xr:uid="{00000000-0005-0000-0000-00004D020000}"/>
    <cellStyle name="20% - Accent4 3 4 2 2 2" xfId="43023" xr:uid="{CFF8392C-BB2F-4D52-90E4-B13AE8808F77}"/>
    <cellStyle name="20% - Accent4 3 4 2 2 3" xfId="34576" xr:uid="{3BE9F80B-C54E-4E6C-9118-AE4059AD42B6}"/>
    <cellStyle name="20% - Accent4 3 4 2 2 4" xfId="26128" xr:uid="{BC4123BC-CCD3-4060-AFC4-6E34868C5683}"/>
    <cellStyle name="20% - Accent4 3 4 2 2 5" xfId="16831" xr:uid="{19EE253B-10E1-4378-A9A9-14FA7474A52B}"/>
    <cellStyle name="20% - Accent4 3 4 2 3" xfId="38806" xr:uid="{F644954C-25BD-4244-985B-768129948D95}"/>
    <cellStyle name="20% - Accent4 3 4 2 4" xfId="30358" xr:uid="{C22E1269-F86C-4115-9DC5-A0DF17B01ABF}"/>
    <cellStyle name="20% - Accent4 3 4 2 5" xfId="21911" xr:uid="{1CAA1DC2-5C91-4BA3-AD81-69BA9E8D5181}"/>
    <cellStyle name="20% - Accent4 3 4 2 6" xfId="12614" xr:uid="{D777FDD5-C0CC-455D-9238-84B39108562B}"/>
    <cellStyle name="20% - Accent4 3 4 3" xfId="5360" xr:uid="{00000000-0005-0000-0000-00004E020000}"/>
    <cellStyle name="20% - Accent4 3 4 3 2" xfId="40878" xr:uid="{EBB9A53D-2E67-4380-9932-6CBC3E96846F}"/>
    <cellStyle name="20% - Accent4 3 4 3 3" xfId="32431" xr:uid="{B1123A72-3ADB-40BC-9772-A157E42780FE}"/>
    <cellStyle name="20% - Accent4 3 4 3 4" xfId="23983" xr:uid="{D67997D4-0C8E-4853-8432-D3A7BBA92968}"/>
    <cellStyle name="20% - Accent4 3 4 3 5" xfId="14686" xr:uid="{9A1A8643-642F-4E28-8A5D-FC35C23E5AC9}"/>
    <cellStyle name="20% - Accent4 3 4 4" xfId="36661" xr:uid="{CE7FF8C8-0466-4B60-BAF5-1F4B1056021F}"/>
    <cellStyle name="20% - Accent4 3 4 5" xfId="28213" xr:uid="{940F9E71-3303-4BD9-B7FF-DD25E7A956B6}"/>
    <cellStyle name="20% - Accent4 3 4 6" xfId="19766" xr:uid="{27B067D0-D64B-45D5-9FC1-F82F04B91145}"/>
    <cellStyle name="20% - Accent4 3 4 7" xfId="10469" xr:uid="{75E7D400-415D-4632-830A-A4BFA1EE49D9}"/>
    <cellStyle name="20% - Accent4 3 5" xfId="1466" xr:uid="{00000000-0005-0000-0000-00004F020000}"/>
    <cellStyle name="20% - Accent4 3 5 2" xfId="3696" xr:uid="{00000000-0005-0000-0000-000050020000}"/>
    <cellStyle name="20% - Accent4 3 5 2 2" xfId="7918" xr:uid="{00000000-0005-0000-0000-000051020000}"/>
    <cellStyle name="20% - Accent4 3 5 2 2 2" xfId="43436" xr:uid="{B36705EE-2BC2-4E6E-9B9B-4CD0EB91A29E}"/>
    <cellStyle name="20% - Accent4 3 5 2 2 3" xfId="34989" xr:uid="{23D39744-4935-4996-B6BB-F12DB641D6E0}"/>
    <cellStyle name="20% - Accent4 3 5 2 2 4" xfId="26541" xr:uid="{79F7D302-87F3-4B8B-BB32-7DF345D07886}"/>
    <cellStyle name="20% - Accent4 3 5 2 2 5" xfId="17244" xr:uid="{B49704CB-D089-42CB-A5E7-86E2047B7CE4}"/>
    <cellStyle name="20% - Accent4 3 5 2 3" xfId="39219" xr:uid="{CDB875F6-A536-43C1-98F8-C73AFE28E60A}"/>
    <cellStyle name="20% - Accent4 3 5 2 4" xfId="30771" xr:uid="{31A3496F-DDFB-48E1-99E4-3A9B0B24D0F2}"/>
    <cellStyle name="20% - Accent4 3 5 2 5" xfId="22324" xr:uid="{C1F5CB3E-BDCA-4506-8EF0-E8E66B722617}"/>
    <cellStyle name="20% - Accent4 3 5 2 6" xfId="13027" xr:uid="{D7F1C696-9A30-45A5-8FCD-96875D5B65D8}"/>
    <cellStyle name="20% - Accent4 3 5 3" xfId="5773" xr:uid="{00000000-0005-0000-0000-000052020000}"/>
    <cellStyle name="20% - Accent4 3 5 3 2" xfId="41291" xr:uid="{CC84BF45-2FD7-4C06-B1C5-A8D19F2F5A57}"/>
    <cellStyle name="20% - Accent4 3 5 3 3" xfId="32844" xr:uid="{8C042FB9-AA14-4822-96E2-F21B4906BCB9}"/>
    <cellStyle name="20% - Accent4 3 5 3 4" xfId="24396" xr:uid="{660ADB4B-09DE-4CD8-B499-CDD2BD895A3D}"/>
    <cellStyle name="20% - Accent4 3 5 3 5" xfId="15099" xr:uid="{7F8502E0-21D4-4A97-9BA4-8F3BB285EABB}"/>
    <cellStyle name="20% - Accent4 3 5 4" xfId="37074" xr:uid="{864592C1-14E9-42E8-85F8-9D946F81FB7F}"/>
    <cellStyle name="20% - Accent4 3 5 5" xfId="28626" xr:uid="{2633DE2E-2556-47DE-AA26-E1CCD3330413}"/>
    <cellStyle name="20% - Accent4 3 5 6" xfId="20179" xr:uid="{C49A32CA-859E-4A6E-96A5-4182AF4FD663}"/>
    <cellStyle name="20% - Accent4 3 5 7" xfId="10882" xr:uid="{EFAFA363-2566-4333-B224-805E27F5E98F}"/>
    <cellStyle name="20% - Accent4 3 6" xfId="1880" xr:uid="{00000000-0005-0000-0000-000053020000}"/>
    <cellStyle name="20% - Accent4 3 6 2" xfId="4109" xr:uid="{00000000-0005-0000-0000-000054020000}"/>
    <cellStyle name="20% - Accent4 3 6 2 2" xfId="8331" xr:uid="{00000000-0005-0000-0000-000055020000}"/>
    <cellStyle name="20% - Accent4 3 6 2 2 2" xfId="43849" xr:uid="{D5210382-1B79-4FB9-9849-AC3BC0812B35}"/>
    <cellStyle name="20% - Accent4 3 6 2 2 3" xfId="35402" xr:uid="{A5EBB8E4-AB10-4F61-9CA6-7A9189AFD4EC}"/>
    <cellStyle name="20% - Accent4 3 6 2 2 4" xfId="26954" xr:uid="{5C2AB972-4EFD-4F11-8081-90560E2E5C8E}"/>
    <cellStyle name="20% - Accent4 3 6 2 2 5" xfId="17657" xr:uid="{2EB0DCD7-06D2-4012-9360-C0DCB85D5CEA}"/>
    <cellStyle name="20% - Accent4 3 6 2 3" xfId="39632" xr:uid="{C9D8F89E-D71E-40B5-AAC1-95F88DCCD47C}"/>
    <cellStyle name="20% - Accent4 3 6 2 4" xfId="31184" xr:uid="{7B68863B-6940-4F5E-AE2B-BC59B806247A}"/>
    <cellStyle name="20% - Accent4 3 6 2 5" xfId="22737" xr:uid="{D2C75F76-3E68-45D8-BC2C-59B56B141B99}"/>
    <cellStyle name="20% - Accent4 3 6 2 6" xfId="13440" xr:uid="{3CA84C3A-5533-4369-ADF1-5295E7EEEB33}"/>
    <cellStyle name="20% - Accent4 3 6 3" xfId="6186" xr:uid="{00000000-0005-0000-0000-000056020000}"/>
    <cellStyle name="20% - Accent4 3 6 3 2" xfId="41704" xr:uid="{715A1900-9039-4EF5-BC49-79C809BEA734}"/>
    <cellStyle name="20% - Accent4 3 6 3 3" xfId="33257" xr:uid="{1358812E-EC39-4169-90BB-88E756F9A3F0}"/>
    <cellStyle name="20% - Accent4 3 6 3 4" xfId="24809" xr:uid="{1EC270CA-9282-4112-9664-AA914F3C5CF2}"/>
    <cellStyle name="20% - Accent4 3 6 3 5" xfId="15512" xr:uid="{98B5EFC0-FD54-476F-AE92-D896926F61E2}"/>
    <cellStyle name="20% - Accent4 3 6 4" xfId="37487" xr:uid="{95B4D31E-9439-488E-9B7A-316F3ED2BB81}"/>
    <cellStyle name="20% - Accent4 3 6 5" xfId="29039" xr:uid="{C93A6BCA-256E-4802-914E-58E6B2D0C1A9}"/>
    <cellStyle name="20% - Accent4 3 6 6" xfId="20592" xr:uid="{529784C7-5DE1-4579-ADDA-5BD45A773217}"/>
    <cellStyle name="20% - Accent4 3 6 7" xfId="11295" xr:uid="{1C7CEB69-D0FC-4822-870F-247CC4556F7D}"/>
    <cellStyle name="20% - Accent4 3 7" xfId="2293" xr:uid="{00000000-0005-0000-0000-000057020000}"/>
    <cellStyle name="20% - Accent4 3 7 2" xfId="6599" xr:uid="{00000000-0005-0000-0000-000058020000}"/>
    <cellStyle name="20% - Accent4 3 7 2 2" xfId="42117" xr:uid="{7DE74D0B-692C-415F-A6B6-7B1B8D857809}"/>
    <cellStyle name="20% - Accent4 3 7 2 3" xfId="33670" xr:uid="{B6B55F74-3CA9-4A53-99ED-6D2051E63D9F}"/>
    <cellStyle name="20% - Accent4 3 7 2 4" xfId="25222" xr:uid="{839008B7-8F0E-45CB-98ED-556086BCCD6D}"/>
    <cellStyle name="20% - Accent4 3 7 2 5" xfId="15925" xr:uid="{D2D76803-248D-4D14-8ADD-3EE3C6DF7D0D}"/>
    <cellStyle name="20% - Accent4 3 7 3" xfId="37900" xr:uid="{583E4027-0F5C-48F0-9131-686DD93ED440}"/>
    <cellStyle name="20% - Accent4 3 7 4" xfId="29452" xr:uid="{2507C58F-B79F-46C2-9113-F4F325E9992E}"/>
    <cellStyle name="20% - Accent4 3 7 5" xfId="21005" xr:uid="{9030AE82-5B60-4C93-90F5-EC041ECD2865}"/>
    <cellStyle name="20% - Accent4 3 7 6" xfId="11708" xr:uid="{185DD634-E26F-4B70-9B3D-C250328AAF11}"/>
    <cellStyle name="20% - Accent4 3 8" xfId="4533" xr:uid="{00000000-0005-0000-0000-000059020000}"/>
    <cellStyle name="20% - Accent4 3 8 2" xfId="40051" xr:uid="{36B9F6D5-A957-4320-BA42-B0BF2FCD15E4}"/>
    <cellStyle name="20% - Accent4 3 8 3" xfId="31604" xr:uid="{F49C193C-95E7-4840-B5DA-8D651FA7937C}"/>
    <cellStyle name="20% - Accent4 3 8 4" xfId="23156" xr:uid="{136C7A0D-DE09-4C18-81A8-0161F577954C}"/>
    <cellStyle name="20% - Accent4 3 8 5" xfId="13859" xr:uid="{2B81FCF8-D437-4770-9D37-B9B835560129}"/>
    <cellStyle name="20% - Accent4 3 9" xfId="8867" xr:uid="{27FB4CEF-7F56-4AEC-B5AC-6B6A1477FBD8}"/>
    <cellStyle name="20% - Accent4 3 9 2" xfId="35834" xr:uid="{B54B8D1C-9AD6-4DD6-8002-B2D259E36705}"/>
    <cellStyle name="20% - Accent4 3 9 3" xfId="18190" xr:uid="{2AB24F42-0258-4CE7-B268-7B5E8470B2B8}"/>
    <cellStyle name="20% - Accent4 4" xfId="32" xr:uid="{00000000-0005-0000-0000-00005A020000}"/>
    <cellStyle name="20% - Accent4 4 10" xfId="18941" xr:uid="{E4115291-4191-414F-B073-8D7F2128D525}"/>
    <cellStyle name="20% - Accent4 4 11" xfId="9644" xr:uid="{2313C784-480D-42D0-AA9F-5C29EBC4883C}"/>
    <cellStyle name="20% - Accent4 4 2" xfId="601" xr:uid="{00000000-0005-0000-0000-00005B020000}"/>
    <cellStyle name="20% - Accent4 4 2 2" xfId="2872" xr:uid="{00000000-0005-0000-0000-00005C020000}"/>
    <cellStyle name="20% - Accent4 4 2 2 2" xfId="7094" xr:uid="{00000000-0005-0000-0000-00005D020000}"/>
    <cellStyle name="20% - Accent4 4 2 2 2 2" xfId="42612" xr:uid="{DC9F783B-DD9F-4B2B-BB08-67A238778C6C}"/>
    <cellStyle name="20% - Accent4 4 2 2 2 3" xfId="34165" xr:uid="{6A839C03-E5F7-45FD-9701-39F4C73F7D88}"/>
    <cellStyle name="20% - Accent4 4 2 2 2 4" xfId="25717" xr:uid="{3A94CEA8-C169-4D41-8E6D-F531144B863B}"/>
    <cellStyle name="20% - Accent4 4 2 2 2 5" xfId="16420" xr:uid="{540C0780-ACC7-4DE4-BC45-C62A784618EC}"/>
    <cellStyle name="20% - Accent4 4 2 2 3" xfId="38395" xr:uid="{FF60CB0F-C1DD-47D5-9AB4-7D6EB59E50CC}"/>
    <cellStyle name="20% - Accent4 4 2 2 4" xfId="29947" xr:uid="{814FADF0-DBE3-46D4-872A-A8BF223EBC8F}"/>
    <cellStyle name="20% - Accent4 4 2 2 5" xfId="21500" xr:uid="{D3E23BFF-983A-4F5D-9F9B-CB2ABB5128F5}"/>
    <cellStyle name="20% - Accent4 4 2 2 6" xfId="12203" xr:uid="{5A6E9A6C-BC67-4F83-AE32-9DE0399821F2}"/>
    <cellStyle name="20% - Accent4 4 2 3" xfId="4949" xr:uid="{00000000-0005-0000-0000-00005E020000}"/>
    <cellStyle name="20% - Accent4 4 2 3 2" xfId="40467" xr:uid="{A984ADD5-FA43-4F37-A00A-03997C6593EC}"/>
    <cellStyle name="20% - Accent4 4 2 3 3" xfId="32020" xr:uid="{9F356E3E-5FF7-4DFB-A51C-47EB7AF7F00B}"/>
    <cellStyle name="20% - Accent4 4 2 3 4" xfId="23572" xr:uid="{70C1B343-1318-41D3-8FB9-2D0BB357978B}"/>
    <cellStyle name="20% - Accent4 4 2 3 5" xfId="14275" xr:uid="{03E8B8E0-10CB-4F6C-AAC9-844265F8A6BF}"/>
    <cellStyle name="20% - Accent4 4 2 4" xfId="9378" xr:uid="{761B3D4A-2751-4646-8A50-05A0DD408525}"/>
    <cellStyle name="20% - Accent4 4 2 4 2" xfId="36250" xr:uid="{61FC275F-F4B8-4A0A-90EF-19591F64926B}"/>
    <cellStyle name="20% - Accent4 4 2 4 3" xfId="18691" xr:uid="{A4886CD2-2B27-4F03-93B5-49F28ED295B9}"/>
    <cellStyle name="20% - Accent4 4 2 5" xfId="27802" xr:uid="{CFB7E738-3E73-4A70-BC74-9175FA5425E2}"/>
    <cellStyle name="20% - Accent4 4 2 6" xfId="19355" xr:uid="{CB0DCAF9-24CF-40DA-9D75-465C37B4CF69}"/>
    <cellStyle name="20% - Accent4 4 2 7" xfId="10058" xr:uid="{F73D9867-9C41-4235-AE4E-58887185E0B1}"/>
    <cellStyle name="20% - Accent4 4 3" xfId="1054" xr:uid="{00000000-0005-0000-0000-00005F020000}"/>
    <cellStyle name="20% - Accent4 4 3 2" xfId="3285" xr:uid="{00000000-0005-0000-0000-000060020000}"/>
    <cellStyle name="20% - Accent4 4 3 2 2" xfId="7507" xr:uid="{00000000-0005-0000-0000-000061020000}"/>
    <cellStyle name="20% - Accent4 4 3 2 2 2" xfId="43025" xr:uid="{2758B92B-B467-49D1-B300-CE0E5FA79F5D}"/>
    <cellStyle name="20% - Accent4 4 3 2 2 3" xfId="34578" xr:uid="{1966D814-5261-40C2-865B-344B3B1EEC59}"/>
    <cellStyle name="20% - Accent4 4 3 2 2 4" xfId="26130" xr:uid="{E1B602AF-29D4-49C1-A768-0C70ED0F0B22}"/>
    <cellStyle name="20% - Accent4 4 3 2 2 5" xfId="16833" xr:uid="{7F473FBF-A5B4-4DFD-B234-AF672E7E7A4B}"/>
    <cellStyle name="20% - Accent4 4 3 2 3" xfId="38808" xr:uid="{1B0E8378-7E2D-4941-A31E-8CD01DA233D9}"/>
    <cellStyle name="20% - Accent4 4 3 2 4" xfId="30360" xr:uid="{829FFAD6-9A7B-4E9D-9F45-AE04C420ABE1}"/>
    <cellStyle name="20% - Accent4 4 3 2 5" xfId="21913" xr:uid="{D24B76BE-55AD-47D2-B1F6-DC74290539D0}"/>
    <cellStyle name="20% - Accent4 4 3 2 6" xfId="12616" xr:uid="{A7ED15A4-C8F1-4AEE-B6F2-F2700180FF4D}"/>
    <cellStyle name="20% - Accent4 4 3 3" xfId="5362" xr:uid="{00000000-0005-0000-0000-000062020000}"/>
    <cellStyle name="20% - Accent4 4 3 3 2" xfId="40880" xr:uid="{A30D975C-F011-437C-99F5-2B468BB7205F}"/>
    <cellStyle name="20% - Accent4 4 3 3 3" xfId="32433" xr:uid="{C6F8A73C-9A41-4CA2-A319-01439EA427D9}"/>
    <cellStyle name="20% - Accent4 4 3 3 4" xfId="23985" xr:uid="{DB446BFE-02A6-4806-AC1B-96A63F363966}"/>
    <cellStyle name="20% - Accent4 4 3 3 5" xfId="14688" xr:uid="{E1BE9A19-AE2F-4501-B687-A85C3C0022D6}"/>
    <cellStyle name="20% - Accent4 4 3 4" xfId="36663" xr:uid="{CFE41180-0667-454E-9E41-14648A9D0742}"/>
    <cellStyle name="20% - Accent4 4 3 5" xfId="28215" xr:uid="{412C915E-3EF8-4E6E-98E5-7EB6B4EF9303}"/>
    <cellStyle name="20% - Accent4 4 3 6" xfId="19768" xr:uid="{DC3661FE-2286-4C2E-9DD2-2E5D70E6F609}"/>
    <cellStyle name="20% - Accent4 4 3 7" xfId="10471" xr:uid="{E68A8146-A2D8-4193-A97B-7E19CD6CAF8C}"/>
    <cellStyle name="20% - Accent4 4 4" xfId="1468" xr:uid="{00000000-0005-0000-0000-000063020000}"/>
    <cellStyle name="20% - Accent4 4 4 2" xfId="3698" xr:uid="{00000000-0005-0000-0000-000064020000}"/>
    <cellStyle name="20% - Accent4 4 4 2 2" xfId="7920" xr:uid="{00000000-0005-0000-0000-000065020000}"/>
    <cellStyle name="20% - Accent4 4 4 2 2 2" xfId="43438" xr:uid="{104F601F-1CE5-407C-A3F5-66E6C7A16E07}"/>
    <cellStyle name="20% - Accent4 4 4 2 2 3" xfId="34991" xr:uid="{B3E76352-0419-45AE-9D66-BD758E63ACA4}"/>
    <cellStyle name="20% - Accent4 4 4 2 2 4" xfId="26543" xr:uid="{CF063B30-18FA-44B5-A2F4-7896C39B0A79}"/>
    <cellStyle name="20% - Accent4 4 4 2 2 5" xfId="17246" xr:uid="{419438E3-431F-4B64-B8B5-8334174F5403}"/>
    <cellStyle name="20% - Accent4 4 4 2 3" xfId="39221" xr:uid="{365B4480-16B0-4ACF-888C-088EBF05820D}"/>
    <cellStyle name="20% - Accent4 4 4 2 4" xfId="30773" xr:uid="{0E2B724E-532C-46C6-AB87-8878EF873DD5}"/>
    <cellStyle name="20% - Accent4 4 4 2 5" xfId="22326" xr:uid="{9B6A526F-CDC0-482B-A4E5-5C9DC36D1F62}"/>
    <cellStyle name="20% - Accent4 4 4 2 6" xfId="13029" xr:uid="{4B633370-DA1A-4FFC-AEA8-448DC0258BE5}"/>
    <cellStyle name="20% - Accent4 4 4 3" xfId="5775" xr:uid="{00000000-0005-0000-0000-000066020000}"/>
    <cellStyle name="20% - Accent4 4 4 3 2" xfId="41293" xr:uid="{EB07E0F8-B128-4798-AE83-27BA1D9B5B4B}"/>
    <cellStyle name="20% - Accent4 4 4 3 3" xfId="32846" xr:uid="{1E77BF19-E48B-495B-8D9E-F1F2FCB06EC5}"/>
    <cellStyle name="20% - Accent4 4 4 3 4" xfId="24398" xr:uid="{D7D6C16E-8817-4737-B198-570F424936FC}"/>
    <cellStyle name="20% - Accent4 4 4 3 5" xfId="15101" xr:uid="{C1CA778B-0543-45A2-8185-791A02E30AD7}"/>
    <cellStyle name="20% - Accent4 4 4 4" xfId="37076" xr:uid="{B92CE7A9-2491-4D9D-A23C-C532921FADD3}"/>
    <cellStyle name="20% - Accent4 4 4 5" xfId="28628" xr:uid="{ADBBF6C0-D241-4137-B86A-6006E3F34743}"/>
    <cellStyle name="20% - Accent4 4 4 6" xfId="20181" xr:uid="{1850C36A-DB8B-4D24-8C3B-E23BE0A31188}"/>
    <cellStyle name="20% - Accent4 4 4 7" xfId="10884" xr:uid="{E0591B2E-7CE4-4E07-92AB-12A2A34B388C}"/>
    <cellStyle name="20% - Accent4 4 5" xfId="1882" xr:uid="{00000000-0005-0000-0000-000067020000}"/>
    <cellStyle name="20% - Accent4 4 5 2" xfId="4111" xr:uid="{00000000-0005-0000-0000-000068020000}"/>
    <cellStyle name="20% - Accent4 4 5 2 2" xfId="8333" xr:uid="{00000000-0005-0000-0000-000069020000}"/>
    <cellStyle name="20% - Accent4 4 5 2 2 2" xfId="43851" xr:uid="{689B278D-2B7D-4460-B7FC-1DDC5BD152EE}"/>
    <cellStyle name="20% - Accent4 4 5 2 2 3" xfId="35404" xr:uid="{BF1CB700-92FC-437C-B9F1-CC4F79E24299}"/>
    <cellStyle name="20% - Accent4 4 5 2 2 4" xfId="26956" xr:uid="{160B34AC-0B74-47E4-99E2-3164519077E4}"/>
    <cellStyle name="20% - Accent4 4 5 2 2 5" xfId="17659" xr:uid="{CCFA478C-6CAF-4541-9FB5-D55E23A55D3D}"/>
    <cellStyle name="20% - Accent4 4 5 2 3" xfId="39634" xr:uid="{9697C8EF-F126-475B-9DAA-34629DB8A034}"/>
    <cellStyle name="20% - Accent4 4 5 2 4" xfId="31186" xr:uid="{9A5A249E-916D-4C27-B077-4E7377F8BECA}"/>
    <cellStyle name="20% - Accent4 4 5 2 5" xfId="22739" xr:uid="{2CAD680C-1E6F-4811-A678-9B6035D14331}"/>
    <cellStyle name="20% - Accent4 4 5 2 6" xfId="13442" xr:uid="{D720A3F5-86BF-4086-B991-5ECC950328F6}"/>
    <cellStyle name="20% - Accent4 4 5 3" xfId="6188" xr:uid="{00000000-0005-0000-0000-00006A020000}"/>
    <cellStyle name="20% - Accent4 4 5 3 2" xfId="41706" xr:uid="{822C3E9D-0D74-4EEB-814C-7B26C9A07BEF}"/>
    <cellStyle name="20% - Accent4 4 5 3 3" xfId="33259" xr:uid="{8478BEDE-F7C7-405B-9030-0BFD6BA67968}"/>
    <cellStyle name="20% - Accent4 4 5 3 4" xfId="24811" xr:uid="{2B0A0343-7BC6-4193-97FF-51EE43BF28F5}"/>
    <cellStyle name="20% - Accent4 4 5 3 5" xfId="15514" xr:uid="{8C27C1AD-5F83-449F-9B03-4CBF8275047B}"/>
    <cellStyle name="20% - Accent4 4 5 4" xfId="37489" xr:uid="{2343DC7C-F725-463B-998A-5E4E8C392903}"/>
    <cellStyle name="20% - Accent4 4 5 5" xfId="29041" xr:uid="{690BF434-B418-4673-99C5-9168EB723765}"/>
    <cellStyle name="20% - Accent4 4 5 6" xfId="20594" xr:uid="{6C39B303-AEFA-43A6-B499-ABD057A27501}"/>
    <cellStyle name="20% - Accent4 4 5 7" xfId="11297" xr:uid="{F7A4E092-9ED3-4EE2-9C89-0B77F51E33C8}"/>
    <cellStyle name="20% - Accent4 4 6" xfId="2295" xr:uid="{00000000-0005-0000-0000-00006B020000}"/>
    <cellStyle name="20% - Accent4 4 6 2" xfId="6601" xr:uid="{00000000-0005-0000-0000-00006C020000}"/>
    <cellStyle name="20% - Accent4 4 6 2 2" xfId="42119" xr:uid="{06A3F677-30CA-4785-B591-F05D514EFDA0}"/>
    <cellStyle name="20% - Accent4 4 6 2 3" xfId="33672" xr:uid="{7D04611C-CE7D-4491-8BD5-7120FF1C8F16}"/>
    <cellStyle name="20% - Accent4 4 6 2 4" xfId="25224" xr:uid="{1D949DD4-B77B-4041-8458-5029FA3514BA}"/>
    <cellStyle name="20% - Accent4 4 6 2 5" xfId="15927" xr:uid="{A3836227-9FB1-4A75-9730-80FD5038345E}"/>
    <cellStyle name="20% - Accent4 4 6 3" xfId="37902" xr:uid="{C46DF1B9-56E5-475F-9A46-1808DDCCF6BA}"/>
    <cellStyle name="20% - Accent4 4 6 4" xfId="29454" xr:uid="{107A0CE7-5353-44F6-8FEA-88071E7FDDF3}"/>
    <cellStyle name="20% - Accent4 4 6 5" xfId="21007" xr:uid="{E35C37AA-30E0-4E62-BD99-7E5327D6C2AE}"/>
    <cellStyle name="20% - Accent4 4 6 6" xfId="11710" xr:uid="{E5CD4639-19EE-4315-ADB8-90C6C0798B87}"/>
    <cellStyle name="20% - Accent4 4 7" xfId="4535" xr:uid="{00000000-0005-0000-0000-00006D020000}"/>
    <cellStyle name="20% - Accent4 4 7 2" xfId="40053" xr:uid="{97A5A036-1A17-40B3-9A9A-20B020A6312A}"/>
    <cellStyle name="20% - Accent4 4 7 3" xfId="31606" xr:uid="{4ADD9881-B152-4867-92DC-37EFFDBB3C16}"/>
    <cellStyle name="20% - Accent4 4 7 4" xfId="23158" xr:uid="{7390BA75-D2F2-47F9-B0BA-895B35BA8B0B}"/>
    <cellStyle name="20% - Accent4 4 7 5" xfId="13861" xr:uid="{C9CD8D4B-A706-40A4-8F23-DA0B02490F15}"/>
    <cellStyle name="20% - Accent4 4 8" xfId="8953" xr:uid="{66D1590A-BB3A-4B79-BA94-169F97E79370}"/>
    <cellStyle name="20% - Accent4 4 8 2" xfId="35836" xr:uid="{7628889D-548B-4BF9-AAD4-1712F793C097}"/>
    <cellStyle name="20% - Accent4 4 8 3" xfId="18276" xr:uid="{09E00E36-F428-45A2-BE97-ED4B92D08CCC}"/>
    <cellStyle name="20% - Accent4 4 9" xfId="27388" xr:uid="{3390D778-0160-4BD2-A0D7-BA4C56429A5E}"/>
    <cellStyle name="20% - Accent4 5" xfId="594" xr:uid="{00000000-0005-0000-0000-00006E020000}"/>
    <cellStyle name="20% - Accent4 5 2" xfId="2865" xr:uid="{00000000-0005-0000-0000-00006F020000}"/>
    <cellStyle name="20% - Accent4 5 2 2" xfId="7087" xr:uid="{00000000-0005-0000-0000-000070020000}"/>
    <cellStyle name="20% - Accent4 5 2 2 2" xfId="42605" xr:uid="{F5DA7233-55A4-4476-929A-BF2E7F0E79D6}"/>
    <cellStyle name="20% - Accent4 5 2 2 3" xfId="34158" xr:uid="{45C16F4B-3338-4B69-BFFF-7267DB93661A}"/>
    <cellStyle name="20% - Accent4 5 2 2 4" xfId="25710" xr:uid="{94E24FA1-BC17-43E6-ABE6-9518B1C2D51C}"/>
    <cellStyle name="20% - Accent4 5 2 2 5" xfId="16413" xr:uid="{41B22857-4C0D-4881-B020-F3F0E9967986}"/>
    <cellStyle name="20% - Accent4 5 2 3" xfId="38388" xr:uid="{7B789542-EF94-4E7D-9EE9-958BE8DE7308}"/>
    <cellStyle name="20% - Accent4 5 2 4" xfId="29940" xr:uid="{6CBB8AEE-27E5-41D3-900E-0AF0C0EB8E90}"/>
    <cellStyle name="20% - Accent4 5 2 5" xfId="21493" xr:uid="{15A8E56A-F726-43FF-844C-1AC96250DA27}"/>
    <cellStyle name="20% - Accent4 5 2 6" xfId="12196" xr:uid="{AC5EF30A-2BE6-453B-B21B-E7338755F2B9}"/>
    <cellStyle name="20% - Accent4 5 3" xfId="4942" xr:uid="{00000000-0005-0000-0000-000071020000}"/>
    <cellStyle name="20% - Accent4 5 3 2" xfId="40460" xr:uid="{544709BA-0096-4671-B951-A07E007F170F}"/>
    <cellStyle name="20% - Accent4 5 3 3" xfId="32013" xr:uid="{42A8F5BE-6A7C-4945-9E91-A6FE0C32A497}"/>
    <cellStyle name="20% - Accent4 5 3 4" xfId="23565" xr:uid="{A5288DF8-9369-4553-9F6A-043F107E6DA7}"/>
    <cellStyle name="20% - Accent4 5 3 5" xfId="14268" xr:uid="{C34D9E3F-D7B7-47E4-9B6B-1F3666D5276F}"/>
    <cellStyle name="20% - Accent4 5 4" xfId="9186" xr:uid="{E62ED282-F767-404B-ADA1-4F8E5B4D01EB}"/>
    <cellStyle name="20% - Accent4 5 4 2" xfId="36243" xr:uid="{FC4D19B0-CEC8-45A6-8C56-6930183CBE55}"/>
    <cellStyle name="20% - Accent4 5 4 3" xfId="18502" xr:uid="{300D058F-3DF0-4995-81D2-D4BA7CE6DF0C}"/>
    <cellStyle name="20% - Accent4 5 5" xfId="27795" xr:uid="{FB31C20F-7DEF-4F56-9405-D0E945CF8CC6}"/>
    <cellStyle name="20% - Accent4 5 6" xfId="19348" xr:uid="{394451D2-EEEA-4782-8B72-81B46E04151F}"/>
    <cellStyle name="20% - Accent4 5 7" xfId="10051" xr:uid="{6CAA95DA-50A3-413C-B5B9-DD8A3B1C4DE0}"/>
    <cellStyle name="20% - Accent4 6" xfId="1047" xr:uid="{00000000-0005-0000-0000-000072020000}"/>
    <cellStyle name="20% - Accent4 6 2" xfId="3278" xr:uid="{00000000-0005-0000-0000-000073020000}"/>
    <cellStyle name="20% - Accent4 6 2 2" xfId="7500" xr:uid="{00000000-0005-0000-0000-000074020000}"/>
    <cellStyle name="20% - Accent4 6 2 2 2" xfId="43018" xr:uid="{B30224AF-D414-41FB-8BCF-18DB2FB2E82D}"/>
    <cellStyle name="20% - Accent4 6 2 2 3" xfId="34571" xr:uid="{AF3ED1F7-66CE-4C33-8EA4-28BDE1D92090}"/>
    <cellStyle name="20% - Accent4 6 2 2 4" xfId="26123" xr:uid="{F4E668F4-3437-4040-9157-1C456B47A301}"/>
    <cellStyle name="20% - Accent4 6 2 2 5" xfId="16826" xr:uid="{1B46D765-0D09-43B2-BF56-29F5D58D311C}"/>
    <cellStyle name="20% - Accent4 6 2 3" xfId="38801" xr:uid="{8AE4D606-2271-4D9B-AB9F-9760DEAB02F8}"/>
    <cellStyle name="20% - Accent4 6 2 4" xfId="30353" xr:uid="{CBA4102F-EA82-43A4-A031-A87DAD706B0A}"/>
    <cellStyle name="20% - Accent4 6 2 5" xfId="21906" xr:uid="{5FE9D1CF-FA5C-4F87-94A6-CB71DD440FF5}"/>
    <cellStyle name="20% - Accent4 6 2 6" xfId="12609" xr:uid="{B799D8B0-A137-4B17-958B-5D0898F04C97}"/>
    <cellStyle name="20% - Accent4 6 3" xfId="5355" xr:uid="{00000000-0005-0000-0000-000075020000}"/>
    <cellStyle name="20% - Accent4 6 3 2" xfId="40873" xr:uid="{1223F00A-2C4E-4B87-8B48-669C58CCB21F}"/>
    <cellStyle name="20% - Accent4 6 3 3" xfId="32426" xr:uid="{2C9BB0E3-2BF5-4A8C-B918-F09DB8B2FE5E}"/>
    <cellStyle name="20% - Accent4 6 3 4" xfId="23978" xr:uid="{1FF471D8-FD7A-4AAA-AA32-625CF8689485}"/>
    <cellStyle name="20% - Accent4 6 3 5" xfId="14681" xr:uid="{8DC8DE75-8FFC-4A93-AEF5-DAEB06100B74}"/>
    <cellStyle name="20% - Accent4 6 4" xfId="36656" xr:uid="{FB3BB292-447C-40A3-9E72-47C1F3109A04}"/>
    <cellStyle name="20% - Accent4 6 5" xfId="28208" xr:uid="{451C437C-C0BF-4106-918D-F9663EDA190E}"/>
    <cellStyle name="20% - Accent4 6 6" xfId="19761" xr:uid="{659A47C4-08C1-42CC-A7BD-82C4B36121B2}"/>
    <cellStyle name="20% - Accent4 6 7" xfId="10464" xr:uid="{01108F74-C6B2-455C-8268-69B2CAEE9713}"/>
    <cellStyle name="20% - Accent4 7" xfId="1461" xr:uid="{00000000-0005-0000-0000-000076020000}"/>
    <cellStyle name="20% - Accent4 7 2" xfId="3691" xr:uid="{00000000-0005-0000-0000-000077020000}"/>
    <cellStyle name="20% - Accent4 7 2 2" xfId="7913" xr:uid="{00000000-0005-0000-0000-000078020000}"/>
    <cellStyle name="20% - Accent4 7 2 2 2" xfId="43431" xr:uid="{6D88418D-D048-44AE-A6A8-F5671B974D00}"/>
    <cellStyle name="20% - Accent4 7 2 2 3" xfId="34984" xr:uid="{D949DD02-B8A7-4F68-BDA1-0ABBD3423C3C}"/>
    <cellStyle name="20% - Accent4 7 2 2 4" xfId="26536" xr:uid="{5A1CE09F-E785-4730-BD32-635F5487E2BD}"/>
    <cellStyle name="20% - Accent4 7 2 2 5" xfId="17239" xr:uid="{4EFA8786-5EAC-4ABD-B1BC-D3EDE3E6C086}"/>
    <cellStyle name="20% - Accent4 7 2 3" xfId="39214" xr:uid="{C104010B-1ECB-4E11-B29F-3A60B29BD05D}"/>
    <cellStyle name="20% - Accent4 7 2 4" xfId="30766" xr:uid="{270F44E5-AE2D-426E-9794-39B6316846DE}"/>
    <cellStyle name="20% - Accent4 7 2 5" xfId="22319" xr:uid="{433F49F3-1B5B-415A-8186-76FB831CC9D9}"/>
    <cellStyle name="20% - Accent4 7 2 6" xfId="13022" xr:uid="{BC3E5A97-F49F-40AD-BE76-5E362F589252}"/>
    <cellStyle name="20% - Accent4 7 3" xfId="5768" xr:uid="{00000000-0005-0000-0000-000079020000}"/>
    <cellStyle name="20% - Accent4 7 3 2" xfId="41286" xr:uid="{0579F428-CB0F-4A99-BD3F-21625C9946A4}"/>
    <cellStyle name="20% - Accent4 7 3 3" xfId="32839" xr:uid="{9BB9B21B-92D2-40B8-A9AB-471B7C577AD0}"/>
    <cellStyle name="20% - Accent4 7 3 4" xfId="24391" xr:uid="{90CD018F-3666-4249-B68B-9F34FB6FA830}"/>
    <cellStyle name="20% - Accent4 7 3 5" xfId="15094" xr:uid="{38461DEA-9865-4662-BBE0-32BCF3DCE532}"/>
    <cellStyle name="20% - Accent4 7 4" xfId="37069" xr:uid="{F9DB7846-A353-4811-8E69-5FF91BDB83C2}"/>
    <cellStyle name="20% - Accent4 7 5" xfId="28621" xr:uid="{A88411BF-C3B4-425A-A1B0-09843256D8E7}"/>
    <cellStyle name="20% - Accent4 7 6" xfId="20174" xr:uid="{157B8521-6529-48D9-8AA7-5480E968070D}"/>
    <cellStyle name="20% - Accent4 7 7" xfId="10877" xr:uid="{1F0DF693-1AE3-4CA5-85F5-D1379736FDBA}"/>
    <cellStyle name="20% - Accent4 8" xfId="1875" xr:uid="{00000000-0005-0000-0000-00007A020000}"/>
    <cellStyle name="20% - Accent4 8 2" xfId="4104" xr:uid="{00000000-0005-0000-0000-00007B020000}"/>
    <cellStyle name="20% - Accent4 8 2 2" xfId="8326" xr:uid="{00000000-0005-0000-0000-00007C020000}"/>
    <cellStyle name="20% - Accent4 8 2 2 2" xfId="43844" xr:uid="{CECAC229-6F9F-471E-9122-8057BDF6D750}"/>
    <cellStyle name="20% - Accent4 8 2 2 3" xfId="35397" xr:uid="{A7CB5FEB-ABD4-4677-93C6-3D92B508D3DC}"/>
    <cellStyle name="20% - Accent4 8 2 2 4" xfId="26949" xr:uid="{2040B189-2AA9-4D9E-85D5-C4B1A97DADD5}"/>
    <cellStyle name="20% - Accent4 8 2 2 5" xfId="17652" xr:uid="{3102EA76-A481-4236-A5E9-480B43CE626F}"/>
    <cellStyle name="20% - Accent4 8 2 3" xfId="39627" xr:uid="{6C4787A8-5646-4FD0-BE05-E2549CD8637D}"/>
    <cellStyle name="20% - Accent4 8 2 4" xfId="31179" xr:uid="{8416155B-33E0-4213-AEAA-181A7C7575E8}"/>
    <cellStyle name="20% - Accent4 8 2 5" xfId="22732" xr:uid="{DE26198B-3E50-4DEA-920D-17E24A6F61D1}"/>
    <cellStyle name="20% - Accent4 8 2 6" xfId="13435" xr:uid="{5214DAE4-3883-4989-8777-F76F6A836E9C}"/>
    <cellStyle name="20% - Accent4 8 3" xfId="6181" xr:uid="{00000000-0005-0000-0000-00007D020000}"/>
    <cellStyle name="20% - Accent4 8 3 2" xfId="41699" xr:uid="{39F1A51C-C422-4DB3-AA8E-3C6B459A7A4E}"/>
    <cellStyle name="20% - Accent4 8 3 3" xfId="33252" xr:uid="{A903EC03-FBAC-43EF-B394-C6153D4D43F4}"/>
    <cellStyle name="20% - Accent4 8 3 4" xfId="24804" xr:uid="{BEE01FA5-C263-4D50-9F4E-782C24EEBBD1}"/>
    <cellStyle name="20% - Accent4 8 3 5" xfId="15507" xr:uid="{12EDC9F1-7CDF-4FF2-8E52-76828072FCD6}"/>
    <cellStyle name="20% - Accent4 8 4" xfId="37482" xr:uid="{3F9D221C-8138-4AE6-AB0F-198224ED3730}"/>
    <cellStyle name="20% - Accent4 8 5" xfId="29034" xr:uid="{44E51545-359B-45E0-87A2-46A89BD9F151}"/>
    <cellStyle name="20% - Accent4 8 6" xfId="20587" xr:uid="{E6C47E7A-1095-450C-A03A-52FB1355F776}"/>
    <cellStyle name="20% - Accent4 8 7" xfId="11290" xr:uid="{4CC0DE1D-9D7D-4BA9-A0B8-7DE19CACEBDF}"/>
    <cellStyle name="20% - Accent4 9" xfId="2288" xr:uid="{00000000-0005-0000-0000-00007E020000}"/>
    <cellStyle name="20% - Accent4 9 2" xfId="6594" xr:uid="{00000000-0005-0000-0000-00007F020000}"/>
    <cellStyle name="20% - Accent4 9 2 2" xfId="42112" xr:uid="{4B71BE59-007C-46D7-9461-AC83BC208469}"/>
    <cellStyle name="20% - Accent4 9 2 3" xfId="33665" xr:uid="{5AED5E19-503B-4D46-B07C-EC551AC8EDA5}"/>
    <cellStyle name="20% - Accent4 9 2 4" xfId="25217" xr:uid="{DFE2C249-6A1F-4FF3-94D0-3A3B63EE9942}"/>
    <cellStyle name="20% - Accent4 9 2 5" xfId="15920" xr:uid="{EDAB2ECE-98DC-4417-80E3-8B2CB7713202}"/>
    <cellStyle name="20% - Accent4 9 3" xfId="37895" xr:uid="{76291985-EE9B-40F4-9C37-F28D031B678F}"/>
    <cellStyle name="20% - Accent4 9 4" xfId="29447" xr:uid="{86FF645B-6431-4CE7-A77F-F02D6AF52AEC}"/>
    <cellStyle name="20% - Accent4 9 5" xfId="21000" xr:uid="{844320CD-BDED-4869-A0A6-DC393716B87F}"/>
    <cellStyle name="20% - Accent4 9 6" xfId="11703" xr:uid="{83C08EC0-D85C-4020-AC5E-99AC8DEA7757}"/>
    <cellStyle name="20% - Accent5" xfId="33" builtinId="46" customBuiltin="1"/>
    <cellStyle name="20% - Accent5 10" xfId="4536" xr:uid="{00000000-0005-0000-0000-000081020000}"/>
    <cellStyle name="20% - Accent5 10 2" xfId="40054" xr:uid="{F4942254-3383-45E7-93DA-5CD59F516DE4}"/>
    <cellStyle name="20% - Accent5 10 3" xfId="31607" xr:uid="{D1FCC0DD-ED40-4E4D-B717-CA70E1976425}"/>
    <cellStyle name="20% - Accent5 10 4" xfId="23159" xr:uid="{765FB973-287F-434E-ACC3-299080C7EC33}"/>
    <cellStyle name="20% - Accent5 10 5" xfId="13862" xr:uid="{A3D6CDFA-22B1-49D0-9D58-84BD2D85C24E}"/>
    <cellStyle name="20% - Accent5 11" xfId="8766" xr:uid="{A87C980D-48BC-4AA3-98F7-53B2F02F228C}"/>
    <cellStyle name="20% - Accent5 11 2" xfId="35837" xr:uid="{FF91FBAF-65F1-4E76-AC0C-AB8EEDE272E5}"/>
    <cellStyle name="20% - Accent5 11 3" xfId="18089" xr:uid="{7E8D1848-6F5B-4BAC-8B72-DF883383A270}"/>
    <cellStyle name="20% - Accent5 12" xfId="27389" xr:uid="{EC43FE61-8CBD-429B-8384-F127572361EF}"/>
    <cellStyle name="20% - Accent5 13" xfId="18942" xr:uid="{C1F87EBC-B02C-437E-A0D3-E816F8DD8179}"/>
    <cellStyle name="20% - Accent5 14" xfId="9645" xr:uid="{839D2ECF-E9D2-4825-AFFE-C6F96C8B70E3}"/>
    <cellStyle name="20% - Accent5 2" xfId="34" xr:uid="{00000000-0005-0000-0000-000082020000}"/>
    <cellStyle name="20% - Accent5 2 10" xfId="8796" xr:uid="{5BBF4372-A7B1-47A0-AC3D-4A60EDC1A5F8}"/>
    <cellStyle name="20% - Accent5 2 10 2" xfId="35838" xr:uid="{DEDD6777-8055-4F32-8451-3BC4AC735D42}"/>
    <cellStyle name="20% - Accent5 2 10 3" xfId="18119" xr:uid="{AEBAE883-0161-4C1A-AA91-0FAA6AA41CDE}"/>
    <cellStyle name="20% - Accent5 2 11" xfId="27390" xr:uid="{42F5B8E0-D8DF-4063-8ECB-9E3BDA0A180A}"/>
    <cellStyle name="20% - Accent5 2 12" xfId="18943" xr:uid="{0C3A7EA9-D703-4608-A488-A95C79C9213E}"/>
    <cellStyle name="20% - Accent5 2 13" xfId="9646" xr:uid="{767C2133-22A0-42DA-A17A-CA6A095B828F}"/>
    <cellStyle name="20% - Accent5 2 2" xfId="35" xr:uid="{00000000-0005-0000-0000-000083020000}"/>
    <cellStyle name="20% - Accent5 2 2 10" xfId="27391" xr:uid="{B9EAE808-9B0E-4BC0-8AB8-1164A590ED96}"/>
    <cellStyle name="20% - Accent5 2 2 11" xfId="18944" xr:uid="{015DB882-31A9-44AB-BD6C-429CC58EC629}"/>
    <cellStyle name="20% - Accent5 2 2 12" xfId="9647" xr:uid="{6BD80824-9BDA-4BE2-A652-280ABBCDA435}"/>
    <cellStyle name="20% - Accent5 2 2 2" xfId="36" xr:uid="{00000000-0005-0000-0000-000084020000}"/>
    <cellStyle name="20% - Accent5 2 2 2 10" xfId="18945" xr:uid="{40053EFD-E3C8-4D63-BA65-A5F0B28C2F78}"/>
    <cellStyle name="20% - Accent5 2 2 2 11" xfId="9648" xr:uid="{5B52282D-0C37-4EA3-8ED9-0392C1A84205}"/>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42616" xr:uid="{FE082161-EED1-41C3-8D06-9A88B1FC8377}"/>
    <cellStyle name="20% - Accent5 2 2 2 2 2 2 3" xfId="34169" xr:uid="{444808CE-90C9-41CA-99FA-7127C6DA0362}"/>
    <cellStyle name="20% - Accent5 2 2 2 2 2 2 4" xfId="25721" xr:uid="{7613503B-F117-4438-AB92-E33118F05FEB}"/>
    <cellStyle name="20% - Accent5 2 2 2 2 2 2 5" xfId="16424" xr:uid="{734EB59F-32AB-45B0-9FE8-1F7F7361B867}"/>
    <cellStyle name="20% - Accent5 2 2 2 2 2 3" xfId="38399" xr:uid="{53E7B7A8-93B1-4A89-BB63-7F87D3F5DEE1}"/>
    <cellStyle name="20% - Accent5 2 2 2 2 2 4" xfId="29951" xr:uid="{2C65220F-60A1-4854-899D-B76158F82AEF}"/>
    <cellStyle name="20% - Accent5 2 2 2 2 2 5" xfId="21504" xr:uid="{9B0B79EC-C5DA-4E8F-8279-D8C2102A1036}"/>
    <cellStyle name="20% - Accent5 2 2 2 2 2 6" xfId="12207" xr:uid="{76AA6D52-A449-4438-BC46-B2E94F73FDB6}"/>
    <cellStyle name="20% - Accent5 2 2 2 2 3" xfId="4953" xr:uid="{00000000-0005-0000-0000-000088020000}"/>
    <cellStyle name="20% - Accent5 2 2 2 2 3 2" xfId="40471" xr:uid="{E9753C0B-D6C9-4480-85A7-3E90A25B1DD1}"/>
    <cellStyle name="20% - Accent5 2 2 2 2 3 3" xfId="32024" xr:uid="{FCAE46DD-5D60-4EB1-81EC-FF0FAA3E7387}"/>
    <cellStyle name="20% - Accent5 2 2 2 2 3 4" xfId="23576" xr:uid="{7DA36A8B-9D2E-4920-8406-CFDA9E899B46}"/>
    <cellStyle name="20% - Accent5 2 2 2 2 3 5" xfId="14279" xr:uid="{68690C37-20ED-4593-9208-E3ABECA55D31}"/>
    <cellStyle name="20% - Accent5 2 2 2 2 4" xfId="9531" xr:uid="{5DC5F027-F767-49FB-B9DE-2ACABCF8AC5A}"/>
    <cellStyle name="20% - Accent5 2 2 2 2 4 2" xfId="36254" xr:uid="{2A8D189F-AA45-456E-8939-0DCE98EEE76F}"/>
    <cellStyle name="20% - Accent5 2 2 2 2 4 3" xfId="18844" xr:uid="{B77F10C4-2302-4396-A010-C7BF2F96FCCD}"/>
    <cellStyle name="20% - Accent5 2 2 2 2 5" xfId="27806" xr:uid="{3DD72DA9-A197-4B1B-8DB0-341AF944A2B7}"/>
    <cellStyle name="20% - Accent5 2 2 2 2 6" xfId="19359" xr:uid="{4AA86160-3F3A-48BE-BA3D-B045D2E8B104}"/>
    <cellStyle name="20% - Accent5 2 2 2 2 7" xfId="10062" xr:uid="{B251E34E-159E-4301-B687-8C4437FCBE7B}"/>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43029" xr:uid="{278A7A61-6018-4568-92FB-37AA83371D13}"/>
    <cellStyle name="20% - Accent5 2 2 2 3 2 2 3" xfId="34582" xr:uid="{79C1D7B3-EEAB-4887-8FBD-8A0DB083B461}"/>
    <cellStyle name="20% - Accent5 2 2 2 3 2 2 4" xfId="26134" xr:uid="{C6383CF2-BA89-44EC-8974-F227D40CB9CC}"/>
    <cellStyle name="20% - Accent5 2 2 2 3 2 2 5" xfId="16837" xr:uid="{F64F40E7-9C4C-4DE4-9F85-B0D9A797BE39}"/>
    <cellStyle name="20% - Accent5 2 2 2 3 2 3" xfId="38812" xr:uid="{E421AF57-7AA3-4752-AFF3-783D3BE37EB7}"/>
    <cellStyle name="20% - Accent5 2 2 2 3 2 4" xfId="30364" xr:uid="{958A80E7-C5B2-45E3-A447-C451CED22A72}"/>
    <cellStyle name="20% - Accent5 2 2 2 3 2 5" xfId="21917" xr:uid="{256ED779-3D6C-4FD8-A660-EA8BC886733A}"/>
    <cellStyle name="20% - Accent5 2 2 2 3 2 6" xfId="12620" xr:uid="{07C511B9-F641-4DC5-BB62-3AAF86657DB6}"/>
    <cellStyle name="20% - Accent5 2 2 2 3 3" xfId="5366" xr:uid="{00000000-0005-0000-0000-00008C020000}"/>
    <cellStyle name="20% - Accent5 2 2 2 3 3 2" xfId="40884" xr:uid="{CA14AADE-E65F-4243-9DEE-613BE4632E2E}"/>
    <cellStyle name="20% - Accent5 2 2 2 3 3 3" xfId="32437" xr:uid="{7C1D99C3-0192-4197-91D4-DD43BB4C1761}"/>
    <cellStyle name="20% - Accent5 2 2 2 3 3 4" xfId="23989" xr:uid="{982D6BCE-54A7-4230-AF99-AAD75D17468E}"/>
    <cellStyle name="20% - Accent5 2 2 2 3 3 5" xfId="14692" xr:uid="{2510CF0C-BB09-4C88-B2DC-B2C969A5FE27}"/>
    <cellStyle name="20% - Accent5 2 2 2 3 4" xfId="36667" xr:uid="{BC910F9E-2142-4414-8826-6E2A5B2B037A}"/>
    <cellStyle name="20% - Accent5 2 2 2 3 5" xfId="28219" xr:uid="{85ED5904-A7D8-497C-AD3C-AED5EA9E99A8}"/>
    <cellStyle name="20% - Accent5 2 2 2 3 6" xfId="19772" xr:uid="{512FA8D1-6768-416C-B6D4-A0AE1B73EFD4}"/>
    <cellStyle name="20% - Accent5 2 2 2 3 7" xfId="10475" xr:uid="{6EB94AB1-132C-44EA-9C95-48E746A487FC}"/>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43442" xr:uid="{FD87DB36-BB3E-4866-9F10-2CB84863F935}"/>
    <cellStyle name="20% - Accent5 2 2 2 4 2 2 3" xfId="34995" xr:uid="{8AA938E5-C777-434D-9EB7-E53D4F70240D}"/>
    <cellStyle name="20% - Accent5 2 2 2 4 2 2 4" xfId="26547" xr:uid="{3D329702-7ADF-4BF8-A84E-7E6A726B99E7}"/>
    <cellStyle name="20% - Accent5 2 2 2 4 2 2 5" xfId="17250" xr:uid="{CCA29764-6126-445D-A3DA-2D6B1956EFB7}"/>
    <cellStyle name="20% - Accent5 2 2 2 4 2 3" xfId="39225" xr:uid="{0790825A-96BD-4794-886B-9A423FA5FE70}"/>
    <cellStyle name="20% - Accent5 2 2 2 4 2 4" xfId="30777" xr:uid="{823B558D-690D-4738-8A37-E1269E8D34BB}"/>
    <cellStyle name="20% - Accent5 2 2 2 4 2 5" xfId="22330" xr:uid="{32CE2FE9-A569-41F2-8121-2EDBE4F53931}"/>
    <cellStyle name="20% - Accent5 2 2 2 4 2 6" xfId="13033" xr:uid="{C83D66E5-D389-438D-A88A-580B5E77358A}"/>
    <cellStyle name="20% - Accent5 2 2 2 4 3" xfId="5779" xr:uid="{00000000-0005-0000-0000-000090020000}"/>
    <cellStyle name="20% - Accent5 2 2 2 4 3 2" xfId="41297" xr:uid="{9BEB5A4C-5A5E-4D3C-AE02-9AA2BFBFF9FB}"/>
    <cellStyle name="20% - Accent5 2 2 2 4 3 3" xfId="32850" xr:uid="{E284E99C-7AE0-4349-A055-146305A381E2}"/>
    <cellStyle name="20% - Accent5 2 2 2 4 3 4" xfId="24402" xr:uid="{F8767DB5-12E8-4F24-A77B-91237375A1C1}"/>
    <cellStyle name="20% - Accent5 2 2 2 4 3 5" xfId="15105" xr:uid="{3F9C6F89-9FC8-42BC-A49E-303CCD65A5FD}"/>
    <cellStyle name="20% - Accent5 2 2 2 4 4" xfId="37080" xr:uid="{FC349C4B-DE70-41B4-8D94-28453E93EF22}"/>
    <cellStyle name="20% - Accent5 2 2 2 4 5" xfId="28632" xr:uid="{C3826FA6-A6B5-4183-8B9C-89DAB123D7CE}"/>
    <cellStyle name="20% - Accent5 2 2 2 4 6" xfId="20185" xr:uid="{9BFEA2F6-C3B5-427D-A7EE-E3AD4BD5D4D8}"/>
    <cellStyle name="20% - Accent5 2 2 2 4 7" xfId="10888" xr:uid="{A949F149-0405-481C-8525-1124C62916C1}"/>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43855" xr:uid="{17F67EBF-C8A9-4E28-9B75-B56AFD314DC9}"/>
    <cellStyle name="20% - Accent5 2 2 2 5 2 2 3" xfId="35408" xr:uid="{F003EE2E-5A14-4876-9486-AD2711E936C1}"/>
    <cellStyle name="20% - Accent5 2 2 2 5 2 2 4" xfId="26960" xr:uid="{8CAF6440-380F-4E6F-8A29-70D3CA3477C5}"/>
    <cellStyle name="20% - Accent5 2 2 2 5 2 2 5" xfId="17663" xr:uid="{B5FBEB9B-0BCA-40C7-8431-743643A9A843}"/>
    <cellStyle name="20% - Accent5 2 2 2 5 2 3" xfId="39638" xr:uid="{FF46184F-7AAE-475F-BECB-8EF38689ED82}"/>
    <cellStyle name="20% - Accent5 2 2 2 5 2 4" xfId="31190" xr:uid="{F5E5B272-D920-4E6F-8F74-3C86ED978713}"/>
    <cellStyle name="20% - Accent5 2 2 2 5 2 5" xfId="22743" xr:uid="{60F74183-A79D-4053-9933-62CC99D66C91}"/>
    <cellStyle name="20% - Accent5 2 2 2 5 2 6" xfId="13446" xr:uid="{1ECE0353-43DC-4C00-A85E-564F66BC73C9}"/>
    <cellStyle name="20% - Accent5 2 2 2 5 3" xfId="6192" xr:uid="{00000000-0005-0000-0000-000094020000}"/>
    <cellStyle name="20% - Accent5 2 2 2 5 3 2" xfId="41710" xr:uid="{0388807B-C263-4EAA-B97D-6AD7870738F8}"/>
    <cellStyle name="20% - Accent5 2 2 2 5 3 3" xfId="33263" xr:uid="{4402D94C-1257-4F21-941D-EA4AA9813939}"/>
    <cellStyle name="20% - Accent5 2 2 2 5 3 4" xfId="24815" xr:uid="{1D1E3E5B-94F0-4597-B2D3-BCA8D58AC073}"/>
    <cellStyle name="20% - Accent5 2 2 2 5 3 5" xfId="15518" xr:uid="{EA49C189-2F62-4019-88FD-A9D99FDB65D9}"/>
    <cellStyle name="20% - Accent5 2 2 2 5 4" xfId="37493" xr:uid="{71D540AC-8B2F-4428-B482-29540DC5516E}"/>
    <cellStyle name="20% - Accent5 2 2 2 5 5" xfId="29045" xr:uid="{6C60C562-82E4-4BEC-861D-C8CF406D7C33}"/>
    <cellStyle name="20% - Accent5 2 2 2 5 6" xfId="20598" xr:uid="{D5D7DB02-E6CF-4733-A9E9-FCBB77E50996}"/>
    <cellStyle name="20% - Accent5 2 2 2 5 7" xfId="11301" xr:uid="{E627E0A7-D5A6-49B7-BEA4-16FBEFC9F5E5}"/>
    <cellStyle name="20% - Accent5 2 2 2 6" xfId="2299" xr:uid="{00000000-0005-0000-0000-000095020000}"/>
    <cellStyle name="20% - Accent5 2 2 2 6 2" xfId="6605" xr:uid="{00000000-0005-0000-0000-000096020000}"/>
    <cellStyle name="20% - Accent5 2 2 2 6 2 2" xfId="42123" xr:uid="{93D69AA4-81BB-4035-9DF4-D9C875698C13}"/>
    <cellStyle name="20% - Accent5 2 2 2 6 2 3" xfId="33676" xr:uid="{63AF06D6-26B0-4E54-9BC3-CF8FB071E69F}"/>
    <cellStyle name="20% - Accent5 2 2 2 6 2 4" xfId="25228" xr:uid="{2C202E53-41D2-4CB6-9083-4E2D1B821F8A}"/>
    <cellStyle name="20% - Accent5 2 2 2 6 2 5" xfId="15931" xr:uid="{738BDA62-13A1-409E-A041-3A9B76133352}"/>
    <cellStyle name="20% - Accent5 2 2 2 6 3" xfId="37906" xr:uid="{0967D73C-F3E8-44EC-814D-1819E69C5A57}"/>
    <cellStyle name="20% - Accent5 2 2 2 6 4" xfId="29458" xr:uid="{C37F3E2E-72EF-4EC8-AF65-1557065B82DE}"/>
    <cellStyle name="20% - Accent5 2 2 2 6 5" xfId="21011" xr:uid="{7D2E8454-47E3-49F7-AE48-F493B675147C}"/>
    <cellStyle name="20% - Accent5 2 2 2 6 6" xfId="11714" xr:uid="{316B2F75-9D0F-46A9-B5FD-3950E74780DC}"/>
    <cellStyle name="20% - Accent5 2 2 2 7" xfId="4539" xr:uid="{00000000-0005-0000-0000-000097020000}"/>
    <cellStyle name="20% - Accent5 2 2 2 7 2" xfId="40057" xr:uid="{AA33914A-C435-481E-ACAB-8963E89E4B1C}"/>
    <cellStyle name="20% - Accent5 2 2 2 7 3" xfId="31610" xr:uid="{A580BCAD-3BA5-4E72-B534-C73F730731C8}"/>
    <cellStyle name="20% - Accent5 2 2 2 7 4" xfId="23162" xr:uid="{BF20230C-577D-47FB-B830-ECF4D6D8C513}"/>
    <cellStyle name="20% - Accent5 2 2 2 7 5" xfId="13865" xr:uid="{FA003080-755B-45F0-9605-94C75921E43A}"/>
    <cellStyle name="20% - Accent5 2 2 2 8" xfId="9106" xr:uid="{E7B219CB-83A9-494A-83ED-783719A0F1D9}"/>
    <cellStyle name="20% - Accent5 2 2 2 8 2" xfId="35840" xr:uid="{0976B4C7-8B0D-4A4F-B96A-0E5E9E4BC2F7}"/>
    <cellStyle name="20% - Accent5 2 2 2 8 3" xfId="18429" xr:uid="{A443F733-5410-4BC0-ABF0-235F2EFADAD3}"/>
    <cellStyle name="20% - Accent5 2 2 2 9" xfId="27392" xr:uid="{7101BB9F-1082-4CE8-B7FF-9D7D59B41480}"/>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42615" xr:uid="{F33EFEC7-F51E-4812-8B9C-563B54B94F8D}"/>
    <cellStyle name="20% - Accent5 2 2 3 2 2 3" xfId="34168" xr:uid="{6BE33AF6-DBF2-4810-9B7D-D558BFFDFD3A}"/>
    <cellStyle name="20% - Accent5 2 2 3 2 2 4" xfId="25720" xr:uid="{A626864D-7D0A-4ABD-BFFA-3D5A32CD7B1B}"/>
    <cellStyle name="20% - Accent5 2 2 3 2 2 5" xfId="16423" xr:uid="{BC6CB148-5894-4DAA-A104-432706317F24}"/>
    <cellStyle name="20% - Accent5 2 2 3 2 3" xfId="38398" xr:uid="{681ACA0B-B61D-4897-9D56-1B744F2FBC68}"/>
    <cellStyle name="20% - Accent5 2 2 3 2 4" xfId="29950" xr:uid="{76FD326B-D048-4377-9C28-0913351B0167}"/>
    <cellStyle name="20% - Accent5 2 2 3 2 5" xfId="21503" xr:uid="{3EB9955B-2FEE-4FB9-A3FE-9D1D50EF6445}"/>
    <cellStyle name="20% - Accent5 2 2 3 2 6" xfId="12206" xr:uid="{F772681A-5CA3-46F1-B083-A0E706E571ED}"/>
    <cellStyle name="20% - Accent5 2 2 3 3" xfId="4952" xr:uid="{00000000-0005-0000-0000-00009B020000}"/>
    <cellStyle name="20% - Accent5 2 2 3 3 2" xfId="40470" xr:uid="{F3B5E2F7-D28C-4237-A690-BDF96CC2AB88}"/>
    <cellStyle name="20% - Accent5 2 2 3 3 3" xfId="32023" xr:uid="{BCA5ED65-D174-423F-863E-C997B7503259}"/>
    <cellStyle name="20% - Accent5 2 2 3 3 4" xfId="23575" xr:uid="{A0195BF7-581F-4B20-8EF6-60237EDA8B08}"/>
    <cellStyle name="20% - Accent5 2 2 3 3 5" xfId="14278" xr:uid="{803D2138-F1F0-4C99-A1BC-4595A04FE166}"/>
    <cellStyle name="20% - Accent5 2 2 3 4" xfId="9324" xr:uid="{6094FEE1-8E2A-466F-9CDF-43EB9EE581FF}"/>
    <cellStyle name="20% - Accent5 2 2 3 4 2" xfId="36253" xr:uid="{ED0A53B9-1D2C-4C40-BFA3-EF0EC823BDDF}"/>
    <cellStyle name="20% - Accent5 2 2 3 4 3" xfId="18637" xr:uid="{871CD52D-479A-4E20-A658-8A2C705B1C55}"/>
    <cellStyle name="20% - Accent5 2 2 3 5" xfId="27805" xr:uid="{CDC2AB65-6FF9-467C-9ACF-9FFBD816B835}"/>
    <cellStyle name="20% - Accent5 2 2 3 6" xfId="19358" xr:uid="{53F5A4CA-9538-4677-AFD7-1000C64009B6}"/>
    <cellStyle name="20% - Accent5 2 2 3 7" xfId="10061" xr:uid="{B6F03E0A-026F-497D-B988-A28F52E43892}"/>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43028" xr:uid="{39ED5DC1-8806-435C-9D52-9716FC7F3BA8}"/>
    <cellStyle name="20% - Accent5 2 2 4 2 2 3" xfId="34581" xr:uid="{1D379374-4096-4155-8481-D6639B1577AB}"/>
    <cellStyle name="20% - Accent5 2 2 4 2 2 4" xfId="26133" xr:uid="{E6E8043E-530F-4504-BE65-AB195F1065F8}"/>
    <cellStyle name="20% - Accent5 2 2 4 2 2 5" xfId="16836" xr:uid="{F4EE4513-6DCC-400B-B9BA-726D3B8343AE}"/>
    <cellStyle name="20% - Accent5 2 2 4 2 3" xfId="38811" xr:uid="{38B98C20-2093-4199-BF6C-CCB8343CF6E7}"/>
    <cellStyle name="20% - Accent5 2 2 4 2 4" xfId="30363" xr:uid="{2A6A9DEE-2A7E-4BC6-BB8F-B644F2E9C24D}"/>
    <cellStyle name="20% - Accent5 2 2 4 2 5" xfId="21916" xr:uid="{66BB24A8-C2F3-4F7B-9A4C-4E9DEDD30667}"/>
    <cellStyle name="20% - Accent5 2 2 4 2 6" xfId="12619" xr:uid="{44D4161E-D3A7-4C57-A125-1A34849FA20F}"/>
    <cellStyle name="20% - Accent5 2 2 4 3" xfId="5365" xr:uid="{00000000-0005-0000-0000-00009F020000}"/>
    <cellStyle name="20% - Accent5 2 2 4 3 2" xfId="40883" xr:uid="{804888A3-9DDF-4293-9891-369A3E647B72}"/>
    <cellStyle name="20% - Accent5 2 2 4 3 3" xfId="32436" xr:uid="{26F5FED8-DB70-4B74-9C80-D96E1D25C45C}"/>
    <cellStyle name="20% - Accent5 2 2 4 3 4" xfId="23988" xr:uid="{8AD1CFF6-3AFD-45E5-A6DC-07B3613DBB35}"/>
    <cellStyle name="20% - Accent5 2 2 4 3 5" xfId="14691" xr:uid="{57B232D7-755C-4927-A368-908FE1009CE6}"/>
    <cellStyle name="20% - Accent5 2 2 4 4" xfId="36666" xr:uid="{411376CF-4216-4BC0-9268-E553526E84D0}"/>
    <cellStyle name="20% - Accent5 2 2 4 5" xfId="28218" xr:uid="{813997F2-5B9F-4205-8214-D6FA712FF774}"/>
    <cellStyle name="20% - Accent5 2 2 4 6" xfId="19771" xr:uid="{197C3FE6-5728-4D6D-AC98-63CB27305A81}"/>
    <cellStyle name="20% - Accent5 2 2 4 7" xfId="10474" xr:uid="{31F779D2-F657-45C8-B245-CCAC6899816F}"/>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43441" xr:uid="{8B55709A-0C5B-4157-8BEA-B129231C0FF2}"/>
    <cellStyle name="20% - Accent5 2 2 5 2 2 3" xfId="34994" xr:uid="{0B0ED64A-94F6-489B-B33C-E71D648D16C6}"/>
    <cellStyle name="20% - Accent5 2 2 5 2 2 4" xfId="26546" xr:uid="{AAC2CAD3-1F44-4FDD-A0B7-269D16D96BCB}"/>
    <cellStyle name="20% - Accent5 2 2 5 2 2 5" xfId="17249" xr:uid="{C1842630-0B87-4A19-A57A-ABA2600990C4}"/>
    <cellStyle name="20% - Accent5 2 2 5 2 3" xfId="39224" xr:uid="{36999272-8703-45B7-9E62-A6FAE776208F}"/>
    <cellStyle name="20% - Accent5 2 2 5 2 4" xfId="30776" xr:uid="{8955583F-F930-455B-A12A-D4AA845F47F2}"/>
    <cellStyle name="20% - Accent5 2 2 5 2 5" xfId="22329" xr:uid="{1F7C0083-8442-459D-A4B9-8B43767D1F7B}"/>
    <cellStyle name="20% - Accent5 2 2 5 2 6" xfId="13032" xr:uid="{65631D3B-5146-4182-AEC2-43BB98D71EA9}"/>
    <cellStyle name="20% - Accent5 2 2 5 3" xfId="5778" xr:uid="{00000000-0005-0000-0000-0000A3020000}"/>
    <cellStyle name="20% - Accent5 2 2 5 3 2" xfId="41296" xr:uid="{9D2FD1DC-CBC7-43A9-929A-A4DE87DC88BD}"/>
    <cellStyle name="20% - Accent5 2 2 5 3 3" xfId="32849" xr:uid="{3AE7208F-AEFA-4440-B6EC-B9439A62BB28}"/>
    <cellStyle name="20% - Accent5 2 2 5 3 4" xfId="24401" xr:uid="{84E24E2B-4837-4D47-A01A-007F71F8554F}"/>
    <cellStyle name="20% - Accent5 2 2 5 3 5" xfId="15104" xr:uid="{ED282B48-DF23-46DC-90C9-2304A403404C}"/>
    <cellStyle name="20% - Accent5 2 2 5 4" xfId="37079" xr:uid="{8CCC67C2-2975-4011-A0A4-321AD7A026B1}"/>
    <cellStyle name="20% - Accent5 2 2 5 5" xfId="28631" xr:uid="{85889FAA-DDE9-4D08-8498-E16D6D96C730}"/>
    <cellStyle name="20% - Accent5 2 2 5 6" xfId="20184" xr:uid="{05F2EECB-1407-4D2C-A865-DB3A1422A5FF}"/>
    <cellStyle name="20% - Accent5 2 2 5 7" xfId="10887" xr:uid="{4AAA52EF-0A56-4EF6-835A-C29A17FDF766}"/>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43854" xr:uid="{E02C217C-F499-4AD7-8A69-C76C22C0C84D}"/>
    <cellStyle name="20% - Accent5 2 2 6 2 2 3" xfId="35407" xr:uid="{72C9930E-6B39-4064-970B-77D2FCB0D991}"/>
    <cellStyle name="20% - Accent5 2 2 6 2 2 4" xfId="26959" xr:uid="{60D66965-D5F1-40B4-83ED-DF674DE4572F}"/>
    <cellStyle name="20% - Accent5 2 2 6 2 2 5" xfId="17662" xr:uid="{C461CED2-999F-48A2-BCC3-FD97155C0351}"/>
    <cellStyle name="20% - Accent5 2 2 6 2 3" xfId="39637" xr:uid="{D233D617-C378-44F7-BAD1-52A00CC7E07F}"/>
    <cellStyle name="20% - Accent5 2 2 6 2 4" xfId="31189" xr:uid="{DE46F709-7678-4586-BE4F-F65215809057}"/>
    <cellStyle name="20% - Accent5 2 2 6 2 5" xfId="22742" xr:uid="{93854933-A54B-41C2-ADF6-26E72633D983}"/>
    <cellStyle name="20% - Accent5 2 2 6 2 6" xfId="13445" xr:uid="{9EFB7D5D-C9A7-47FC-87B6-C388BA480FC8}"/>
    <cellStyle name="20% - Accent5 2 2 6 3" xfId="6191" xr:uid="{00000000-0005-0000-0000-0000A7020000}"/>
    <cellStyle name="20% - Accent5 2 2 6 3 2" xfId="41709" xr:uid="{39AB9781-B095-4B5A-BD08-02494AA06759}"/>
    <cellStyle name="20% - Accent5 2 2 6 3 3" xfId="33262" xr:uid="{99C3F324-1386-4D4D-AB91-543DF65CDC0F}"/>
    <cellStyle name="20% - Accent5 2 2 6 3 4" xfId="24814" xr:uid="{E85F6E16-F53C-437A-BACA-4FA0658F99F2}"/>
    <cellStyle name="20% - Accent5 2 2 6 3 5" xfId="15517" xr:uid="{CFDEAB92-F01C-4F1C-85BD-805B89356733}"/>
    <cellStyle name="20% - Accent5 2 2 6 4" xfId="37492" xr:uid="{6ACB6467-FA7A-4220-98CD-4E295EE58B1D}"/>
    <cellStyle name="20% - Accent5 2 2 6 5" xfId="29044" xr:uid="{EDFC9A6B-08EA-4E60-B13C-358D31422A76}"/>
    <cellStyle name="20% - Accent5 2 2 6 6" xfId="20597" xr:uid="{CDB7F952-3D59-4974-94D6-26E5C6B5D204}"/>
    <cellStyle name="20% - Accent5 2 2 6 7" xfId="11300" xr:uid="{B9CA6BC7-F119-4F61-9245-2BC42AEC8421}"/>
    <cellStyle name="20% - Accent5 2 2 7" xfId="2298" xr:uid="{00000000-0005-0000-0000-0000A8020000}"/>
    <cellStyle name="20% - Accent5 2 2 7 2" xfId="6604" xr:uid="{00000000-0005-0000-0000-0000A9020000}"/>
    <cellStyle name="20% - Accent5 2 2 7 2 2" xfId="42122" xr:uid="{E7AD5B40-BB4F-4F14-BC85-6CC60AA9B93A}"/>
    <cellStyle name="20% - Accent5 2 2 7 2 3" xfId="33675" xr:uid="{74B89354-541D-4B52-B813-B7E6D256ACE7}"/>
    <cellStyle name="20% - Accent5 2 2 7 2 4" xfId="25227" xr:uid="{8EAAECE7-5A9C-42F0-8F0C-2525247BD5AA}"/>
    <cellStyle name="20% - Accent5 2 2 7 2 5" xfId="15930" xr:uid="{67FF956E-A968-445A-9351-FF0D013C54EC}"/>
    <cellStyle name="20% - Accent5 2 2 7 3" xfId="37905" xr:uid="{C82C7D27-0455-4115-BBED-7820AC77D80C}"/>
    <cellStyle name="20% - Accent5 2 2 7 4" xfId="29457" xr:uid="{78BD3E87-75EC-47B7-9A12-858C8CD4F94F}"/>
    <cellStyle name="20% - Accent5 2 2 7 5" xfId="21010" xr:uid="{EF52CC3C-F4D1-49D9-864F-D6EB1D526495}"/>
    <cellStyle name="20% - Accent5 2 2 7 6" xfId="11713" xr:uid="{106660D1-C4E8-40AF-8C5F-3BA4AC8A07CB}"/>
    <cellStyle name="20% - Accent5 2 2 8" xfId="4538" xr:uid="{00000000-0005-0000-0000-0000AA020000}"/>
    <cellStyle name="20% - Accent5 2 2 8 2" xfId="40056" xr:uid="{6AB0E13A-17A1-4E7F-B50D-74F9E7ADB6FE}"/>
    <cellStyle name="20% - Accent5 2 2 8 3" xfId="31609" xr:uid="{F3998B51-34CA-4D48-A3A9-1BFDBC509D28}"/>
    <cellStyle name="20% - Accent5 2 2 8 4" xfId="23161" xr:uid="{0C4ABADA-E7C8-4D6E-8364-13BD1F4BC7D6}"/>
    <cellStyle name="20% - Accent5 2 2 8 5" xfId="13864" xr:uid="{5AA41ECE-678D-41C8-90C4-05A561C99457}"/>
    <cellStyle name="20% - Accent5 2 2 9" xfId="8899" xr:uid="{0E8F9EC8-D565-41C9-B716-FF597FFF35B9}"/>
    <cellStyle name="20% - Accent5 2 2 9 2" xfId="35839" xr:uid="{76FA74C9-3B61-496A-BF4C-2911C69D5C39}"/>
    <cellStyle name="20% - Accent5 2 2 9 3" xfId="18222" xr:uid="{C39EA78B-9C09-413C-AC1D-DCCCA872F618}"/>
    <cellStyle name="20% - Accent5 2 3" xfId="37" xr:uid="{00000000-0005-0000-0000-0000AB020000}"/>
    <cellStyle name="20% - Accent5 2 3 10" xfId="18946" xr:uid="{BE19464E-41A6-4F68-B831-216B175189FA}"/>
    <cellStyle name="20% - Accent5 2 3 11" xfId="9649" xr:uid="{B2B06435-3178-4E30-B6B8-33F92BEA0032}"/>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42617" xr:uid="{42CB5353-4A8C-40D7-8904-34B53768F935}"/>
    <cellStyle name="20% - Accent5 2 3 2 2 2 3" xfId="34170" xr:uid="{0F0EDC71-0E19-4A29-8627-56BA46BECF06}"/>
    <cellStyle name="20% - Accent5 2 3 2 2 2 4" xfId="25722" xr:uid="{CF92AD0A-8EC0-45EA-8E1B-B07862E1E1D0}"/>
    <cellStyle name="20% - Accent5 2 3 2 2 2 5" xfId="16425" xr:uid="{CE567068-9E3C-424F-8F6A-381E429AAD88}"/>
    <cellStyle name="20% - Accent5 2 3 2 2 3" xfId="38400" xr:uid="{1AA672DC-A7D7-4691-9810-AD372EEEFDC4}"/>
    <cellStyle name="20% - Accent5 2 3 2 2 4" xfId="29952" xr:uid="{F263C477-AFC2-41A7-90E9-2C8CE51A7E46}"/>
    <cellStyle name="20% - Accent5 2 3 2 2 5" xfId="21505" xr:uid="{DA8730AE-FD68-4429-99C6-3AF37AC4EAD3}"/>
    <cellStyle name="20% - Accent5 2 3 2 2 6" xfId="12208" xr:uid="{F9A39949-8DF8-4EF2-93D9-9C9BFA172210}"/>
    <cellStyle name="20% - Accent5 2 3 2 3" xfId="4954" xr:uid="{00000000-0005-0000-0000-0000AF020000}"/>
    <cellStyle name="20% - Accent5 2 3 2 3 2" xfId="40472" xr:uid="{7DF4DD10-C3C7-4DE5-831C-BC31FC09E485}"/>
    <cellStyle name="20% - Accent5 2 3 2 3 3" xfId="32025" xr:uid="{BF661E9F-C384-445F-BA6E-31B22F74044F}"/>
    <cellStyle name="20% - Accent5 2 3 2 3 4" xfId="23577" xr:uid="{A0C433CC-74A8-4868-8378-1D618FFA979F}"/>
    <cellStyle name="20% - Accent5 2 3 2 3 5" xfId="14280" xr:uid="{2AC2D096-5CE6-4CFB-B49E-7274E9F1FDBD}"/>
    <cellStyle name="20% - Accent5 2 3 2 4" xfId="9428" xr:uid="{B7820ACF-E1F3-4653-B5DD-FD829B169E84}"/>
    <cellStyle name="20% - Accent5 2 3 2 4 2" xfId="36255" xr:uid="{09271A52-D14D-4EB2-9920-1BAD4AE68281}"/>
    <cellStyle name="20% - Accent5 2 3 2 4 3" xfId="18741" xr:uid="{43E14A11-1551-4688-AD3C-BD7D1D48D0E1}"/>
    <cellStyle name="20% - Accent5 2 3 2 5" xfId="27807" xr:uid="{738696EA-BE3A-46DF-BCFF-FE6B1EFEBB00}"/>
    <cellStyle name="20% - Accent5 2 3 2 6" xfId="19360" xr:uid="{1B1E54AF-2BD6-46D6-8C7C-B14FB1C4CECA}"/>
    <cellStyle name="20% - Accent5 2 3 2 7" xfId="10063" xr:uid="{3CD8A09E-F36B-4FBF-B733-6469826B56AE}"/>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43030" xr:uid="{134B7F9C-42FE-42F9-B5CB-348DE3A35C93}"/>
    <cellStyle name="20% - Accent5 2 3 3 2 2 3" xfId="34583" xr:uid="{B1A4F1DE-4A73-44F2-8265-813907C98BDA}"/>
    <cellStyle name="20% - Accent5 2 3 3 2 2 4" xfId="26135" xr:uid="{1AB5F0E7-EA37-4EB9-8739-813809E9F178}"/>
    <cellStyle name="20% - Accent5 2 3 3 2 2 5" xfId="16838" xr:uid="{C026985B-3857-493F-A0DF-9C2F885E3419}"/>
    <cellStyle name="20% - Accent5 2 3 3 2 3" xfId="38813" xr:uid="{50D0B7B0-3341-408E-91FF-25255D9061EB}"/>
    <cellStyle name="20% - Accent5 2 3 3 2 4" xfId="30365" xr:uid="{93DB4647-832E-4F5B-B430-1ABC0290A419}"/>
    <cellStyle name="20% - Accent5 2 3 3 2 5" xfId="21918" xr:uid="{E1F86971-2A65-4A22-96E4-67DEB1BF780B}"/>
    <cellStyle name="20% - Accent5 2 3 3 2 6" xfId="12621" xr:uid="{096A7340-579A-4A19-BA9C-3CE5F722AFD9}"/>
    <cellStyle name="20% - Accent5 2 3 3 3" xfId="5367" xr:uid="{00000000-0005-0000-0000-0000B3020000}"/>
    <cellStyle name="20% - Accent5 2 3 3 3 2" xfId="40885" xr:uid="{682771DB-0546-46BB-A39F-693FF2A9A233}"/>
    <cellStyle name="20% - Accent5 2 3 3 3 3" xfId="32438" xr:uid="{73DFDA21-FFB0-4907-AA6C-E895BDFB5E37}"/>
    <cellStyle name="20% - Accent5 2 3 3 3 4" xfId="23990" xr:uid="{92697E5E-96C6-43E6-A002-152F44C6C630}"/>
    <cellStyle name="20% - Accent5 2 3 3 3 5" xfId="14693" xr:uid="{0EE0580A-3A3A-4442-960C-F288F3327A4D}"/>
    <cellStyle name="20% - Accent5 2 3 3 4" xfId="36668" xr:uid="{EBD9714D-D2F3-4A9C-92AF-C15E7AC830F6}"/>
    <cellStyle name="20% - Accent5 2 3 3 5" xfId="28220" xr:uid="{9194E006-69DC-485A-9A7D-62D4BDDDEF09}"/>
    <cellStyle name="20% - Accent5 2 3 3 6" xfId="19773" xr:uid="{94F0E46D-0701-481B-B19E-2BDAE9F09BE6}"/>
    <cellStyle name="20% - Accent5 2 3 3 7" xfId="10476" xr:uid="{3B376B88-A051-44D1-AB3B-0D9BA2AA71C1}"/>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43443" xr:uid="{20C3AAED-415C-44F2-8A64-F8FB340B9A7F}"/>
    <cellStyle name="20% - Accent5 2 3 4 2 2 3" xfId="34996" xr:uid="{E5393DC8-DA47-4A54-B4E9-85653424A5DA}"/>
    <cellStyle name="20% - Accent5 2 3 4 2 2 4" xfId="26548" xr:uid="{310CCDE5-CF3B-4EE6-B535-D748770D73D8}"/>
    <cellStyle name="20% - Accent5 2 3 4 2 2 5" xfId="17251" xr:uid="{F33C2237-AE33-4D86-9FA4-B39A2F4003DD}"/>
    <cellStyle name="20% - Accent5 2 3 4 2 3" xfId="39226" xr:uid="{DD139602-7120-40CB-AE79-16E879F76761}"/>
    <cellStyle name="20% - Accent5 2 3 4 2 4" xfId="30778" xr:uid="{C6709E81-474B-4CE6-9C83-B08250A1021C}"/>
    <cellStyle name="20% - Accent5 2 3 4 2 5" xfId="22331" xr:uid="{5A435A5D-1922-4CCB-BE41-5BE69D456176}"/>
    <cellStyle name="20% - Accent5 2 3 4 2 6" xfId="13034" xr:uid="{13FEEE08-33DE-49A7-8BEC-877EB52E5F82}"/>
    <cellStyle name="20% - Accent5 2 3 4 3" xfId="5780" xr:uid="{00000000-0005-0000-0000-0000B7020000}"/>
    <cellStyle name="20% - Accent5 2 3 4 3 2" xfId="41298" xr:uid="{AC7509C6-CB66-4BFF-BA5F-5ED37EC65522}"/>
    <cellStyle name="20% - Accent5 2 3 4 3 3" xfId="32851" xr:uid="{62C9809F-01D9-4183-AA63-46EC00954209}"/>
    <cellStyle name="20% - Accent5 2 3 4 3 4" xfId="24403" xr:uid="{E6F7B1B6-1CB4-49F1-9614-51400BE8BC75}"/>
    <cellStyle name="20% - Accent5 2 3 4 3 5" xfId="15106" xr:uid="{8C84BAA0-7EA8-4702-BFA8-4E3CFADD62E2}"/>
    <cellStyle name="20% - Accent5 2 3 4 4" xfId="37081" xr:uid="{9D2407EE-C803-41A6-A29E-775F3E1BBEDA}"/>
    <cellStyle name="20% - Accent5 2 3 4 5" xfId="28633" xr:uid="{1E05B10F-A6AA-475E-B13D-41BC1528C2D5}"/>
    <cellStyle name="20% - Accent5 2 3 4 6" xfId="20186" xr:uid="{06952F31-F4E2-48EF-B4AA-3ECDD50D5077}"/>
    <cellStyle name="20% - Accent5 2 3 4 7" xfId="10889" xr:uid="{286C2B66-527D-4FE6-B6D6-A23AD0BF306C}"/>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43856" xr:uid="{A674A49F-A473-450F-A95B-3C834C9488FE}"/>
    <cellStyle name="20% - Accent5 2 3 5 2 2 3" xfId="35409" xr:uid="{9CCFC013-C47E-4EE3-A57B-B2952A6114B7}"/>
    <cellStyle name="20% - Accent5 2 3 5 2 2 4" xfId="26961" xr:uid="{F5164220-3383-408D-8C2B-ACEA5E88C2CE}"/>
    <cellStyle name="20% - Accent5 2 3 5 2 2 5" xfId="17664" xr:uid="{9D375822-C1A7-4CFA-9F78-EF1D19040BF7}"/>
    <cellStyle name="20% - Accent5 2 3 5 2 3" xfId="39639" xr:uid="{DC968507-E71F-4EFD-B7ED-0F56E8900B45}"/>
    <cellStyle name="20% - Accent5 2 3 5 2 4" xfId="31191" xr:uid="{B3F16814-950C-4FCA-A292-38D1CE40A7EB}"/>
    <cellStyle name="20% - Accent5 2 3 5 2 5" xfId="22744" xr:uid="{B44741A5-0C26-460D-A784-28DB9AF58B3A}"/>
    <cellStyle name="20% - Accent5 2 3 5 2 6" xfId="13447" xr:uid="{295ABEB7-7048-44C2-B064-B9B3A2B79BC5}"/>
    <cellStyle name="20% - Accent5 2 3 5 3" xfId="6193" xr:uid="{00000000-0005-0000-0000-0000BB020000}"/>
    <cellStyle name="20% - Accent5 2 3 5 3 2" xfId="41711" xr:uid="{AF86B259-17E6-40AD-AD84-400FDE5FF4FB}"/>
    <cellStyle name="20% - Accent5 2 3 5 3 3" xfId="33264" xr:uid="{04CCB241-F752-42C1-911C-BB1DF12B5EE5}"/>
    <cellStyle name="20% - Accent5 2 3 5 3 4" xfId="24816" xr:uid="{0B6AE1CF-0972-4AD3-96E3-91E00DAAF40B}"/>
    <cellStyle name="20% - Accent5 2 3 5 3 5" xfId="15519" xr:uid="{B99AC664-65E8-4828-9E20-55538D158CFB}"/>
    <cellStyle name="20% - Accent5 2 3 5 4" xfId="37494" xr:uid="{5F28826A-F27B-4152-9340-115977516909}"/>
    <cellStyle name="20% - Accent5 2 3 5 5" xfId="29046" xr:uid="{2EE3EEAE-DCAA-4435-A837-F0311A09E8DF}"/>
    <cellStyle name="20% - Accent5 2 3 5 6" xfId="20599" xr:uid="{C48797C5-C713-4597-9CDA-1E498494E8B2}"/>
    <cellStyle name="20% - Accent5 2 3 5 7" xfId="11302" xr:uid="{C38C651C-3F44-433C-926F-7015FD1F3D7D}"/>
    <cellStyle name="20% - Accent5 2 3 6" xfId="2300" xr:uid="{00000000-0005-0000-0000-0000BC020000}"/>
    <cellStyle name="20% - Accent5 2 3 6 2" xfId="6606" xr:uid="{00000000-0005-0000-0000-0000BD020000}"/>
    <cellStyle name="20% - Accent5 2 3 6 2 2" xfId="42124" xr:uid="{39D4913F-A140-485E-B70F-8F5E31804137}"/>
    <cellStyle name="20% - Accent5 2 3 6 2 3" xfId="33677" xr:uid="{A6FE39CD-45D5-48F2-84E8-CD7A8650B72B}"/>
    <cellStyle name="20% - Accent5 2 3 6 2 4" xfId="25229" xr:uid="{B75841E8-DFEA-4AB5-A76F-59C4C6EB42F8}"/>
    <cellStyle name="20% - Accent5 2 3 6 2 5" xfId="15932" xr:uid="{A94C9B03-A4C5-4F1F-8649-C0D73DE9F693}"/>
    <cellStyle name="20% - Accent5 2 3 6 3" xfId="37907" xr:uid="{D1BBBE24-3265-427C-95B7-4E87FF2387FA}"/>
    <cellStyle name="20% - Accent5 2 3 6 4" xfId="29459" xr:uid="{00EFFC99-7BEA-497B-962F-039DC177541C}"/>
    <cellStyle name="20% - Accent5 2 3 6 5" xfId="21012" xr:uid="{6DA7EB58-F7BD-4D17-AD09-6F1D2C29753C}"/>
    <cellStyle name="20% - Accent5 2 3 6 6" xfId="11715" xr:uid="{8FB334FF-DF1D-42DA-B01E-B3F13567FA44}"/>
    <cellStyle name="20% - Accent5 2 3 7" xfId="4540" xr:uid="{00000000-0005-0000-0000-0000BE020000}"/>
    <cellStyle name="20% - Accent5 2 3 7 2" xfId="40058" xr:uid="{E17BDA39-A21A-4847-AECE-6BC9368995DC}"/>
    <cellStyle name="20% - Accent5 2 3 7 3" xfId="31611" xr:uid="{6D6D050A-2C7F-4B95-9BF9-31ED31335322}"/>
    <cellStyle name="20% - Accent5 2 3 7 4" xfId="23163" xr:uid="{AD8ED213-C406-4EB1-82FD-2482DB5824C0}"/>
    <cellStyle name="20% - Accent5 2 3 7 5" xfId="13866" xr:uid="{3DAF78F4-E826-42BC-8196-0916056F090F}"/>
    <cellStyle name="20% - Accent5 2 3 8" xfId="9003" xr:uid="{9830E7D1-E361-4BA3-A986-3DCE647EEF8E}"/>
    <cellStyle name="20% - Accent5 2 3 8 2" xfId="35841" xr:uid="{C2CDB72A-F5D7-4F41-A1B6-45FA90F1D14F}"/>
    <cellStyle name="20% - Accent5 2 3 8 3" xfId="18326" xr:uid="{297917E7-409D-45CE-BD98-7DB709849E18}"/>
    <cellStyle name="20% - Accent5 2 3 9" xfId="27393" xr:uid="{DFFA1D3F-5C2C-4C14-9DF3-F64905822E02}"/>
    <cellStyle name="20% - Accent5 2 4" xfId="603" xr:uid="{00000000-0005-0000-0000-0000BF020000}"/>
    <cellStyle name="20% - Accent5 2 4 2" xfId="2874" xr:uid="{00000000-0005-0000-0000-0000C0020000}"/>
    <cellStyle name="20% - Accent5 2 4 2 2" xfId="7096" xr:uid="{00000000-0005-0000-0000-0000C1020000}"/>
    <cellStyle name="20% - Accent5 2 4 2 2 2" xfId="42614" xr:uid="{80AD2F74-52AA-4E9F-A615-8196E442C8B0}"/>
    <cellStyle name="20% - Accent5 2 4 2 2 3" xfId="34167" xr:uid="{6CEC5133-FEEF-4DFD-A410-ED87BCF5613D}"/>
    <cellStyle name="20% - Accent5 2 4 2 2 4" xfId="25719" xr:uid="{9F2E6427-6040-461B-B5BE-D11751323D8C}"/>
    <cellStyle name="20% - Accent5 2 4 2 2 5" xfId="16422" xr:uid="{C68970A4-A7F9-4F98-B240-0D8D77B07FB2}"/>
    <cellStyle name="20% - Accent5 2 4 2 3" xfId="38397" xr:uid="{2AE875EF-AF7F-4FCD-BBEE-E6B8211F7998}"/>
    <cellStyle name="20% - Accent5 2 4 2 4" xfId="29949" xr:uid="{A38BF52B-387F-40F4-B9D3-31DB3E06819F}"/>
    <cellStyle name="20% - Accent5 2 4 2 5" xfId="21502" xr:uid="{6BCF8F1E-81BE-427B-9DF2-5296F65DCFB2}"/>
    <cellStyle name="20% - Accent5 2 4 2 6" xfId="12205" xr:uid="{7808DB85-B18E-4E42-BD9D-1A0D61CD31EE}"/>
    <cellStyle name="20% - Accent5 2 4 3" xfId="4951" xr:uid="{00000000-0005-0000-0000-0000C2020000}"/>
    <cellStyle name="20% - Accent5 2 4 3 2" xfId="40469" xr:uid="{45FB26D8-14F6-4110-9120-CDB69E312459}"/>
    <cellStyle name="20% - Accent5 2 4 3 3" xfId="32022" xr:uid="{D7B20579-5DAD-4EA9-9BEF-36896176669F}"/>
    <cellStyle name="20% - Accent5 2 4 3 4" xfId="23574" xr:uid="{F8149974-5D58-4583-AA26-4A019734A6D8}"/>
    <cellStyle name="20% - Accent5 2 4 3 5" xfId="14277" xr:uid="{DDDA05CC-B7FC-4CF7-AD0B-DF82B4583224}"/>
    <cellStyle name="20% - Accent5 2 4 4" xfId="9220" xr:uid="{A7B88928-FE72-4C1B-B74E-3CA76DBA84CC}"/>
    <cellStyle name="20% - Accent5 2 4 4 2" xfId="36252" xr:uid="{3CBA3AAF-8C41-4686-A580-B603CFD53BCD}"/>
    <cellStyle name="20% - Accent5 2 4 4 3" xfId="18534" xr:uid="{2B819AEE-BA7E-43FE-960F-444646D6AAD8}"/>
    <cellStyle name="20% - Accent5 2 4 5" xfId="27804" xr:uid="{8E76D86E-33F6-4D48-BD26-F91AEADDA5CB}"/>
    <cellStyle name="20% - Accent5 2 4 6" xfId="19357" xr:uid="{88B6846F-6C0A-47D6-A7CD-0B5DD381E88F}"/>
    <cellStyle name="20% - Accent5 2 4 7" xfId="10060" xr:uid="{7031B318-A52C-48D9-BA58-552348FDE78A}"/>
    <cellStyle name="20% - Accent5 2 5" xfId="1056" xr:uid="{00000000-0005-0000-0000-0000C3020000}"/>
    <cellStyle name="20% - Accent5 2 5 2" xfId="3287" xr:uid="{00000000-0005-0000-0000-0000C4020000}"/>
    <cellStyle name="20% - Accent5 2 5 2 2" xfId="7509" xr:uid="{00000000-0005-0000-0000-0000C5020000}"/>
    <cellStyle name="20% - Accent5 2 5 2 2 2" xfId="43027" xr:uid="{D5E98597-AB8D-4196-88B4-49C7659962B7}"/>
    <cellStyle name="20% - Accent5 2 5 2 2 3" xfId="34580" xr:uid="{3F583B2E-0C9D-40BE-8BFA-80185B922B28}"/>
    <cellStyle name="20% - Accent5 2 5 2 2 4" xfId="26132" xr:uid="{E61A32E8-E8F8-4107-8483-496385542DAC}"/>
    <cellStyle name="20% - Accent5 2 5 2 2 5" xfId="16835" xr:uid="{5E5BDB45-40E8-4ED7-A20C-F073A215F319}"/>
    <cellStyle name="20% - Accent5 2 5 2 3" xfId="38810" xr:uid="{27F2565A-CCF1-468A-AB50-006701222D6A}"/>
    <cellStyle name="20% - Accent5 2 5 2 4" xfId="30362" xr:uid="{1A9299B8-20F2-45A1-9420-1FF111E40486}"/>
    <cellStyle name="20% - Accent5 2 5 2 5" xfId="21915" xr:uid="{4F3FDFF3-57A6-4AA1-84F7-9874613A8C41}"/>
    <cellStyle name="20% - Accent5 2 5 2 6" xfId="12618" xr:uid="{03192F07-CB4D-4D2B-8FD6-5AABECEA6B04}"/>
    <cellStyle name="20% - Accent5 2 5 3" xfId="5364" xr:uid="{00000000-0005-0000-0000-0000C6020000}"/>
    <cellStyle name="20% - Accent5 2 5 3 2" xfId="40882" xr:uid="{2BB801E4-8E6B-44EF-A163-C87D3CC8368E}"/>
    <cellStyle name="20% - Accent5 2 5 3 3" xfId="32435" xr:uid="{C236648B-599D-4F23-B750-BD41657FD9FC}"/>
    <cellStyle name="20% - Accent5 2 5 3 4" xfId="23987" xr:uid="{CE74022D-38D0-409C-8D97-2B5A96940DAE}"/>
    <cellStyle name="20% - Accent5 2 5 3 5" xfId="14690" xr:uid="{0D6D9900-A8EF-4DA5-B25B-6CFFE364F182}"/>
    <cellStyle name="20% - Accent5 2 5 4" xfId="36665" xr:uid="{4272116A-AC95-469F-B8DC-F8218B71D97A}"/>
    <cellStyle name="20% - Accent5 2 5 5" xfId="28217" xr:uid="{7BEFC1E6-1935-4466-8404-30A7C52FB656}"/>
    <cellStyle name="20% - Accent5 2 5 6" xfId="19770" xr:uid="{84413C34-4884-4672-BE77-46B12FA33C8B}"/>
    <cellStyle name="20% - Accent5 2 5 7" xfId="10473" xr:uid="{88FE5EFB-D7B3-4E5D-88A3-BF65CEC663DC}"/>
    <cellStyle name="20% - Accent5 2 6" xfId="1470" xr:uid="{00000000-0005-0000-0000-0000C7020000}"/>
    <cellStyle name="20% - Accent5 2 6 2" xfId="3700" xr:uid="{00000000-0005-0000-0000-0000C8020000}"/>
    <cellStyle name="20% - Accent5 2 6 2 2" xfId="7922" xr:uid="{00000000-0005-0000-0000-0000C9020000}"/>
    <cellStyle name="20% - Accent5 2 6 2 2 2" xfId="43440" xr:uid="{9B49B2CA-2522-409C-9F08-848252F2CF91}"/>
    <cellStyle name="20% - Accent5 2 6 2 2 3" xfId="34993" xr:uid="{D9200047-C112-46D3-AA3B-A423C9378F1E}"/>
    <cellStyle name="20% - Accent5 2 6 2 2 4" xfId="26545" xr:uid="{DAF68BA3-F9D5-4B78-80B8-972C657432CB}"/>
    <cellStyle name="20% - Accent5 2 6 2 2 5" xfId="17248" xr:uid="{7EFA5022-77AD-457E-B055-4FD2E4DD9A48}"/>
    <cellStyle name="20% - Accent5 2 6 2 3" xfId="39223" xr:uid="{585FAA85-7284-4461-A28E-BE7092CE2454}"/>
    <cellStyle name="20% - Accent5 2 6 2 4" xfId="30775" xr:uid="{5CA78601-326C-4EA3-97A5-62227C4FCF3A}"/>
    <cellStyle name="20% - Accent5 2 6 2 5" xfId="22328" xr:uid="{06664485-4C07-4242-B447-304F49004DEC}"/>
    <cellStyle name="20% - Accent5 2 6 2 6" xfId="13031" xr:uid="{9558F167-ADAE-4CEA-B354-3CF06F3FB30B}"/>
    <cellStyle name="20% - Accent5 2 6 3" xfId="5777" xr:uid="{00000000-0005-0000-0000-0000CA020000}"/>
    <cellStyle name="20% - Accent5 2 6 3 2" xfId="41295" xr:uid="{9E907A36-7624-4AB5-94EA-B4E8903ED35F}"/>
    <cellStyle name="20% - Accent5 2 6 3 3" xfId="32848" xr:uid="{95CD645B-6697-4EAD-BAC5-4DE7C99868B4}"/>
    <cellStyle name="20% - Accent5 2 6 3 4" xfId="24400" xr:uid="{42461162-785E-4D63-9F9A-FA96D05E2276}"/>
    <cellStyle name="20% - Accent5 2 6 3 5" xfId="15103" xr:uid="{881C053B-786C-4C68-98D4-309CE588F70E}"/>
    <cellStyle name="20% - Accent5 2 6 4" xfId="37078" xr:uid="{54C5E275-5DE3-44FB-8DC7-58DCA96AD598}"/>
    <cellStyle name="20% - Accent5 2 6 5" xfId="28630" xr:uid="{23FD0E46-BADE-4F3B-B59F-2AE3CE2C390F}"/>
    <cellStyle name="20% - Accent5 2 6 6" xfId="20183" xr:uid="{323A187B-2A63-435B-AEB5-77E89C9C4E2A}"/>
    <cellStyle name="20% - Accent5 2 6 7" xfId="10886" xr:uid="{9B4D8454-C691-48A7-8402-34C26C60D839}"/>
    <cellStyle name="20% - Accent5 2 7" xfId="1884" xr:uid="{00000000-0005-0000-0000-0000CB020000}"/>
    <cellStyle name="20% - Accent5 2 7 2" xfId="4113" xr:uid="{00000000-0005-0000-0000-0000CC020000}"/>
    <cellStyle name="20% - Accent5 2 7 2 2" xfId="8335" xr:uid="{00000000-0005-0000-0000-0000CD020000}"/>
    <cellStyle name="20% - Accent5 2 7 2 2 2" xfId="43853" xr:uid="{F50AE885-FBD4-4BE8-9319-17428B5E5457}"/>
    <cellStyle name="20% - Accent5 2 7 2 2 3" xfId="35406" xr:uid="{8668AEB7-46C8-4647-9D0E-7C289BFC25E5}"/>
    <cellStyle name="20% - Accent5 2 7 2 2 4" xfId="26958" xr:uid="{8ECD06E1-C877-47CA-A8CE-2836D18DF0C3}"/>
    <cellStyle name="20% - Accent5 2 7 2 2 5" xfId="17661" xr:uid="{537A2573-5492-4162-970B-6947236FF048}"/>
    <cellStyle name="20% - Accent5 2 7 2 3" xfId="39636" xr:uid="{E2DDB1F0-2566-43A1-814D-7F22A94EF288}"/>
    <cellStyle name="20% - Accent5 2 7 2 4" xfId="31188" xr:uid="{0B5D45A3-E3A6-4B7C-AD02-293AA656ABAB}"/>
    <cellStyle name="20% - Accent5 2 7 2 5" xfId="22741" xr:uid="{581EF6D4-532F-4358-8998-B566E9288E9B}"/>
    <cellStyle name="20% - Accent5 2 7 2 6" xfId="13444" xr:uid="{D2321B8B-1595-4E35-BC73-1873B23F4B74}"/>
    <cellStyle name="20% - Accent5 2 7 3" xfId="6190" xr:uid="{00000000-0005-0000-0000-0000CE020000}"/>
    <cellStyle name="20% - Accent5 2 7 3 2" xfId="41708" xr:uid="{5F399436-0E46-47A4-A4B0-806680F1C6A5}"/>
    <cellStyle name="20% - Accent5 2 7 3 3" xfId="33261" xr:uid="{C927BA32-D1A1-4946-9F5C-8751388A3B20}"/>
    <cellStyle name="20% - Accent5 2 7 3 4" xfId="24813" xr:uid="{AE398FAD-B6AF-4EEE-B3CC-52CE7C9A38F6}"/>
    <cellStyle name="20% - Accent5 2 7 3 5" xfId="15516" xr:uid="{4BEED0EB-12BB-43C0-AF30-0B2AF5459891}"/>
    <cellStyle name="20% - Accent5 2 7 4" xfId="37491" xr:uid="{1B5A35B4-1407-4547-8849-9C7FB2592DB9}"/>
    <cellStyle name="20% - Accent5 2 7 5" xfId="29043" xr:uid="{6FA761D5-848E-46BF-A217-3D9C6F1561A9}"/>
    <cellStyle name="20% - Accent5 2 7 6" xfId="20596" xr:uid="{A6298F8B-0500-4759-8B01-5774430D3AC5}"/>
    <cellStyle name="20% - Accent5 2 7 7" xfId="11299" xr:uid="{35A783D7-7AE9-4916-A948-5016763CFB5C}"/>
    <cellStyle name="20% - Accent5 2 8" xfId="2297" xr:uid="{00000000-0005-0000-0000-0000CF020000}"/>
    <cellStyle name="20% - Accent5 2 8 2" xfId="6603" xr:uid="{00000000-0005-0000-0000-0000D0020000}"/>
    <cellStyle name="20% - Accent5 2 8 2 2" xfId="42121" xr:uid="{19D6313C-470D-484F-BB29-8A5F596BA25E}"/>
    <cellStyle name="20% - Accent5 2 8 2 3" xfId="33674" xr:uid="{D25FC5FF-D15C-4B25-BA7A-A359F22FC905}"/>
    <cellStyle name="20% - Accent5 2 8 2 4" xfId="25226" xr:uid="{F794B537-A6E9-441A-8B7A-F07158F3D6DE}"/>
    <cellStyle name="20% - Accent5 2 8 2 5" xfId="15929" xr:uid="{0E556E0F-087C-4D68-8BAC-286C05E31F0B}"/>
    <cellStyle name="20% - Accent5 2 8 3" xfId="37904" xr:uid="{0D7BD078-285B-4301-844C-BDE6E821A323}"/>
    <cellStyle name="20% - Accent5 2 8 4" xfId="29456" xr:uid="{34FABB4B-A17F-4CDC-AA63-0424D2DD9E0C}"/>
    <cellStyle name="20% - Accent5 2 8 5" xfId="21009" xr:uid="{15F57F44-C043-4E5B-A1BA-8A0E65B254C2}"/>
    <cellStyle name="20% - Accent5 2 8 6" xfId="11712" xr:uid="{161BAD3E-E3B3-4373-AB01-34D4DABFE72A}"/>
    <cellStyle name="20% - Accent5 2 9" xfId="4537" xr:uid="{00000000-0005-0000-0000-0000D1020000}"/>
    <cellStyle name="20% - Accent5 2 9 2" xfId="40055" xr:uid="{479C051D-A975-497B-8FE5-28156C40833B}"/>
    <cellStyle name="20% - Accent5 2 9 3" xfId="31608" xr:uid="{A1213841-7218-44C1-B5AF-2D06CEDAF61E}"/>
    <cellStyle name="20% - Accent5 2 9 4" xfId="23160" xr:uid="{416A8345-588E-49C2-91C6-DF032D5FF73A}"/>
    <cellStyle name="20% - Accent5 2 9 5" xfId="13863" xr:uid="{08D5B73A-314C-4AEB-99DB-C63968DEAB01}"/>
    <cellStyle name="20% - Accent5 3" xfId="38" xr:uid="{00000000-0005-0000-0000-0000D2020000}"/>
    <cellStyle name="20% - Accent5 3 10" xfId="27394" xr:uid="{307C20CC-65CE-4BE8-BA72-CFF7A9669E98}"/>
    <cellStyle name="20% - Accent5 3 11" xfId="18947" xr:uid="{AF603C0C-590D-4331-A2BB-853321E8DCE4}"/>
    <cellStyle name="20% - Accent5 3 12" xfId="9650" xr:uid="{D712CE99-B8AD-457F-AA78-57775204CA7B}"/>
    <cellStyle name="20% - Accent5 3 2" xfId="39" xr:uid="{00000000-0005-0000-0000-0000D3020000}"/>
    <cellStyle name="20% - Accent5 3 2 10" xfId="18948" xr:uid="{93B7E52F-2B47-4E3A-BFD4-48D86C8D1D0D}"/>
    <cellStyle name="20% - Accent5 3 2 11" xfId="9651" xr:uid="{2267B87F-08F5-4357-A9BB-B8BA0AB5E3AB}"/>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42619" xr:uid="{E5728296-CBB0-49DD-8984-2A770CCB5217}"/>
    <cellStyle name="20% - Accent5 3 2 2 2 2 3" xfId="34172" xr:uid="{7CC49B95-18B8-4F7C-BB97-669551BD2D32}"/>
    <cellStyle name="20% - Accent5 3 2 2 2 2 4" xfId="25724" xr:uid="{6599CD68-D9AC-4056-8624-8C297115F42C}"/>
    <cellStyle name="20% - Accent5 3 2 2 2 2 5" xfId="16427" xr:uid="{58A9E228-875F-4914-8F3F-30FD5D2A2174}"/>
    <cellStyle name="20% - Accent5 3 2 2 2 3" xfId="38402" xr:uid="{15957331-3485-47CC-9B60-8CBD86B21645}"/>
    <cellStyle name="20% - Accent5 3 2 2 2 4" xfId="29954" xr:uid="{14A444BD-A423-4920-8C45-CE98239D05D9}"/>
    <cellStyle name="20% - Accent5 3 2 2 2 5" xfId="21507" xr:uid="{BD00D8C4-A017-4074-9A36-093151596F66}"/>
    <cellStyle name="20% - Accent5 3 2 2 2 6" xfId="12210" xr:uid="{CA49F383-490E-451C-A017-F54A03E0EDCC}"/>
    <cellStyle name="20% - Accent5 3 2 2 3" xfId="4956" xr:uid="{00000000-0005-0000-0000-0000D7020000}"/>
    <cellStyle name="20% - Accent5 3 2 2 3 2" xfId="40474" xr:uid="{ABE23E51-BEAE-4DEF-AA49-1A63407109D5}"/>
    <cellStyle name="20% - Accent5 3 2 2 3 3" xfId="32027" xr:uid="{B63F648E-205C-48B6-A712-E410054628CF}"/>
    <cellStyle name="20% - Accent5 3 2 2 3 4" xfId="23579" xr:uid="{500919D9-FCFD-4F3D-A6A3-3C9C120CC2BD}"/>
    <cellStyle name="20% - Accent5 3 2 2 3 5" xfId="14282" xr:uid="{7CB39972-71B2-493C-919C-4F3BFE8302AC}"/>
    <cellStyle name="20% - Accent5 3 2 2 4" xfId="9501" xr:uid="{82A590A5-96D4-476E-8E6F-D81EEE08C409}"/>
    <cellStyle name="20% - Accent5 3 2 2 4 2" xfId="36257" xr:uid="{42754F36-26E7-4070-BF20-0DFC6283898A}"/>
    <cellStyle name="20% - Accent5 3 2 2 4 3" xfId="18814" xr:uid="{44225142-DB71-4427-8795-59635138490F}"/>
    <cellStyle name="20% - Accent5 3 2 2 5" xfId="27809" xr:uid="{FB34D9BA-ED1A-4F05-AE19-A36D0BA8D422}"/>
    <cellStyle name="20% - Accent5 3 2 2 6" xfId="19362" xr:uid="{CFF5A6C8-AF23-42A8-BC2B-FCB4A3A10D02}"/>
    <cellStyle name="20% - Accent5 3 2 2 7" xfId="10065" xr:uid="{8F000BB8-3FFF-43E9-B1A6-13D20880BBC4}"/>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43032" xr:uid="{DC1C711A-C7E2-4252-A823-DC2B6873DB1D}"/>
    <cellStyle name="20% - Accent5 3 2 3 2 2 3" xfId="34585" xr:uid="{C0A3DD90-36E6-4A11-8589-8843CDA80908}"/>
    <cellStyle name="20% - Accent5 3 2 3 2 2 4" xfId="26137" xr:uid="{E1546BFA-2003-4175-BF30-FE64A9E3EC73}"/>
    <cellStyle name="20% - Accent5 3 2 3 2 2 5" xfId="16840" xr:uid="{BA1C10C8-1405-4DC3-BF47-6B4349E19106}"/>
    <cellStyle name="20% - Accent5 3 2 3 2 3" xfId="38815" xr:uid="{BE275771-0E1E-46FF-BD16-0F6416DA77A0}"/>
    <cellStyle name="20% - Accent5 3 2 3 2 4" xfId="30367" xr:uid="{6040F3C6-EC59-4B3C-A3A6-C1F3C256E80C}"/>
    <cellStyle name="20% - Accent5 3 2 3 2 5" xfId="21920" xr:uid="{9159810B-B979-4A11-BDA5-DD9860A1B24D}"/>
    <cellStyle name="20% - Accent5 3 2 3 2 6" xfId="12623" xr:uid="{B3D976AB-9DF8-4365-B6AE-1979DFF288F1}"/>
    <cellStyle name="20% - Accent5 3 2 3 3" xfId="5369" xr:uid="{00000000-0005-0000-0000-0000DB020000}"/>
    <cellStyle name="20% - Accent5 3 2 3 3 2" xfId="40887" xr:uid="{9AAA05EE-A4C2-46B4-A30A-DA9F755919FC}"/>
    <cellStyle name="20% - Accent5 3 2 3 3 3" xfId="32440" xr:uid="{657B9DC7-7BB0-49A4-B47D-AFD115E2A4D9}"/>
    <cellStyle name="20% - Accent5 3 2 3 3 4" xfId="23992" xr:uid="{D823F6E2-147B-4158-8EBF-973C6E1893E7}"/>
    <cellStyle name="20% - Accent5 3 2 3 3 5" xfId="14695" xr:uid="{07136594-31FD-48BC-B94B-39B7B4A1F2F2}"/>
    <cellStyle name="20% - Accent5 3 2 3 4" xfId="36670" xr:uid="{6A67B132-2265-40DB-A301-A3B9725502A9}"/>
    <cellStyle name="20% - Accent5 3 2 3 5" xfId="28222" xr:uid="{91736E5A-970D-4ADD-8885-9828E23FDAB2}"/>
    <cellStyle name="20% - Accent5 3 2 3 6" xfId="19775" xr:uid="{38F343CE-11F0-46BC-978E-2CD79CC9EBDA}"/>
    <cellStyle name="20% - Accent5 3 2 3 7" xfId="10478" xr:uid="{61FA5D7E-65C4-450E-B7AE-3D8BC7EE0E0D}"/>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43445" xr:uid="{7FFB4C74-26DE-4439-B1CF-295B033718CA}"/>
    <cellStyle name="20% - Accent5 3 2 4 2 2 3" xfId="34998" xr:uid="{63882027-CEFF-4806-AFDB-C1D3BC1C5E9E}"/>
    <cellStyle name="20% - Accent5 3 2 4 2 2 4" xfId="26550" xr:uid="{5DBC44E9-3B4A-4C89-8E37-6E2225D864A1}"/>
    <cellStyle name="20% - Accent5 3 2 4 2 2 5" xfId="17253" xr:uid="{D9DA8E5D-B773-4A1B-B493-5D12714F9C4D}"/>
    <cellStyle name="20% - Accent5 3 2 4 2 3" xfId="39228" xr:uid="{4B0CC776-5B65-4114-9390-7E4A8B32031A}"/>
    <cellStyle name="20% - Accent5 3 2 4 2 4" xfId="30780" xr:uid="{3CD330F6-9296-4078-8792-72A3F714D8F3}"/>
    <cellStyle name="20% - Accent5 3 2 4 2 5" xfId="22333" xr:uid="{F58B6216-2174-45C2-97AC-6481028A9961}"/>
    <cellStyle name="20% - Accent5 3 2 4 2 6" xfId="13036" xr:uid="{FC9D9B83-5236-4FC8-B46C-A78AE292250E}"/>
    <cellStyle name="20% - Accent5 3 2 4 3" xfId="5782" xr:uid="{00000000-0005-0000-0000-0000DF020000}"/>
    <cellStyle name="20% - Accent5 3 2 4 3 2" xfId="41300" xr:uid="{B8B41DBB-F3C6-4C69-8C34-B89D2769511A}"/>
    <cellStyle name="20% - Accent5 3 2 4 3 3" xfId="32853" xr:uid="{EC7495CF-C6ED-4174-BFFA-63EFCEE5AD48}"/>
    <cellStyle name="20% - Accent5 3 2 4 3 4" xfId="24405" xr:uid="{5361382A-C62A-4C20-83E9-445A05F6D7F9}"/>
    <cellStyle name="20% - Accent5 3 2 4 3 5" xfId="15108" xr:uid="{B097C803-CEFC-43EA-9F07-A3784D620538}"/>
    <cellStyle name="20% - Accent5 3 2 4 4" xfId="37083" xr:uid="{95D1280D-7D5D-4833-8ED5-2B2B11138092}"/>
    <cellStyle name="20% - Accent5 3 2 4 5" xfId="28635" xr:uid="{62ACB142-6979-4C79-A819-B54C48FE9AE2}"/>
    <cellStyle name="20% - Accent5 3 2 4 6" xfId="20188" xr:uid="{5D2D283D-339E-476E-8CB0-2C2F1B8F285F}"/>
    <cellStyle name="20% - Accent5 3 2 4 7" xfId="10891" xr:uid="{FB214A00-8366-4F20-A84F-6AC9C77A26CB}"/>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43858" xr:uid="{CF69B449-D895-463E-9D5F-F123F9366062}"/>
    <cellStyle name="20% - Accent5 3 2 5 2 2 3" xfId="35411" xr:uid="{0AF247B5-9A3C-425C-8B42-3679D2D0EA8F}"/>
    <cellStyle name="20% - Accent5 3 2 5 2 2 4" xfId="26963" xr:uid="{1564033D-6973-453A-97AB-59A50D0C3C1D}"/>
    <cellStyle name="20% - Accent5 3 2 5 2 2 5" xfId="17666" xr:uid="{52128D1D-31B4-41E0-A54E-48A5C65E002D}"/>
    <cellStyle name="20% - Accent5 3 2 5 2 3" xfId="39641" xr:uid="{08308EF6-874B-4B1A-A1FB-B243CC1EC8F2}"/>
    <cellStyle name="20% - Accent5 3 2 5 2 4" xfId="31193" xr:uid="{097973AC-033A-4E63-B635-CC40E128958A}"/>
    <cellStyle name="20% - Accent5 3 2 5 2 5" xfId="22746" xr:uid="{B52C0BAD-C04F-4C7C-8C55-D2B8378C374C}"/>
    <cellStyle name="20% - Accent5 3 2 5 2 6" xfId="13449" xr:uid="{B1EE60FA-B4DD-43EB-9FBB-21CFD140662C}"/>
    <cellStyle name="20% - Accent5 3 2 5 3" xfId="6195" xr:uid="{00000000-0005-0000-0000-0000E3020000}"/>
    <cellStyle name="20% - Accent5 3 2 5 3 2" xfId="41713" xr:uid="{8A11DE90-AD6E-4107-9BD5-88A0BA85C6FB}"/>
    <cellStyle name="20% - Accent5 3 2 5 3 3" xfId="33266" xr:uid="{2D8BD16F-C06F-4DC8-8C00-A2647A175F86}"/>
    <cellStyle name="20% - Accent5 3 2 5 3 4" xfId="24818" xr:uid="{1F667777-9F69-44EC-8A01-39C4FB691454}"/>
    <cellStyle name="20% - Accent5 3 2 5 3 5" xfId="15521" xr:uid="{D9173836-9AC2-452B-878E-ED038BEA961C}"/>
    <cellStyle name="20% - Accent5 3 2 5 4" xfId="37496" xr:uid="{74BF4BDF-6323-4F46-B4E2-9E95385F8C89}"/>
    <cellStyle name="20% - Accent5 3 2 5 5" xfId="29048" xr:uid="{6B4A977A-ADF6-4858-87EF-5738E5DE07A4}"/>
    <cellStyle name="20% - Accent5 3 2 5 6" xfId="20601" xr:uid="{99AF250C-F45B-4745-8157-652F005E3DE6}"/>
    <cellStyle name="20% - Accent5 3 2 5 7" xfId="11304" xr:uid="{A0A184F8-497D-4C0C-8B65-97443FA962D8}"/>
    <cellStyle name="20% - Accent5 3 2 6" xfId="2302" xr:uid="{00000000-0005-0000-0000-0000E4020000}"/>
    <cellStyle name="20% - Accent5 3 2 6 2" xfId="6608" xr:uid="{00000000-0005-0000-0000-0000E5020000}"/>
    <cellStyle name="20% - Accent5 3 2 6 2 2" xfId="42126" xr:uid="{970E6223-C934-4A63-96D6-BDEACDD74BFC}"/>
    <cellStyle name="20% - Accent5 3 2 6 2 3" xfId="33679" xr:uid="{9956F2B2-0947-4B58-9AFC-00007E64FC29}"/>
    <cellStyle name="20% - Accent5 3 2 6 2 4" xfId="25231" xr:uid="{CA8695F5-D368-4B1B-AF38-3357900CC7D3}"/>
    <cellStyle name="20% - Accent5 3 2 6 2 5" xfId="15934" xr:uid="{D499E186-9DDD-470A-899B-27A02D2C15CE}"/>
    <cellStyle name="20% - Accent5 3 2 6 3" xfId="37909" xr:uid="{1B9A3E9F-3D20-431D-9145-70DC6473C8A4}"/>
    <cellStyle name="20% - Accent5 3 2 6 4" xfId="29461" xr:uid="{AA082C51-D5A4-4690-9EBE-911496B66935}"/>
    <cellStyle name="20% - Accent5 3 2 6 5" xfId="21014" xr:uid="{9DB559FF-E04F-43C1-9492-8097C17813E8}"/>
    <cellStyle name="20% - Accent5 3 2 6 6" xfId="11717" xr:uid="{40501100-0011-4905-B1B4-2ADAF42E45F1}"/>
    <cellStyle name="20% - Accent5 3 2 7" xfId="4542" xr:uid="{00000000-0005-0000-0000-0000E6020000}"/>
    <cellStyle name="20% - Accent5 3 2 7 2" xfId="40060" xr:uid="{66A8915D-94BE-4784-BB6D-627E48765A0C}"/>
    <cellStyle name="20% - Accent5 3 2 7 3" xfId="31613" xr:uid="{E1A9775A-8B5A-49AA-B8BE-6A59390C36E5}"/>
    <cellStyle name="20% - Accent5 3 2 7 4" xfId="23165" xr:uid="{31FD8EB3-2D6B-4BD3-9356-A7DDCCFD6B2C}"/>
    <cellStyle name="20% - Accent5 3 2 7 5" xfId="13868" xr:uid="{F74B491A-0B69-4D83-B64F-E7D2D7AF0390}"/>
    <cellStyle name="20% - Accent5 3 2 8" xfId="9076" xr:uid="{BEDF1D01-35A3-4513-9363-9C1AFC748168}"/>
    <cellStyle name="20% - Accent5 3 2 8 2" xfId="35843" xr:uid="{733D1615-1CEC-42BF-9C7A-83911A0B4BCC}"/>
    <cellStyle name="20% - Accent5 3 2 8 3" xfId="18399" xr:uid="{9B8495E4-C0F5-43D8-8564-17076E0FC563}"/>
    <cellStyle name="20% - Accent5 3 2 9" xfId="27395" xr:uid="{1A69DF19-08B6-42C3-932B-FC678EE5F6A7}"/>
    <cellStyle name="20% - Accent5 3 3" xfId="607" xr:uid="{00000000-0005-0000-0000-0000E7020000}"/>
    <cellStyle name="20% - Accent5 3 3 2" xfId="2878" xr:uid="{00000000-0005-0000-0000-0000E8020000}"/>
    <cellStyle name="20% - Accent5 3 3 2 2" xfId="7100" xr:uid="{00000000-0005-0000-0000-0000E9020000}"/>
    <cellStyle name="20% - Accent5 3 3 2 2 2" xfId="42618" xr:uid="{8786C405-A556-4A10-8D2F-3A041BF93B5A}"/>
    <cellStyle name="20% - Accent5 3 3 2 2 3" xfId="34171" xr:uid="{C96E98FD-E5C4-46C5-91B2-2FC9F9F14AF4}"/>
    <cellStyle name="20% - Accent5 3 3 2 2 4" xfId="25723" xr:uid="{AB479D04-6693-4B84-A692-040B66978F2C}"/>
    <cellStyle name="20% - Accent5 3 3 2 2 5" xfId="16426" xr:uid="{979117FC-17F3-42C8-B15F-C71B891D3F99}"/>
    <cellStyle name="20% - Accent5 3 3 2 3" xfId="38401" xr:uid="{AFF1CD67-F908-4F89-BF2F-4E07F5DA5701}"/>
    <cellStyle name="20% - Accent5 3 3 2 4" xfId="29953" xr:uid="{270CE521-E33C-4AD9-91B6-D8423BD3A837}"/>
    <cellStyle name="20% - Accent5 3 3 2 5" xfId="21506" xr:uid="{9F3DA7B8-9A77-44DF-8C98-133E0F68510B}"/>
    <cellStyle name="20% - Accent5 3 3 2 6" xfId="12209" xr:uid="{60A62C93-5A89-480F-B497-799822D39CF3}"/>
    <cellStyle name="20% - Accent5 3 3 3" xfId="4955" xr:uid="{00000000-0005-0000-0000-0000EA020000}"/>
    <cellStyle name="20% - Accent5 3 3 3 2" xfId="40473" xr:uid="{2AFC104B-C15F-47D9-828C-A398D292D8E4}"/>
    <cellStyle name="20% - Accent5 3 3 3 3" xfId="32026" xr:uid="{AE6D9253-2C54-4FD2-ADF4-AD6FA75F006F}"/>
    <cellStyle name="20% - Accent5 3 3 3 4" xfId="23578" xr:uid="{DFAA9762-E043-444C-BFB2-753598E097CA}"/>
    <cellStyle name="20% - Accent5 3 3 3 5" xfId="14281" xr:uid="{72E3FA3A-10A7-4692-A9A8-B431BBDB77DB}"/>
    <cellStyle name="20% - Accent5 3 3 4" xfId="9294" xr:uid="{124960EA-C7A4-4686-BF67-47D6C57F7EEB}"/>
    <cellStyle name="20% - Accent5 3 3 4 2" xfId="36256" xr:uid="{8F74B86A-73A1-40C8-9E33-E4BA2995B25A}"/>
    <cellStyle name="20% - Accent5 3 3 4 3" xfId="18607" xr:uid="{ED6BD146-D6D6-4D38-8B83-19B276BACD0D}"/>
    <cellStyle name="20% - Accent5 3 3 5" xfId="27808" xr:uid="{580725F2-7305-48D8-8138-E4A94FB42CE3}"/>
    <cellStyle name="20% - Accent5 3 3 6" xfId="19361" xr:uid="{842D6495-C36C-414A-A059-6FC928347C5A}"/>
    <cellStyle name="20% - Accent5 3 3 7" xfId="10064" xr:uid="{3FE6E393-2C6A-4595-9FE6-76F49ECAC493}"/>
    <cellStyle name="20% - Accent5 3 4" xfId="1060" xr:uid="{00000000-0005-0000-0000-0000EB020000}"/>
    <cellStyle name="20% - Accent5 3 4 2" xfId="3291" xr:uid="{00000000-0005-0000-0000-0000EC020000}"/>
    <cellStyle name="20% - Accent5 3 4 2 2" xfId="7513" xr:uid="{00000000-0005-0000-0000-0000ED020000}"/>
    <cellStyle name="20% - Accent5 3 4 2 2 2" xfId="43031" xr:uid="{A3D0A290-96C6-45C2-8D2A-514723690758}"/>
    <cellStyle name="20% - Accent5 3 4 2 2 3" xfId="34584" xr:uid="{4EF6F289-7329-49BC-BF5B-13B53905AE11}"/>
    <cellStyle name="20% - Accent5 3 4 2 2 4" xfId="26136" xr:uid="{C5280F25-BFB6-43AB-A2D1-3C9184563284}"/>
    <cellStyle name="20% - Accent5 3 4 2 2 5" xfId="16839" xr:uid="{F239E385-DDFB-47FA-A077-9D18CE78FBC5}"/>
    <cellStyle name="20% - Accent5 3 4 2 3" xfId="38814" xr:uid="{01A6CEBF-799F-4361-9DB3-EB298A990954}"/>
    <cellStyle name="20% - Accent5 3 4 2 4" xfId="30366" xr:uid="{DBDD36DD-8D9F-4730-A367-555EB02B2CD9}"/>
    <cellStyle name="20% - Accent5 3 4 2 5" xfId="21919" xr:uid="{C36266BD-2455-4E5A-AB9F-8F16EF7F55C3}"/>
    <cellStyle name="20% - Accent5 3 4 2 6" xfId="12622" xr:uid="{D22F6BD6-F85F-40A5-B357-D1D0FEF797C3}"/>
    <cellStyle name="20% - Accent5 3 4 3" xfId="5368" xr:uid="{00000000-0005-0000-0000-0000EE020000}"/>
    <cellStyle name="20% - Accent5 3 4 3 2" xfId="40886" xr:uid="{FC4E90CD-F03F-4D5B-B3E0-2E1610AC460B}"/>
    <cellStyle name="20% - Accent5 3 4 3 3" xfId="32439" xr:uid="{F877DEAE-7479-4925-9CF7-0212793AFA62}"/>
    <cellStyle name="20% - Accent5 3 4 3 4" xfId="23991" xr:uid="{BB357997-12FA-49E0-889C-49B72920EF49}"/>
    <cellStyle name="20% - Accent5 3 4 3 5" xfId="14694" xr:uid="{80B1EBCF-E744-4F02-8C65-0AE0B48EBDC5}"/>
    <cellStyle name="20% - Accent5 3 4 4" xfId="36669" xr:uid="{9E4975B6-EFF6-44A9-BF4F-0E41DBF5F0F2}"/>
    <cellStyle name="20% - Accent5 3 4 5" xfId="28221" xr:uid="{4E35BBFE-E750-4F3C-9AF7-E5A885977A41}"/>
    <cellStyle name="20% - Accent5 3 4 6" xfId="19774" xr:uid="{38CC968E-99D3-4CD9-AAEA-6D9A6D7FA06B}"/>
    <cellStyle name="20% - Accent5 3 4 7" xfId="10477" xr:uid="{B9A4F959-A137-4277-8AE4-E52E995F12B6}"/>
    <cellStyle name="20% - Accent5 3 5" xfId="1474" xr:uid="{00000000-0005-0000-0000-0000EF020000}"/>
    <cellStyle name="20% - Accent5 3 5 2" xfId="3704" xr:uid="{00000000-0005-0000-0000-0000F0020000}"/>
    <cellStyle name="20% - Accent5 3 5 2 2" xfId="7926" xr:uid="{00000000-0005-0000-0000-0000F1020000}"/>
    <cellStyle name="20% - Accent5 3 5 2 2 2" xfId="43444" xr:uid="{8714317B-D00E-42D6-B0CC-0324CFF86269}"/>
    <cellStyle name="20% - Accent5 3 5 2 2 3" xfId="34997" xr:uid="{1FFEECA7-87C5-4796-86D2-4E22D543E818}"/>
    <cellStyle name="20% - Accent5 3 5 2 2 4" xfId="26549" xr:uid="{018B1B2D-4069-4A2A-9B0B-5C0CA8C4A015}"/>
    <cellStyle name="20% - Accent5 3 5 2 2 5" xfId="17252" xr:uid="{05B96B33-8171-4B38-9DE0-A8868A139BE3}"/>
    <cellStyle name="20% - Accent5 3 5 2 3" xfId="39227" xr:uid="{0146E87D-E128-4D7B-8896-18CA90915BE8}"/>
    <cellStyle name="20% - Accent5 3 5 2 4" xfId="30779" xr:uid="{EF1AF63A-70BE-44A3-99E2-D6679C02E1A4}"/>
    <cellStyle name="20% - Accent5 3 5 2 5" xfId="22332" xr:uid="{91790F42-3C39-4F87-A71F-DED1ACCA686F}"/>
    <cellStyle name="20% - Accent5 3 5 2 6" xfId="13035" xr:uid="{6873E105-97B7-4130-899C-A7091E8943D1}"/>
    <cellStyle name="20% - Accent5 3 5 3" xfId="5781" xr:uid="{00000000-0005-0000-0000-0000F2020000}"/>
    <cellStyle name="20% - Accent5 3 5 3 2" xfId="41299" xr:uid="{A3CBA4BC-0308-47F2-AFE4-9681F42E71AF}"/>
    <cellStyle name="20% - Accent5 3 5 3 3" xfId="32852" xr:uid="{4DDBB67B-DC8C-4401-B894-6090D41C8AE7}"/>
    <cellStyle name="20% - Accent5 3 5 3 4" xfId="24404" xr:uid="{94C56A27-1D6B-4C3C-BCB3-BBDF96FF5E80}"/>
    <cellStyle name="20% - Accent5 3 5 3 5" xfId="15107" xr:uid="{E6F648F3-87BC-467F-AE80-CD7E0161736F}"/>
    <cellStyle name="20% - Accent5 3 5 4" xfId="37082" xr:uid="{F38A0429-7A26-4AD4-A65F-C2ED90DA1001}"/>
    <cellStyle name="20% - Accent5 3 5 5" xfId="28634" xr:uid="{907EC87D-9F28-4C2D-9546-744D73CD5227}"/>
    <cellStyle name="20% - Accent5 3 5 6" xfId="20187" xr:uid="{D9BDCB97-21E2-4067-B74C-F6110A700242}"/>
    <cellStyle name="20% - Accent5 3 5 7" xfId="10890" xr:uid="{9C54914C-52AC-4252-91DC-E135CA24A0A2}"/>
    <cellStyle name="20% - Accent5 3 6" xfId="1888" xr:uid="{00000000-0005-0000-0000-0000F3020000}"/>
    <cellStyle name="20% - Accent5 3 6 2" xfId="4117" xr:uid="{00000000-0005-0000-0000-0000F4020000}"/>
    <cellStyle name="20% - Accent5 3 6 2 2" xfId="8339" xr:uid="{00000000-0005-0000-0000-0000F5020000}"/>
    <cellStyle name="20% - Accent5 3 6 2 2 2" xfId="43857" xr:uid="{4A706DD3-2745-461F-9657-B793EC5A5E4D}"/>
    <cellStyle name="20% - Accent5 3 6 2 2 3" xfId="35410" xr:uid="{D095B5D6-0DDF-4CB9-8FCB-64870E6037F7}"/>
    <cellStyle name="20% - Accent5 3 6 2 2 4" xfId="26962" xr:uid="{EC2CFF42-07E8-49B5-AEC8-8E8A85A3B603}"/>
    <cellStyle name="20% - Accent5 3 6 2 2 5" xfId="17665" xr:uid="{8DFE676F-FDDF-43E4-B2F6-6ACBDE3BE7CF}"/>
    <cellStyle name="20% - Accent5 3 6 2 3" xfId="39640" xr:uid="{73EBBB5E-714F-4F3C-A424-5B11FDA5C60B}"/>
    <cellStyle name="20% - Accent5 3 6 2 4" xfId="31192" xr:uid="{CFEEA4EF-D9EE-4AC2-8BA9-A363ED0BD470}"/>
    <cellStyle name="20% - Accent5 3 6 2 5" xfId="22745" xr:uid="{917C4D43-9EA4-49F2-B0A1-D73F506D3266}"/>
    <cellStyle name="20% - Accent5 3 6 2 6" xfId="13448" xr:uid="{4781AA4A-37BE-447B-BDA7-00D4F7269ED3}"/>
    <cellStyle name="20% - Accent5 3 6 3" xfId="6194" xr:uid="{00000000-0005-0000-0000-0000F6020000}"/>
    <cellStyle name="20% - Accent5 3 6 3 2" xfId="41712" xr:uid="{9B4D85D2-A739-4AD1-AEDE-6F13BD3470F0}"/>
    <cellStyle name="20% - Accent5 3 6 3 3" xfId="33265" xr:uid="{D9F270EA-5F63-4520-8B5B-41CBEE3B41A9}"/>
    <cellStyle name="20% - Accent5 3 6 3 4" xfId="24817" xr:uid="{F2313D90-0BA5-4543-B5AE-AE0D88F94ADD}"/>
    <cellStyle name="20% - Accent5 3 6 3 5" xfId="15520" xr:uid="{E85B7CAF-AE2D-409E-9BDA-89E79116CB18}"/>
    <cellStyle name="20% - Accent5 3 6 4" xfId="37495" xr:uid="{96D022FF-3665-4121-B2E2-DD95896E3787}"/>
    <cellStyle name="20% - Accent5 3 6 5" xfId="29047" xr:uid="{B09A28A9-0D67-4A92-9AB0-B6B7519EC08A}"/>
    <cellStyle name="20% - Accent5 3 6 6" xfId="20600" xr:uid="{6EAB8CA2-4565-413B-8294-A44BF73BA959}"/>
    <cellStyle name="20% - Accent5 3 6 7" xfId="11303" xr:uid="{C7291502-67DA-43E4-8523-23DBA3398B91}"/>
    <cellStyle name="20% - Accent5 3 7" xfId="2301" xr:uid="{00000000-0005-0000-0000-0000F7020000}"/>
    <cellStyle name="20% - Accent5 3 7 2" xfId="6607" xr:uid="{00000000-0005-0000-0000-0000F8020000}"/>
    <cellStyle name="20% - Accent5 3 7 2 2" xfId="42125" xr:uid="{5E512C5A-56F0-4894-B25D-309E59DBB9C3}"/>
    <cellStyle name="20% - Accent5 3 7 2 3" xfId="33678" xr:uid="{23F17414-BC88-4CFF-B5EF-C21ED22FA51D}"/>
    <cellStyle name="20% - Accent5 3 7 2 4" xfId="25230" xr:uid="{A3C9B37C-9748-4613-B6AC-175E5BCBF5D9}"/>
    <cellStyle name="20% - Accent5 3 7 2 5" xfId="15933" xr:uid="{E8AEF797-B650-4CBE-9DA8-D511A15DF393}"/>
    <cellStyle name="20% - Accent5 3 7 3" xfId="37908" xr:uid="{D0C6C9EC-01CA-432B-8FD5-96FD1DD2F73B}"/>
    <cellStyle name="20% - Accent5 3 7 4" xfId="29460" xr:uid="{FD057B47-DAA3-4BB9-9426-5A0DD95D6945}"/>
    <cellStyle name="20% - Accent5 3 7 5" xfId="21013" xr:uid="{A34AE639-A8E2-49BA-8001-2FB15F4DFC4A}"/>
    <cellStyle name="20% - Accent5 3 7 6" xfId="11716" xr:uid="{A0900B95-A752-48D5-BC54-1AE64C1219ED}"/>
    <cellStyle name="20% - Accent5 3 8" xfId="4541" xr:uid="{00000000-0005-0000-0000-0000F9020000}"/>
    <cellStyle name="20% - Accent5 3 8 2" xfId="40059" xr:uid="{9B3B2452-522E-4BED-8D05-DBA6448B63BF}"/>
    <cellStyle name="20% - Accent5 3 8 3" xfId="31612" xr:uid="{F5E5670B-6E65-4F69-8378-5DF7AADE4122}"/>
    <cellStyle name="20% - Accent5 3 8 4" xfId="23164" xr:uid="{2F860012-C530-49B4-9B12-25CB6D1C2B15}"/>
    <cellStyle name="20% - Accent5 3 8 5" xfId="13867" xr:uid="{71744CCB-F2D7-44E7-B3E8-7E822C7D448E}"/>
    <cellStyle name="20% - Accent5 3 9" xfId="8869" xr:uid="{43CC8A87-AEEB-4E51-98E7-F8AE8D86AD2B}"/>
    <cellStyle name="20% - Accent5 3 9 2" xfId="35842" xr:uid="{3000D805-0C84-4CC7-B1A2-C75706B8A07D}"/>
    <cellStyle name="20% - Accent5 3 9 3" xfId="18192" xr:uid="{21689A4D-CC1A-4902-B966-B67B245E0515}"/>
    <cellStyle name="20% - Accent5 4" xfId="40" xr:uid="{00000000-0005-0000-0000-0000FA020000}"/>
    <cellStyle name="20% - Accent5 4 10" xfId="18949" xr:uid="{24212EB0-30C1-4705-94F5-E56F95493557}"/>
    <cellStyle name="20% - Accent5 4 11" xfId="9652" xr:uid="{B1F79C19-F119-4369-BB3A-0D84EE15B515}"/>
    <cellStyle name="20% - Accent5 4 2" xfId="609" xr:uid="{00000000-0005-0000-0000-0000FB020000}"/>
    <cellStyle name="20% - Accent5 4 2 2" xfId="2880" xr:uid="{00000000-0005-0000-0000-0000FC020000}"/>
    <cellStyle name="20% - Accent5 4 2 2 2" xfId="7102" xr:uid="{00000000-0005-0000-0000-0000FD020000}"/>
    <cellStyle name="20% - Accent5 4 2 2 2 2" xfId="42620" xr:uid="{A23E5DB8-C19A-4326-950B-DB82935AF618}"/>
    <cellStyle name="20% - Accent5 4 2 2 2 3" xfId="34173" xr:uid="{931D84BB-7D44-4E08-972F-703E63B676D8}"/>
    <cellStyle name="20% - Accent5 4 2 2 2 4" xfId="25725" xr:uid="{B1424EAC-5E94-4308-AC55-4E87163BC4A7}"/>
    <cellStyle name="20% - Accent5 4 2 2 2 5" xfId="16428" xr:uid="{A84FF84F-FAA9-4398-9BBD-74AED7DC6701}"/>
    <cellStyle name="20% - Accent5 4 2 2 3" xfId="38403" xr:uid="{B0ED2FA1-057D-454D-84A1-1858A8E74855}"/>
    <cellStyle name="20% - Accent5 4 2 2 4" xfId="29955" xr:uid="{B607344F-C7F4-4ACD-A809-449D1C5216AC}"/>
    <cellStyle name="20% - Accent5 4 2 2 5" xfId="21508" xr:uid="{2C57A5FF-35C7-4970-9FF6-9F7E21420316}"/>
    <cellStyle name="20% - Accent5 4 2 2 6" xfId="12211" xr:uid="{B0301737-572D-4C13-88D5-C97D631F1CEB}"/>
    <cellStyle name="20% - Accent5 4 2 3" xfId="4957" xr:uid="{00000000-0005-0000-0000-0000FE020000}"/>
    <cellStyle name="20% - Accent5 4 2 3 2" xfId="40475" xr:uid="{2B1ED528-BE65-41CD-9405-23A3EAEFDEA6}"/>
    <cellStyle name="20% - Accent5 4 2 3 3" xfId="32028" xr:uid="{99C7C1B2-C92D-4284-A1C1-5FF1978879A1}"/>
    <cellStyle name="20% - Accent5 4 2 3 4" xfId="23580" xr:uid="{E543482F-C9FB-4580-94D3-881708136674}"/>
    <cellStyle name="20% - Accent5 4 2 3 5" xfId="14283" xr:uid="{91251B7C-E227-4C9B-9511-9972FAB4090C}"/>
    <cellStyle name="20% - Accent5 4 2 4" xfId="9380" xr:uid="{1C764D65-D71C-4646-AD86-15F83BDBF498}"/>
    <cellStyle name="20% - Accent5 4 2 4 2" xfId="36258" xr:uid="{B103B00A-E02D-4015-875B-6F0F3DEF4DF1}"/>
    <cellStyle name="20% - Accent5 4 2 4 3" xfId="18693" xr:uid="{1E7CAC17-2079-4FEF-A4AE-7EA0D094C235}"/>
    <cellStyle name="20% - Accent5 4 2 5" xfId="27810" xr:uid="{E3E8891B-0222-42D3-946D-87540B3EC78F}"/>
    <cellStyle name="20% - Accent5 4 2 6" xfId="19363" xr:uid="{BDE0759E-F866-4143-B326-0DA7D296FE25}"/>
    <cellStyle name="20% - Accent5 4 2 7" xfId="10066" xr:uid="{EFBA8EC8-5A22-4396-B464-7782AD6F8A41}"/>
    <cellStyle name="20% - Accent5 4 3" xfId="1062" xr:uid="{00000000-0005-0000-0000-0000FF020000}"/>
    <cellStyle name="20% - Accent5 4 3 2" xfId="3293" xr:uid="{00000000-0005-0000-0000-000000030000}"/>
    <cellStyle name="20% - Accent5 4 3 2 2" xfId="7515" xr:uid="{00000000-0005-0000-0000-000001030000}"/>
    <cellStyle name="20% - Accent5 4 3 2 2 2" xfId="43033" xr:uid="{C613CA10-4814-4482-881B-3D8258A8ECD2}"/>
    <cellStyle name="20% - Accent5 4 3 2 2 3" xfId="34586" xr:uid="{57625FC3-0F4B-4554-ABDA-267C39C7BC6F}"/>
    <cellStyle name="20% - Accent5 4 3 2 2 4" xfId="26138" xr:uid="{45353696-D282-4512-A778-0CA09929D84B}"/>
    <cellStyle name="20% - Accent5 4 3 2 2 5" xfId="16841" xr:uid="{458103D4-7246-4254-9A34-1568D6B0CD40}"/>
    <cellStyle name="20% - Accent5 4 3 2 3" xfId="38816" xr:uid="{6227EA5A-476C-45DE-92F3-DD52B0B22163}"/>
    <cellStyle name="20% - Accent5 4 3 2 4" xfId="30368" xr:uid="{2D19B28F-64CB-4596-855F-95C9A9CBD160}"/>
    <cellStyle name="20% - Accent5 4 3 2 5" xfId="21921" xr:uid="{615A8E5D-76E7-4FB8-89EF-642DCBBBA81C}"/>
    <cellStyle name="20% - Accent5 4 3 2 6" xfId="12624" xr:uid="{110BFE46-F427-45A8-BEF7-588F7C2A24D6}"/>
    <cellStyle name="20% - Accent5 4 3 3" xfId="5370" xr:uid="{00000000-0005-0000-0000-000002030000}"/>
    <cellStyle name="20% - Accent5 4 3 3 2" xfId="40888" xr:uid="{F317F703-A1DF-4467-9FE3-FAD280B36A32}"/>
    <cellStyle name="20% - Accent5 4 3 3 3" xfId="32441" xr:uid="{EE1C5662-9795-4E90-BABA-DBDA8C55C3FE}"/>
    <cellStyle name="20% - Accent5 4 3 3 4" xfId="23993" xr:uid="{FAE2099B-C1CE-4ADC-AB01-FE354E1AF8C6}"/>
    <cellStyle name="20% - Accent5 4 3 3 5" xfId="14696" xr:uid="{24911179-4038-4608-A8F5-184066676F9F}"/>
    <cellStyle name="20% - Accent5 4 3 4" xfId="36671" xr:uid="{AE809F7F-65E0-4AAF-8723-F219D6C5F76B}"/>
    <cellStyle name="20% - Accent5 4 3 5" xfId="28223" xr:uid="{BDED2B41-96D3-4065-8A21-CA0D03CBAFAB}"/>
    <cellStyle name="20% - Accent5 4 3 6" xfId="19776" xr:uid="{D1DF24E1-DDBD-4D18-8AD4-11D87311F18A}"/>
    <cellStyle name="20% - Accent5 4 3 7" xfId="10479" xr:uid="{1BD67192-5259-40D2-BF0E-F95441AC2B4F}"/>
    <cellStyle name="20% - Accent5 4 4" xfId="1476" xr:uid="{00000000-0005-0000-0000-000003030000}"/>
    <cellStyle name="20% - Accent5 4 4 2" xfId="3706" xr:uid="{00000000-0005-0000-0000-000004030000}"/>
    <cellStyle name="20% - Accent5 4 4 2 2" xfId="7928" xr:uid="{00000000-0005-0000-0000-000005030000}"/>
    <cellStyle name="20% - Accent5 4 4 2 2 2" xfId="43446" xr:uid="{BDD9BF17-1D95-4F79-9DCE-04608047385A}"/>
    <cellStyle name="20% - Accent5 4 4 2 2 3" xfId="34999" xr:uid="{1A22323E-9A67-45EE-943C-8D7AE3EADBA2}"/>
    <cellStyle name="20% - Accent5 4 4 2 2 4" xfId="26551" xr:uid="{928602B1-355F-4CB5-B4E3-3C9B7499A6C2}"/>
    <cellStyle name="20% - Accent5 4 4 2 2 5" xfId="17254" xr:uid="{65B18B6B-7733-4C13-BD57-DB5EC65FE6B0}"/>
    <cellStyle name="20% - Accent5 4 4 2 3" xfId="39229" xr:uid="{B3E2DF58-920E-4F59-91CE-2E0CA77EC7FF}"/>
    <cellStyle name="20% - Accent5 4 4 2 4" xfId="30781" xr:uid="{1771D820-ADDB-4FD4-965B-9E9137801489}"/>
    <cellStyle name="20% - Accent5 4 4 2 5" xfId="22334" xr:uid="{B3D3810D-938B-4D3F-A87C-D37FDD7AD1E9}"/>
    <cellStyle name="20% - Accent5 4 4 2 6" xfId="13037" xr:uid="{BAC3A0D9-16AA-4D2A-8963-28F32CACBC63}"/>
    <cellStyle name="20% - Accent5 4 4 3" xfId="5783" xr:uid="{00000000-0005-0000-0000-000006030000}"/>
    <cellStyle name="20% - Accent5 4 4 3 2" xfId="41301" xr:uid="{45F3C61A-84E5-482B-AB15-AD27A888B2E0}"/>
    <cellStyle name="20% - Accent5 4 4 3 3" xfId="32854" xr:uid="{40A364EF-0429-4D05-B801-35B07B38DAE9}"/>
    <cellStyle name="20% - Accent5 4 4 3 4" xfId="24406" xr:uid="{A8C706F7-D1F4-49DD-8F85-37855BA1FD45}"/>
    <cellStyle name="20% - Accent5 4 4 3 5" xfId="15109" xr:uid="{9C602A76-9B56-433A-BC07-BA2EA65F87FE}"/>
    <cellStyle name="20% - Accent5 4 4 4" xfId="37084" xr:uid="{C8DC6E18-0EC1-4795-8670-2B48E80D0CE0}"/>
    <cellStyle name="20% - Accent5 4 4 5" xfId="28636" xr:uid="{82CB0E21-4948-4406-A3FD-1A68DAA20930}"/>
    <cellStyle name="20% - Accent5 4 4 6" xfId="20189" xr:uid="{229AEE12-2F18-4035-B338-63A987914889}"/>
    <cellStyle name="20% - Accent5 4 4 7" xfId="10892" xr:uid="{E9F30C3D-F453-4972-B711-3E8E24F1D047}"/>
    <cellStyle name="20% - Accent5 4 5" xfId="1890" xr:uid="{00000000-0005-0000-0000-000007030000}"/>
    <cellStyle name="20% - Accent5 4 5 2" xfId="4119" xr:uid="{00000000-0005-0000-0000-000008030000}"/>
    <cellStyle name="20% - Accent5 4 5 2 2" xfId="8341" xr:uid="{00000000-0005-0000-0000-000009030000}"/>
    <cellStyle name="20% - Accent5 4 5 2 2 2" xfId="43859" xr:uid="{7148AE85-4B64-491B-A553-FCBCECC61456}"/>
    <cellStyle name="20% - Accent5 4 5 2 2 3" xfId="35412" xr:uid="{16B3F42F-849D-4673-99C6-C223BB551C65}"/>
    <cellStyle name="20% - Accent5 4 5 2 2 4" xfId="26964" xr:uid="{3EA3D43A-5D9D-4CC4-9807-8D10A75A0127}"/>
    <cellStyle name="20% - Accent5 4 5 2 2 5" xfId="17667" xr:uid="{AA393907-3F81-4AD6-A1CD-DACF6B845EDE}"/>
    <cellStyle name="20% - Accent5 4 5 2 3" xfId="39642" xr:uid="{C9A6F9FF-6A7A-488F-A0EB-C60B14734C83}"/>
    <cellStyle name="20% - Accent5 4 5 2 4" xfId="31194" xr:uid="{97AA09C2-C4EE-4EEA-80E9-96C8EA98D148}"/>
    <cellStyle name="20% - Accent5 4 5 2 5" xfId="22747" xr:uid="{EDB10483-AC75-40D6-8279-DD49A1FACB72}"/>
    <cellStyle name="20% - Accent5 4 5 2 6" xfId="13450" xr:uid="{95614C03-9819-4884-BBC2-351EEE0235E7}"/>
    <cellStyle name="20% - Accent5 4 5 3" xfId="6196" xr:uid="{00000000-0005-0000-0000-00000A030000}"/>
    <cellStyle name="20% - Accent5 4 5 3 2" xfId="41714" xr:uid="{2EA3337D-CB4E-48F7-947B-D5D5643A4A6E}"/>
    <cellStyle name="20% - Accent5 4 5 3 3" xfId="33267" xr:uid="{FCB042F5-6674-4B54-BA38-AEEC967C3FC9}"/>
    <cellStyle name="20% - Accent5 4 5 3 4" xfId="24819" xr:uid="{4DFFD6E3-A309-4B1F-A038-AEDA31EE3EA1}"/>
    <cellStyle name="20% - Accent5 4 5 3 5" xfId="15522" xr:uid="{A03D4AF8-726F-4D07-9925-222E002F1D07}"/>
    <cellStyle name="20% - Accent5 4 5 4" xfId="37497" xr:uid="{4A1757FE-9D2D-48B8-8825-28085787F1F0}"/>
    <cellStyle name="20% - Accent5 4 5 5" xfId="29049" xr:uid="{1D257E1F-77E5-4D4E-A468-4C8F34ECCCE9}"/>
    <cellStyle name="20% - Accent5 4 5 6" xfId="20602" xr:uid="{C149D138-9528-46E2-B541-5900D98E17F6}"/>
    <cellStyle name="20% - Accent5 4 5 7" xfId="11305" xr:uid="{7169B9E2-8E49-463F-A09B-F6C94E2E16DE}"/>
    <cellStyle name="20% - Accent5 4 6" xfId="2303" xr:uid="{00000000-0005-0000-0000-00000B030000}"/>
    <cellStyle name="20% - Accent5 4 6 2" xfId="6609" xr:uid="{00000000-0005-0000-0000-00000C030000}"/>
    <cellStyle name="20% - Accent5 4 6 2 2" xfId="42127" xr:uid="{910063B6-807E-4267-A1E1-1B55E2307FEF}"/>
    <cellStyle name="20% - Accent5 4 6 2 3" xfId="33680" xr:uid="{FF080BC5-4BF5-418B-B44E-2684C161109D}"/>
    <cellStyle name="20% - Accent5 4 6 2 4" xfId="25232" xr:uid="{743833E3-171B-4F0A-9FA4-BC2FF8BA5C4B}"/>
    <cellStyle name="20% - Accent5 4 6 2 5" xfId="15935" xr:uid="{ECD14157-67E0-4A6C-92CD-03ED5B727694}"/>
    <cellStyle name="20% - Accent5 4 6 3" xfId="37910" xr:uid="{F217014B-D41E-4897-8889-36F0CCCE722C}"/>
    <cellStyle name="20% - Accent5 4 6 4" xfId="29462" xr:uid="{2DF17AF2-09BA-4D40-BFE0-FF35D8C4E98F}"/>
    <cellStyle name="20% - Accent5 4 6 5" xfId="21015" xr:uid="{544F1E9A-14C5-4D0C-902D-9E99B78DEA31}"/>
    <cellStyle name="20% - Accent5 4 6 6" xfId="11718" xr:uid="{6A449E25-8848-4EDF-BF63-C735B46455D0}"/>
    <cellStyle name="20% - Accent5 4 7" xfId="4543" xr:uid="{00000000-0005-0000-0000-00000D030000}"/>
    <cellStyle name="20% - Accent5 4 7 2" xfId="40061" xr:uid="{E769F79A-2E54-4E21-BD22-F9BC868FC157}"/>
    <cellStyle name="20% - Accent5 4 7 3" xfId="31614" xr:uid="{264834FC-3397-4D69-9FA8-675EED02D835}"/>
    <cellStyle name="20% - Accent5 4 7 4" xfId="23166" xr:uid="{7C7AC782-F32B-4667-8AD4-6F99B78B52A2}"/>
    <cellStyle name="20% - Accent5 4 7 5" xfId="13869" xr:uid="{A0054B18-C040-45CB-B1A9-30F2678E8C41}"/>
    <cellStyle name="20% - Accent5 4 8" xfId="8955" xr:uid="{8AD43D76-8747-44EC-8D3B-2720ADF9D1B1}"/>
    <cellStyle name="20% - Accent5 4 8 2" xfId="35844" xr:uid="{F79EA352-431A-451B-9D3E-155AA565102C}"/>
    <cellStyle name="20% - Accent5 4 8 3" xfId="18278" xr:uid="{66909BB3-9A4D-46B6-831F-B7FBF2C83094}"/>
    <cellStyle name="20% - Accent5 4 9" xfId="27396" xr:uid="{5E1A8A3A-5AF8-4C5D-83F1-BDBA64191737}"/>
    <cellStyle name="20% - Accent5 5" xfId="602" xr:uid="{00000000-0005-0000-0000-00000E030000}"/>
    <cellStyle name="20% - Accent5 5 2" xfId="2873" xr:uid="{00000000-0005-0000-0000-00000F030000}"/>
    <cellStyle name="20% - Accent5 5 2 2" xfId="7095" xr:uid="{00000000-0005-0000-0000-000010030000}"/>
    <cellStyle name="20% - Accent5 5 2 2 2" xfId="42613" xr:uid="{E7973641-C8D1-4EF6-AF7A-DCF99340BF3D}"/>
    <cellStyle name="20% - Accent5 5 2 2 3" xfId="34166" xr:uid="{244E2587-4B6D-461E-BD5D-45684B96F132}"/>
    <cellStyle name="20% - Accent5 5 2 2 4" xfId="25718" xr:uid="{8503FFD2-BB45-4E06-A2E2-01F5F895E19E}"/>
    <cellStyle name="20% - Accent5 5 2 2 5" xfId="16421" xr:uid="{50DFDE61-2C0C-45E8-84D8-89E06880A228}"/>
    <cellStyle name="20% - Accent5 5 2 3" xfId="38396" xr:uid="{547F1EAC-E0C7-48F0-AABE-D28EA1C567F1}"/>
    <cellStyle name="20% - Accent5 5 2 4" xfId="29948" xr:uid="{88B69788-C826-4B69-A2AD-418A643B1F8B}"/>
    <cellStyle name="20% - Accent5 5 2 5" xfId="21501" xr:uid="{7EBA23B4-9E49-4AAA-90B3-F240C83FAAEA}"/>
    <cellStyle name="20% - Accent5 5 2 6" xfId="12204" xr:uid="{770FB333-C8B8-410E-BFEB-0FDD0290084E}"/>
    <cellStyle name="20% - Accent5 5 3" xfId="4950" xr:uid="{00000000-0005-0000-0000-000011030000}"/>
    <cellStyle name="20% - Accent5 5 3 2" xfId="40468" xr:uid="{1905B041-3EE3-42BE-B1DE-85EACDB1D3B3}"/>
    <cellStyle name="20% - Accent5 5 3 3" xfId="32021" xr:uid="{D7B95994-8FA0-45B8-B408-88D35CB293A9}"/>
    <cellStyle name="20% - Accent5 5 3 4" xfId="23573" xr:uid="{33DC97CC-8332-4557-B815-C8B1FE7DC91C}"/>
    <cellStyle name="20% - Accent5 5 3 5" xfId="14276" xr:uid="{48E4AEFE-25C3-48EF-88B0-2AC6C44687FE}"/>
    <cellStyle name="20% - Accent5 5 4" xfId="9188" xr:uid="{164CF7CE-7706-426C-90AA-4867A06E28BD}"/>
    <cellStyle name="20% - Accent5 5 4 2" xfId="36251" xr:uid="{B551F5E5-B93E-42D8-80D6-6558EC901164}"/>
    <cellStyle name="20% - Accent5 5 4 3" xfId="18504" xr:uid="{78E76FC1-0CA6-45A5-82A7-FE7106B2215A}"/>
    <cellStyle name="20% - Accent5 5 5" xfId="27803" xr:uid="{C29C6297-CCE6-409F-BEFB-27D9D64B1002}"/>
    <cellStyle name="20% - Accent5 5 6" xfId="19356" xr:uid="{14AAE944-BE49-48D8-AEF4-71A6D180A210}"/>
    <cellStyle name="20% - Accent5 5 7" xfId="10059" xr:uid="{88A2CBDD-4C9B-4A9C-B77D-D4C76473BC29}"/>
    <cellStyle name="20% - Accent5 6" xfId="1055" xr:uid="{00000000-0005-0000-0000-000012030000}"/>
    <cellStyle name="20% - Accent5 6 2" xfId="3286" xr:uid="{00000000-0005-0000-0000-000013030000}"/>
    <cellStyle name="20% - Accent5 6 2 2" xfId="7508" xr:uid="{00000000-0005-0000-0000-000014030000}"/>
    <cellStyle name="20% - Accent5 6 2 2 2" xfId="43026" xr:uid="{70E16166-7866-4314-BE38-509D60E7C44F}"/>
    <cellStyle name="20% - Accent5 6 2 2 3" xfId="34579" xr:uid="{97ABB29F-12A5-4F32-974F-64B8BA04630D}"/>
    <cellStyle name="20% - Accent5 6 2 2 4" xfId="26131" xr:uid="{021D2BF1-28E4-43E2-883C-7382A1B2EB0A}"/>
    <cellStyle name="20% - Accent5 6 2 2 5" xfId="16834" xr:uid="{1789DF13-7BD5-439D-A0E8-CAEA761568B5}"/>
    <cellStyle name="20% - Accent5 6 2 3" xfId="38809" xr:uid="{6D25DC5E-D96E-4F89-8E71-9F4EBD9592F5}"/>
    <cellStyle name="20% - Accent5 6 2 4" xfId="30361" xr:uid="{CE950EE6-519E-4B6B-84A5-1A5CDE152D2C}"/>
    <cellStyle name="20% - Accent5 6 2 5" xfId="21914" xr:uid="{F023BA57-6743-4226-A1F7-3B4145FE8F4C}"/>
    <cellStyle name="20% - Accent5 6 2 6" xfId="12617" xr:uid="{9732554B-6C18-4BC6-86F6-325E147593D9}"/>
    <cellStyle name="20% - Accent5 6 3" xfId="5363" xr:uid="{00000000-0005-0000-0000-000015030000}"/>
    <cellStyle name="20% - Accent5 6 3 2" xfId="40881" xr:uid="{6EBA80E3-3EE3-485A-B4C0-C47D5652FB26}"/>
    <cellStyle name="20% - Accent5 6 3 3" xfId="32434" xr:uid="{2F569A72-1156-4731-BA2C-70C0AAC09678}"/>
    <cellStyle name="20% - Accent5 6 3 4" xfId="23986" xr:uid="{A9A35CE7-EDF9-4384-95EF-1C82ED34E46B}"/>
    <cellStyle name="20% - Accent5 6 3 5" xfId="14689" xr:uid="{288E7F42-F1C8-4C1D-87CD-7FFED14EA3A4}"/>
    <cellStyle name="20% - Accent5 6 4" xfId="36664" xr:uid="{AB851794-AF41-4266-84EB-422C74C0EE0E}"/>
    <cellStyle name="20% - Accent5 6 5" xfId="28216" xr:uid="{4ABD6CDB-EE72-4820-9A13-8FCE531E1517}"/>
    <cellStyle name="20% - Accent5 6 6" xfId="19769" xr:uid="{EB607604-4EB3-42B6-9862-A08073E6F31E}"/>
    <cellStyle name="20% - Accent5 6 7" xfId="10472" xr:uid="{6A9081B4-9732-4D65-B310-F362AD1562F1}"/>
    <cellStyle name="20% - Accent5 7" xfId="1469" xr:uid="{00000000-0005-0000-0000-000016030000}"/>
    <cellStyle name="20% - Accent5 7 2" xfId="3699" xr:uid="{00000000-0005-0000-0000-000017030000}"/>
    <cellStyle name="20% - Accent5 7 2 2" xfId="7921" xr:uid="{00000000-0005-0000-0000-000018030000}"/>
    <cellStyle name="20% - Accent5 7 2 2 2" xfId="43439" xr:uid="{A94EC530-009A-4FE1-85ED-B40451F9B277}"/>
    <cellStyle name="20% - Accent5 7 2 2 3" xfId="34992" xr:uid="{A0D53DE6-B0A6-42B3-8E9E-E232B6280D8F}"/>
    <cellStyle name="20% - Accent5 7 2 2 4" xfId="26544" xr:uid="{5E837005-0B44-42CB-B9EE-0302F2B8BCDC}"/>
    <cellStyle name="20% - Accent5 7 2 2 5" xfId="17247" xr:uid="{D7A31B0B-D6B9-4865-9062-785CD7542E4C}"/>
    <cellStyle name="20% - Accent5 7 2 3" xfId="39222" xr:uid="{CD073F11-6431-424F-8090-062586516A9C}"/>
    <cellStyle name="20% - Accent5 7 2 4" xfId="30774" xr:uid="{22D1424C-0197-4AD5-94A1-DBDCF6EFDFCA}"/>
    <cellStyle name="20% - Accent5 7 2 5" xfId="22327" xr:uid="{48AC418D-2729-4D6C-B149-BF14FEA20FD9}"/>
    <cellStyle name="20% - Accent5 7 2 6" xfId="13030" xr:uid="{577668C9-0E6E-4C63-B98B-141C62E955E0}"/>
    <cellStyle name="20% - Accent5 7 3" xfId="5776" xr:uid="{00000000-0005-0000-0000-000019030000}"/>
    <cellStyle name="20% - Accent5 7 3 2" xfId="41294" xr:uid="{AF7070B1-BB2B-4101-AD26-F36EF42F717F}"/>
    <cellStyle name="20% - Accent5 7 3 3" xfId="32847" xr:uid="{D84DC7E5-9299-4605-A956-CA55F33A4D73}"/>
    <cellStyle name="20% - Accent5 7 3 4" xfId="24399" xr:uid="{EE5689DE-FCE3-4080-BC68-0812102310A6}"/>
    <cellStyle name="20% - Accent5 7 3 5" xfId="15102" xr:uid="{E93D3498-520C-4890-B4F9-DA74049675C2}"/>
    <cellStyle name="20% - Accent5 7 4" xfId="37077" xr:uid="{12A7E242-4424-47EB-80D4-7195FDD3409B}"/>
    <cellStyle name="20% - Accent5 7 5" xfId="28629" xr:uid="{111257F3-38E0-458B-A26D-0F37DA8A7D93}"/>
    <cellStyle name="20% - Accent5 7 6" xfId="20182" xr:uid="{4C69266A-955C-4ADA-83AA-A8FC5CE36668}"/>
    <cellStyle name="20% - Accent5 7 7" xfId="10885" xr:uid="{8704F499-7F0B-49D3-89C8-6BBBC13AFB8E}"/>
    <cellStyle name="20% - Accent5 8" xfId="1883" xr:uid="{00000000-0005-0000-0000-00001A030000}"/>
    <cellStyle name="20% - Accent5 8 2" xfId="4112" xr:uid="{00000000-0005-0000-0000-00001B030000}"/>
    <cellStyle name="20% - Accent5 8 2 2" xfId="8334" xr:uid="{00000000-0005-0000-0000-00001C030000}"/>
    <cellStyle name="20% - Accent5 8 2 2 2" xfId="43852" xr:uid="{3581CC13-A82B-408C-8628-2D16500DEA04}"/>
    <cellStyle name="20% - Accent5 8 2 2 3" xfId="35405" xr:uid="{3BD038E8-CA13-4B79-8849-E46FE936803F}"/>
    <cellStyle name="20% - Accent5 8 2 2 4" xfId="26957" xr:uid="{41F18048-F94A-461A-9DF3-F03D6FDA980A}"/>
    <cellStyle name="20% - Accent5 8 2 2 5" xfId="17660" xr:uid="{F42DE446-FC09-465C-8348-270B04D36CC7}"/>
    <cellStyle name="20% - Accent5 8 2 3" xfId="39635" xr:uid="{07FA737B-49E1-46B1-965D-1633E0A7B97B}"/>
    <cellStyle name="20% - Accent5 8 2 4" xfId="31187" xr:uid="{5EBEFAAE-13F5-443E-909D-D5480735EA21}"/>
    <cellStyle name="20% - Accent5 8 2 5" xfId="22740" xr:uid="{BCF7E08D-4C75-47D5-A8C2-89C34B75DD49}"/>
    <cellStyle name="20% - Accent5 8 2 6" xfId="13443" xr:uid="{331F4A23-81D9-4794-B47E-E3BABB13AD85}"/>
    <cellStyle name="20% - Accent5 8 3" xfId="6189" xr:uid="{00000000-0005-0000-0000-00001D030000}"/>
    <cellStyle name="20% - Accent5 8 3 2" xfId="41707" xr:uid="{3FC1EE67-E52B-4911-ACBA-24066D03D0E9}"/>
    <cellStyle name="20% - Accent5 8 3 3" xfId="33260" xr:uid="{69CEC175-2FED-4798-B563-41C58B914690}"/>
    <cellStyle name="20% - Accent5 8 3 4" xfId="24812" xr:uid="{83BC9F16-2CA2-4B82-B9B1-A74D9DBA580E}"/>
    <cellStyle name="20% - Accent5 8 3 5" xfId="15515" xr:uid="{5052A4E1-872C-4FBB-8A87-A9C75042DB02}"/>
    <cellStyle name="20% - Accent5 8 4" xfId="37490" xr:uid="{008AABD0-B415-431F-A8B2-432A38C5024C}"/>
    <cellStyle name="20% - Accent5 8 5" xfId="29042" xr:uid="{1AF464DA-26A6-4CB2-BD82-8BCA282CD2F7}"/>
    <cellStyle name="20% - Accent5 8 6" xfId="20595" xr:uid="{48871696-EA22-421A-B378-9BB2A4483C4C}"/>
    <cellStyle name="20% - Accent5 8 7" xfId="11298" xr:uid="{EC475D91-E738-489D-946C-4575ADEE0A7F}"/>
    <cellStyle name="20% - Accent5 9" xfId="2296" xr:uid="{00000000-0005-0000-0000-00001E030000}"/>
    <cellStyle name="20% - Accent5 9 2" xfId="6602" xr:uid="{00000000-0005-0000-0000-00001F030000}"/>
    <cellStyle name="20% - Accent5 9 2 2" xfId="42120" xr:uid="{A2D6196A-D028-4081-AD05-174912C7C29E}"/>
    <cellStyle name="20% - Accent5 9 2 3" xfId="33673" xr:uid="{DABC163D-B35F-4BCA-972F-92D3CB33235A}"/>
    <cellStyle name="20% - Accent5 9 2 4" xfId="25225" xr:uid="{C27410F9-FC95-441F-B131-92AE0D25F604}"/>
    <cellStyle name="20% - Accent5 9 2 5" xfId="15928" xr:uid="{FE685066-13BD-4073-B0FC-B84ECD950C63}"/>
    <cellStyle name="20% - Accent5 9 3" xfId="37903" xr:uid="{3D26B8EA-1498-49B5-BDFB-EE5A4E58D1E8}"/>
    <cellStyle name="20% - Accent5 9 4" xfId="29455" xr:uid="{0DB7A19E-DE51-4C5A-9352-6CD7A49FDBA8}"/>
    <cellStyle name="20% - Accent5 9 5" xfId="21008" xr:uid="{BAC493F8-7042-42DB-BFD0-386BA9164683}"/>
    <cellStyle name="20% - Accent5 9 6" xfId="11711" xr:uid="{A723EBD4-9010-4ECE-8621-65AF33BF9452}"/>
    <cellStyle name="20% - Accent6" xfId="41" builtinId="50" customBuiltin="1"/>
    <cellStyle name="20% - Accent6 10" xfId="4544" xr:uid="{00000000-0005-0000-0000-000021030000}"/>
    <cellStyle name="20% - Accent6 10 2" xfId="40062" xr:uid="{0853F419-C79C-48F3-B270-6135E412214C}"/>
    <cellStyle name="20% - Accent6 10 3" xfId="31615" xr:uid="{33673EAA-BCD9-450D-B6F5-B76A75482FC8}"/>
    <cellStyle name="20% - Accent6 10 4" xfId="23167" xr:uid="{D2FA9444-441C-4A94-992B-F1ABBC41FE6B}"/>
    <cellStyle name="20% - Accent6 10 5" xfId="13870" xr:uid="{687FF4E6-E414-413E-9E5F-FAE1A1156AF4}"/>
    <cellStyle name="20% - Accent6 11" xfId="8768" xr:uid="{5A1F1293-A19F-445F-908A-D9DBB6265CA0}"/>
    <cellStyle name="20% - Accent6 11 2" xfId="35845" xr:uid="{B81C8381-829E-4FA4-A42E-1AD2C99D8288}"/>
    <cellStyle name="20% - Accent6 11 3" xfId="18091" xr:uid="{43D8DC0B-C2C4-47F1-A2C1-620E02289378}"/>
    <cellStyle name="20% - Accent6 12" xfId="27397" xr:uid="{3A26D486-BD05-48D0-949F-0ECA7B316265}"/>
    <cellStyle name="20% - Accent6 13" xfId="18950" xr:uid="{5B57AFCB-CC3D-476F-963F-51DA2C95F391}"/>
    <cellStyle name="20% - Accent6 14" xfId="9653" xr:uid="{A1572BAB-7F10-4D30-8A7C-DFD83E5DEEE6}"/>
    <cellStyle name="20% - Accent6 2" xfId="42" xr:uid="{00000000-0005-0000-0000-000022030000}"/>
    <cellStyle name="20% - Accent6 2 10" xfId="8795" xr:uid="{9A35B19E-8802-437A-ABDC-7B06A4E07F58}"/>
    <cellStyle name="20% - Accent6 2 10 2" xfId="35846" xr:uid="{074BF3E3-C37E-4728-936E-78DF8A47425E}"/>
    <cellStyle name="20% - Accent6 2 10 3" xfId="18118" xr:uid="{457D9824-8343-4402-B09E-F8655AFB5C6E}"/>
    <cellStyle name="20% - Accent6 2 11" xfId="27398" xr:uid="{4F72F8C2-0BBD-4093-8E43-1EAC65EA76C6}"/>
    <cellStyle name="20% - Accent6 2 12" xfId="18951" xr:uid="{943E3A8D-CB36-4F41-9B60-EFCE659FED5C}"/>
    <cellStyle name="20% - Accent6 2 13" xfId="9654" xr:uid="{FEC5C7ED-58C8-4863-A157-502FC8138EB3}"/>
    <cellStyle name="20% - Accent6 2 2" xfId="43" xr:uid="{00000000-0005-0000-0000-000023030000}"/>
    <cellStyle name="20% - Accent6 2 2 10" xfId="27399" xr:uid="{C012B12C-DF11-4B34-A894-5B52092D3BCA}"/>
    <cellStyle name="20% - Accent6 2 2 11" xfId="18952" xr:uid="{41290204-C881-4FCB-9596-4BA059B20E31}"/>
    <cellStyle name="20% - Accent6 2 2 12" xfId="9655" xr:uid="{9D446038-39B4-407B-8DA7-249738FD1EA1}"/>
    <cellStyle name="20% - Accent6 2 2 2" xfId="44" xr:uid="{00000000-0005-0000-0000-000024030000}"/>
    <cellStyle name="20% - Accent6 2 2 2 10" xfId="18953" xr:uid="{B69F78AC-6CCF-4851-B9B9-F6A1FF1265FE}"/>
    <cellStyle name="20% - Accent6 2 2 2 11" xfId="9656" xr:uid="{2DC3A7B8-8D83-4B50-B4A0-93335C4E6251}"/>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42624" xr:uid="{533C5AD8-8D9E-4CAF-A1B1-321CE3FCBBC9}"/>
    <cellStyle name="20% - Accent6 2 2 2 2 2 2 3" xfId="34177" xr:uid="{06B5CA19-2F78-4972-9855-D3F8C4649369}"/>
    <cellStyle name="20% - Accent6 2 2 2 2 2 2 4" xfId="25729" xr:uid="{0B166C27-D7AB-4A86-99E9-79744F2C0174}"/>
    <cellStyle name="20% - Accent6 2 2 2 2 2 2 5" xfId="16432" xr:uid="{4B2D7A22-0D40-42CF-BAFB-B1459956B3FD}"/>
    <cellStyle name="20% - Accent6 2 2 2 2 2 3" xfId="38407" xr:uid="{2C1E5132-B391-4B6B-A1BF-BCC34C4A9E04}"/>
    <cellStyle name="20% - Accent6 2 2 2 2 2 4" xfId="29959" xr:uid="{9A345C3D-2E5C-4F95-ADBF-B12C5A099156}"/>
    <cellStyle name="20% - Accent6 2 2 2 2 2 5" xfId="21512" xr:uid="{AD5247E0-BA64-4DE1-8BF7-6D0EBDE3E8B7}"/>
    <cellStyle name="20% - Accent6 2 2 2 2 2 6" xfId="12215" xr:uid="{79912C27-E1B6-4A0F-B549-6AA330BE6FEA}"/>
    <cellStyle name="20% - Accent6 2 2 2 2 3" xfId="4961" xr:uid="{00000000-0005-0000-0000-000028030000}"/>
    <cellStyle name="20% - Accent6 2 2 2 2 3 2" xfId="40479" xr:uid="{8ECD633A-4E8E-4E9D-B734-95679808FF72}"/>
    <cellStyle name="20% - Accent6 2 2 2 2 3 3" xfId="32032" xr:uid="{651A53D3-FD64-4F2E-BE00-378ADA850F46}"/>
    <cellStyle name="20% - Accent6 2 2 2 2 3 4" xfId="23584" xr:uid="{CC2E92E9-14D4-4B46-8DEA-08581DB0EAD0}"/>
    <cellStyle name="20% - Accent6 2 2 2 2 3 5" xfId="14287" xr:uid="{AD6B6134-7571-4BB7-9592-5DE54BA42185}"/>
    <cellStyle name="20% - Accent6 2 2 2 2 4" xfId="9530" xr:uid="{AFD3EE0E-70EF-4C1B-B994-7B8E7E8187BC}"/>
    <cellStyle name="20% - Accent6 2 2 2 2 4 2" xfId="36262" xr:uid="{E4804B94-AE7E-43C2-A38C-0F66A71A090E}"/>
    <cellStyle name="20% - Accent6 2 2 2 2 4 3" xfId="18843" xr:uid="{536F3F65-8271-404D-991B-7382D8804CC8}"/>
    <cellStyle name="20% - Accent6 2 2 2 2 5" xfId="27814" xr:uid="{ECF5C43A-9BDC-4990-A5F8-40DEDEC34D75}"/>
    <cellStyle name="20% - Accent6 2 2 2 2 6" xfId="19367" xr:uid="{1CC6B509-B4A1-4C4E-9ED4-FDED21F98ECE}"/>
    <cellStyle name="20% - Accent6 2 2 2 2 7" xfId="10070" xr:uid="{209D8D94-EDC0-4781-BD96-3104BEF2F0FB}"/>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43037" xr:uid="{9B21C449-41CB-4313-94A7-1E708818B202}"/>
    <cellStyle name="20% - Accent6 2 2 2 3 2 2 3" xfId="34590" xr:uid="{46D1A9C7-7F00-4C48-A89E-20A2E86DAD46}"/>
    <cellStyle name="20% - Accent6 2 2 2 3 2 2 4" xfId="26142" xr:uid="{DB7D92FD-4C81-490F-9365-2B976A51DDD0}"/>
    <cellStyle name="20% - Accent6 2 2 2 3 2 2 5" xfId="16845" xr:uid="{5F5E4D23-4648-4619-A688-744915A68711}"/>
    <cellStyle name="20% - Accent6 2 2 2 3 2 3" xfId="38820" xr:uid="{C79F7427-C21C-44AB-80C0-485ED207C2DC}"/>
    <cellStyle name="20% - Accent6 2 2 2 3 2 4" xfId="30372" xr:uid="{64375EC3-2408-40A7-940C-6746B8790352}"/>
    <cellStyle name="20% - Accent6 2 2 2 3 2 5" xfId="21925" xr:uid="{467A4794-34A4-4E42-BC64-7D233DD7DCBC}"/>
    <cellStyle name="20% - Accent6 2 2 2 3 2 6" xfId="12628" xr:uid="{748E4403-F8CB-4C32-9484-025385DDA472}"/>
    <cellStyle name="20% - Accent6 2 2 2 3 3" xfId="5374" xr:uid="{00000000-0005-0000-0000-00002C030000}"/>
    <cellStyle name="20% - Accent6 2 2 2 3 3 2" xfId="40892" xr:uid="{B63E76C4-A986-46B8-B13A-E0F11DB201AC}"/>
    <cellStyle name="20% - Accent6 2 2 2 3 3 3" xfId="32445" xr:uid="{5FF312C7-C47A-459F-A22D-B24380822516}"/>
    <cellStyle name="20% - Accent6 2 2 2 3 3 4" xfId="23997" xr:uid="{C41C3555-1FA6-4B4F-90EA-68BF3C3C75F5}"/>
    <cellStyle name="20% - Accent6 2 2 2 3 3 5" xfId="14700" xr:uid="{D6100695-9476-4C18-A071-6F4C5451FAAE}"/>
    <cellStyle name="20% - Accent6 2 2 2 3 4" xfId="36675" xr:uid="{42A215CA-862A-4DF2-A629-22195932AFB7}"/>
    <cellStyle name="20% - Accent6 2 2 2 3 5" xfId="28227" xr:uid="{A00B3435-0F75-4429-B609-AD3875A7BDC1}"/>
    <cellStyle name="20% - Accent6 2 2 2 3 6" xfId="19780" xr:uid="{AE0A2C65-0C49-4499-AF33-DAAABFDAE8D2}"/>
    <cellStyle name="20% - Accent6 2 2 2 3 7" xfId="10483" xr:uid="{1525D469-4164-49A0-89EE-0B459A2AD19B}"/>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43450" xr:uid="{698A7CF5-0421-454C-9A80-6FA0842CC7AB}"/>
    <cellStyle name="20% - Accent6 2 2 2 4 2 2 3" xfId="35003" xr:uid="{F59382B5-5E2D-423E-99D5-5BADFE785F75}"/>
    <cellStyle name="20% - Accent6 2 2 2 4 2 2 4" xfId="26555" xr:uid="{5AE0FC3A-A3CA-456F-8376-B8D7C01ACB13}"/>
    <cellStyle name="20% - Accent6 2 2 2 4 2 2 5" xfId="17258" xr:uid="{96B836BD-B770-4BD5-8645-32F9CC0A1EA3}"/>
    <cellStyle name="20% - Accent6 2 2 2 4 2 3" xfId="39233" xr:uid="{03E8767F-C8FE-4DAF-9E32-C3BEE0705083}"/>
    <cellStyle name="20% - Accent6 2 2 2 4 2 4" xfId="30785" xr:uid="{8AFF58A3-D257-456E-9FAC-2AD5B9946DCB}"/>
    <cellStyle name="20% - Accent6 2 2 2 4 2 5" xfId="22338" xr:uid="{F5CB2BC6-6434-4518-9DD6-86DF3A286DEB}"/>
    <cellStyle name="20% - Accent6 2 2 2 4 2 6" xfId="13041" xr:uid="{4CE6EB4D-F4AF-456B-9E76-427B4C154B80}"/>
    <cellStyle name="20% - Accent6 2 2 2 4 3" xfId="5787" xr:uid="{00000000-0005-0000-0000-000030030000}"/>
    <cellStyle name="20% - Accent6 2 2 2 4 3 2" xfId="41305" xr:uid="{8622627D-922F-4C92-BC65-42FF24997CBC}"/>
    <cellStyle name="20% - Accent6 2 2 2 4 3 3" xfId="32858" xr:uid="{DA90D7CB-A541-4E8C-8A2B-C69223958EFC}"/>
    <cellStyle name="20% - Accent6 2 2 2 4 3 4" xfId="24410" xr:uid="{C676E0A2-F35C-4377-9D40-13B5AFDF8D2A}"/>
    <cellStyle name="20% - Accent6 2 2 2 4 3 5" xfId="15113" xr:uid="{34817009-351B-44F6-AE5F-9CE4BCAC14CD}"/>
    <cellStyle name="20% - Accent6 2 2 2 4 4" xfId="37088" xr:uid="{1B73609E-FEE9-4CDE-9130-AFCD8AA2E58E}"/>
    <cellStyle name="20% - Accent6 2 2 2 4 5" xfId="28640" xr:uid="{3DCDBE89-9F87-42C7-B548-E193BC2B5939}"/>
    <cellStyle name="20% - Accent6 2 2 2 4 6" xfId="20193" xr:uid="{9BE1BD1F-AA7E-40B7-B407-D5CC6690ACB7}"/>
    <cellStyle name="20% - Accent6 2 2 2 4 7" xfId="10896" xr:uid="{C5E1AB97-4EBA-4AD0-904A-787ED77A2FAF}"/>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43863" xr:uid="{E52D2F2C-AAC3-4DD7-861E-CAD989F18311}"/>
    <cellStyle name="20% - Accent6 2 2 2 5 2 2 3" xfId="35416" xr:uid="{09A04C1F-1877-44F5-8976-DBA1467FB002}"/>
    <cellStyle name="20% - Accent6 2 2 2 5 2 2 4" xfId="26968" xr:uid="{0BB0ECA5-78A2-4B4F-8815-EC551B9219DD}"/>
    <cellStyle name="20% - Accent6 2 2 2 5 2 2 5" xfId="17671" xr:uid="{32392546-5627-487A-AF0E-C5997AE323A4}"/>
    <cellStyle name="20% - Accent6 2 2 2 5 2 3" xfId="39646" xr:uid="{BACA9C6A-7ACA-4111-B901-90C3533C84B6}"/>
    <cellStyle name="20% - Accent6 2 2 2 5 2 4" xfId="31198" xr:uid="{B1846006-F309-4C43-B437-F8E383B7271D}"/>
    <cellStyle name="20% - Accent6 2 2 2 5 2 5" xfId="22751" xr:uid="{97252C88-9420-4B31-BF1A-B54DDD145948}"/>
    <cellStyle name="20% - Accent6 2 2 2 5 2 6" xfId="13454" xr:uid="{1DCEEFA2-E1CD-420B-AB14-B73CF4747681}"/>
    <cellStyle name="20% - Accent6 2 2 2 5 3" xfId="6200" xr:uid="{00000000-0005-0000-0000-000034030000}"/>
    <cellStyle name="20% - Accent6 2 2 2 5 3 2" xfId="41718" xr:uid="{7F7E6D7E-13D3-4DB9-8DA4-CBA0094D6D5E}"/>
    <cellStyle name="20% - Accent6 2 2 2 5 3 3" xfId="33271" xr:uid="{D9426071-2370-47EB-B74E-6E411C899B3E}"/>
    <cellStyle name="20% - Accent6 2 2 2 5 3 4" xfId="24823" xr:uid="{915BE3CC-0CD6-412C-AD1E-1CBC5B475ABD}"/>
    <cellStyle name="20% - Accent6 2 2 2 5 3 5" xfId="15526" xr:uid="{C740574C-425C-40F9-B2C9-4989C48127B2}"/>
    <cellStyle name="20% - Accent6 2 2 2 5 4" xfId="37501" xr:uid="{30C2798E-59FF-42F4-828B-28E47D18482A}"/>
    <cellStyle name="20% - Accent6 2 2 2 5 5" xfId="29053" xr:uid="{4627AFE8-A128-4C5B-B370-ABE7D9235083}"/>
    <cellStyle name="20% - Accent6 2 2 2 5 6" xfId="20606" xr:uid="{B73F7FDF-2675-4412-8D38-CC5D167D29D2}"/>
    <cellStyle name="20% - Accent6 2 2 2 5 7" xfId="11309" xr:uid="{D974AB99-71D0-4988-80BA-A469738F3D2C}"/>
    <cellStyle name="20% - Accent6 2 2 2 6" xfId="2307" xr:uid="{00000000-0005-0000-0000-000035030000}"/>
    <cellStyle name="20% - Accent6 2 2 2 6 2" xfId="6613" xr:uid="{00000000-0005-0000-0000-000036030000}"/>
    <cellStyle name="20% - Accent6 2 2 2 6 2 2" xfId="42131" xr:uid="{45350010-3C41-4EB9-B236-7E852A169FA0}"/>
    <cellStyle name="20% - Accent6 2 2 2 6 2 3" xfId="33684" xr:uid="{FA3462B1-8B94-4F38-8A46-BA59601B4A10}"/>
    <cellStyle name="20% - Accent6 2 2 2 6 2 4" xfId="25236" xr:uid="{E0B75CCE-E16F-4B49-8C90-5230B5E75A6F}"/>
    <cellStyle name="20% - Accent6 2 2 2 6 2 5" xfId="15939" xr:uid="{AFCFDB91-123B-4E12-BDD6-1DCE33DC5638}"/>
    <cellStyle name="20% - Accent6 2 2 2 6 3" xfId="37914" xr:uid="{EC7C674A-F6C7-471C-8F9D-4558A136B94A}"/>
    <cellStyle name="20% - Accent6 2 2 2 6 4" xfId="29466" xr:uid="{080087AC-301A-43CA-B370-23635356B749}"/>
    <cellStyle name="20% - Accent6 2 2 2 6 5" xfId="21019" xr:uid="{24EEBB70-52D5-458D-BE60-85580D010F63}"/>
    <cellStyle name="20% - Accent6 2 2 2 6 6" xfId="11722" xr:uid="{90E56B4F-3AA3-443B-9265-A880473FD0A1}"/>
    <cellStyle name="20% - Accent6 2 2 2 7" xfId="4547" xr:uid="{00000000-0005-0000-0000-000037030000}"/>
    <cellStyle name="20% - Accent6 2 2 2 7 2" xfId="40065" xr:uid="{ACE4E6D6-EB4C-4B19-BB06-09CF077AD37C}"/>
    <cellStyle name="20% - Accent6 2 2 2 7 3" xfId="31618" xr:uid="{9207120A-5E51-4CD4-8DC9-E0DC2F5C664B}"/>
    <cellStyle name="20% - Accent6 2 2 2 7 4" xfId="23170" xr:uid="{AEEE89AC-2BAF-4376-BF37-01D7D445D9AF}"/>
    <cellStyle name="20% - Accent6 2 2 2 7 5" xfId="13873" xr:uid="{1FE9CA35-3B45-465F-8471-35B3BEFA12F3}"/>
    <cellStyle name="20% - Accent6 2 2 2 8" xfId="9105" xr:uid="{2D3B6B01-F2FB-4D08-A7F9-9902961EFB46}"/>
    <cellStyle name="20% - Accent6 2 2 2 8 2" xfId="35848" xr:uid="{C448D6C2-3E9E-43A4-91CB-1253B2618CED}"/>
    <cellStyle name="20% - Accent6 2 2 2 8 3" xfId="18428" xr:uid="{5E35D648-D3F3-414F-BE8F-2BE9DC2472EF}"/>
    <cellStyle name="20% - Accent6 2 2 2 9" xfId="27400" xr:uid="{D8879D67-50A4-4B1F-951D-4D49D876D203}"/>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42623" xr:uid="{DEBE858F-47E3-4F77-A503-BBE8E4235E72}"/>
    <cellStyle name="20% - Accent6 2 2 3 2 2 3" xfId="34176" xr:uid="{F52DE00E-52D0-4EC2-A35C-F0F321BA978D}"/>
    <cellStyle name="20% - Accent6 2 2 3 2 2 4" xfId="25728" xr:uid="{F8954BED-8967-4755-8927-E79B4C22A785}"/>
    <cellStyle name="20% - Accent6 2 2 3 2 2 5" xfId="16431" xr:uid="{CD57211C-FFBB-4B69-8EE0-478BCB7CDC7B}"/>
    <cellStyle name="20% - Accent6 2 2 3 2 3" xfId="38406" xr:uid="{E677C4DA-2C06-4DC6-8191-A84DADB2A060}"/>
    <cellStyle name="20% - Accent6 2 2 3 2 4" xfId="29958" xr:uid="{08BDDE00-1CCA-4CDA-8D71-96E3CF5A5D41}"/>
    <cellStyle name="20% - Accent6 2 2 3 2 5" xfId="21511" xr:uid="{9BE63AAE-AE79-4E91-8F90-1F5E935273AB}"/>
    <cellStyle name="20% - Accent6 2 2 3 2 6" xfId="12214" xr:uid="{C8AB606A-FDD1-4F16-A75B-D0F1B6CB1AB6}"/>
    <cellStyle name="20% - Accent6 2 2 3 3" xfId="4960" xr:uid="{00000000-0005-0000-0000-00003B030000}"/>
    <cellStyle name="20% - Accent6 2 2 3 3 2" xfId="40478" xr:uid="{FBEE2609-FD40-4DAE-A949-95C3AAAE6C80}"/>
    <cellStyle name="20% - Accent6 2 2 3 3 3" xfId="32031" xr:uid="{2B809CB1-9FF3-4E80-A726-FB8696072DDA}"/>
    <cellStyle name="20% - Accent6 2 2 3 3 4" xfId="23583" xr:uid="{0198B728-A403-47D0-89E4-DCA32B321AF1}"/>
    <cellStyle name="20% - Accent6 2 2 3 3 5" xfId="14286" xr:uid="{FFFED286-968D-45CD-9DCD-9B5DD05EE701}"/>
    <cellStyle name="20% - Accent6 2 2 3 4" xfId="9323" xr:uid="{93CC3C58-EC1C-4AC6-8D02-E00EFD80A494}"/>
    <cellStyle name="20% - Accent6 2 2 3 4 2" xfId="36261" xr:uid="{B8823FBF-089F-468D-85B4-09969255399E}"/>
    <cellStyle name="20% - Accent6 2 2 3 4 3" xfId="18636" xr:uid="{173F7F55-809E-4DCD-96CE-93CD33F27139}"/>
    <cellStyle name="20% - Accent6 2 2 3 5" xfId="27813" xr:uid="{2DE19D7E-407B-48DC-A9F7-568F5EA99D9F}"/>
    <cellStyle name="20% - Accent6 2 2 3 6" xfId="19366" xr:uid="{DE5EC649-1D9D-4F13-A769-B93C464D03F2}"/>
    <cellStyle name="20% - Accent6 2 2 3 7" xfId="10069" xr:uid="{950CDBAF-3C68-43C5-97B6-26CE1DCF4C60}"/>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43036" xr:uid="{ACC939AF-4A15-431B-A36F-272D362426C7}"/>
    <cellStyle name="20% - Accent6 2 2 4 2 2 3" xfId="34589" xr:uid="{657ED7F1-4910-41E4-B7B1-8E68F1D89C8F}"/>
    <cellStyle name="20% - Accent6 2 2 4 2 2 4" xfId="26141" xr:uid="{5AF55887-E29B-4F7C-98BD-BDC354FA2A39}"/>
    <cellStyle name="20% - Accent6 2 2 4 2 2 5" xfId="16844" xr:uid="{98773B8B-ABE3-4B43-9848-1D7BD2329599}"/>
    <cellStyle name="20% - Accent6 2 2 4 2 3" xfId="38819" xr:uid="{0C568075-4C3E-4F49-A85A-711450DC1FB2}"/>
    <cellStyle name="20% - Accent6 2 2 4 2 4" xfId="30371" xr:uid="{534EB8BC-DA82-41FA-B882-876B921D60FA}"/>
    <cellStyle name="20% - Accent6 2 2 4 2 5" xfId="21924" xr:uid="{9611AD16-7350-472B-A24B-6565710F92F2}"/>
    <cellStyle name="20% - Accent6 2 2 4 2 6" xfId="12627" xr:uid="{7BF2C5BF-F84F-4E1E-99F8-7B6C845BCDE6}"/>
    <cellStyle name="20% - Accent6 2 2 4 3" xfId="5373" xr:uid="{00000000-0005-0000-0000-00003F030000}"/>
    <cellStyle name="20% - Accent6 2 2 4 3 2" xfId="40891" xr:uid="{8042055A-9CB9-4D06-B7B9-CAA28816FAB0}"/>
    <cellStyle name="20% - Accent6 2 2 4 3 3" xfId="32444" xr:uid="{F232AAC4-9E03-4DE0-AF17-C0781A5CE171}"/>
    <cellStyle name="20% - Accent6 2 2 4 3 4" xfId="23996" xr:uid="{6473C6C5-B0A9-456F-8584-8ECBC46A88F5}"/>
    <cellStyle name="20% - Accent6 2 2 4 3 5" xfId="14699" xr:uid="{FA9A1178-DD8B-4918-A1FD-FAE3BDF993E5}"/>
    <cellStyle name="20% - Accent6 2 2 4 4" xfId="36674" xr:uid="{1FDBE7D9-D670-43EC-AE8A-5169B09AA9E1}"/>
    <cellStyle name="20% - Accent6 2 2 4 5" xfId="28226" xr:uid="{F5536872-F1A9-4A35-9B23-15F1C2B92528}"/>
    <cellStyle name="20% - Accent6 2 2 4 6" xfId="19779" xr:uid="{9A5C2FAF-2CEB-41AF-B4BD-E2FCF31F336E}"/>
    <cellStyle name="20% - Accent6 2 2 4 7" xfId="10482" xr:uid="{38BB4CBD-ECDA-427E-A8AD-0900831518F3}"/>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43449" xr:uid="{E4C115CE-6F50-42EF-BC6A-D3145A7CCCAA}"/>
    <cellStyle name="20% - Accent6 2 2 5 2 2 3" xfId="35002" xr:uid="{3B487EC5-552A-4742-AAF3-880ED0CE27DA}"/>
    <cellStyle name="20% - Accent6 2 2 5 2 2 4" xfId="26554" xr:uid="{087023E1-0F60-4EA9-B8AA-01F78304D00E}"/>
    <cellStyle name="20% - Accent6 2 2 5 2 2 5" xfId="17257" xr:uid="{C7D4DC33-08ED-49D4-A136-58E788F29472}"/>
    <cellStyle name="20% - Accent6 2 2 5 2 3" xfId="39232" xr:uid="{BE0D181A-669E-49AF-B489-BDFDDE8A86E8}"/>
    <cellStyle name="20% - Accent6 2 2 5 2 4" xfId="30784" xr:uid="{4A33FB74-1A3D-4AA7-8D73-90913AE0EFF2}"/>
    <cellStyle name="20% - Accent6 2 2 5 2 5" xfId="22337" xr:uid="{1AE35974-75FB-4888-A5A2-C8A8711C186F}"/>
    <cellStyle name="20% - Accent6 2 2 5 2 6" xfId="13040" xr:uid="{1D95A618-F731-4312-9EF5-38F809C9B0C8}"/>
    <cellStyle name="20% - Accent6 2 2 5 3" xfId="5786" xr:uid="{00000000-0005-0000-0000-000043030000}"/>
    <cellStyle name="20% - Accent6 2 2 5 3 2" xfId="41304" xr:uid="{AE241AFB-50A8-4423-8E72-29752844CA14}"/>
    <cellStyle name="20% - Accent6 2 2 5 3 3" xfId="32857" xr:uid="{E2249DD4-3347-4A1C-8938-6AA5D382198D}"/>
    <cellStyle name="20% - Accent6 2 2 5 3 4" xfId="24409" xr:uid="{65F9A4F7-3F39-4670-BEF3-009D7884F656}"/>
    <cellStyle name="20% - Accent6 2 2 5 3 5" xfId="15112" xr:uid="{6672D3E1-47D4-4A65-BB06-F5ACF58D7CCD}"/>
    <cellStyle name="20% - Accent6 2 2 5 4" xfId="37087" xr:uid="{847D865B-F921-4685-BFF6-1B88450C5A9C}"/>
    <cellStyle name="20% - Accent6 2 2 5 5" xfId="28639" xr:uid="{294A849E-9223-4ACF-81CB-80447761E9B6}"/>
    <cellStyle name="20% - Accent6 2 2 5 6" xfId="20192" xr:uid="{8D9FAC54-5D5A-4757-B5D5-72673E170B32}"/>
    <cellStyle name="20% - Accent6 2 2 5 7" xfId="10895" xr:uid="{B7CDE72F-3435-4B21-A86F-54372FA107CB}"/>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43862" xr:uid="{32645A9D-7E2E-46FA-8529-63E9D7063F11}"/>
    <cellStyle name="20% - Accent6 2 2 6 2 2 3" xfId="35415" xr:uid="{D83BD77B-E8E3-4C6F-933F-516C44659D7A}"/>
    <cellStyle name="20% - Accent6 2 2 6 2 2 4" xfId="26967" xr:uid="{4BA4F43A-5074-4EF9-AD8D-ED5A1A0373EB}"/>
    <cellStyle name="20% - Accent6 2 2 6 2 2 5" xfId="17670" xr:uid="{0599B819-B338-4196-9D29-5CF9AB5BE702}"/>
    <cellStyle name="20% - Accent6 2 2 6 2 3" xfId="39645" xr:uid="{7F611420-3EE8-4139-A885-451F8048F1D5}"/>
    <cellStyle name="20% - Accent6 2 2 6 2 4" xfId="31197" xr:uid="{C498D6C6-EA39-4DE5-B246-D56EB75C9357}"/>
    <cellStyle name="20% - Accent6 2 2 6 2 5" xfId="22750" xr:uid="{8368D93B-8176-4C60-8ACF-C350B1C31D00}"/>
    <cellStyle name="20% - Accent6 2 2 6 2 6" xfId="13453" xr:uid="{995164DF-90DE-4817-B19C-B9296CF12841}"/>
    <cellStyle name="20% - Accent6 2 2 6 3" xfId="6199" xr:uid="{00000000-0005-0000-0000-000047030000}"/>
    <cellStyle name="20% - Accent6 2 2 6 3 2" xfId="41717" xr:uid="{412DBF01-297B-4D87-A303-C98546DC7D89}"/>
    <cellStyle name="20% - Accent6 2 2 6 3 3" xfId="33270" xr:uid="{DC471726-E967-445F-A291-A0258BCD3118}"/>
    <cellStyle name="20% - Accent6 2 2 6 3 4" xfId="24822" xr:uid="{37AA476A-82F7-4E98-9974-EDC218CF6B77}"/>
    <cellStyle name="20% - Accent6 2 2 6 3 5" xfId="15525" xr:uid="{6136CC8C-98F1-4D08-B5CD-2190A0A9C0E1}"/>
    <cellStyle name="20% - Accent6 2 2 6 4" xfId="37500" xr:uid="{206F97F3-5D74-40A1-8DB4-45C4DCDD3476}"/>
    <cellStyle name="20% - Accent6 2 2 6 5" xfId="29052" xr:uid="{8564DD76-5926-4579-9E56-1F427D1A3B3E}"/>
    <cellStyle name="20% - Accent6 2 2 6 6" xfId="20605" xr:uid="{BB573EAE-49E0-4301-9844-8C0E2F240F87}"/>
    <cellStyle name="20% - Accent6 2 2 6 7" xfId="11308" xr:uid="{CB3B906C-0512-4855-94EF-5A09D6B83AC5}"/>
    <cellStyle name="20% - Accent6 2 2 7" xfId="2306" xr:uid="{00000000-0005-0000-0000-000048030000}"/>
    <cellStyle name="20% - Accent6 2 2 7 2" xfId="6612" xr:uid="{00000000-0005-0000-0000-000049030000}"/>
    <cellStyle name="20% - Accent6 2 2 7 2 2" xfId="42130" xr:uid="{08CB1AFD-DA36-44CF-A636-CCBDED0034D0}"/>
    <cellStyle name="20% - Accent6 2 2 7 2 3" xfId="33683" xr:uid="{0EFC0603-AA41-459E-8E74-D9D0C6074D46}"/>
    <cellStyle name="20% - Accent6 2 2 7 2 4" xfId="25235" xr:uid="{A6E10494-0581-4C18-811D-70692939891B}"/>
    <cellStyle name="20% - Accent6 2 2 7 2 5" xfId="15938" xr:uid="{6E385E69-AC49-43D7-A8A7-0F3A367B54CD}"/>
    <cellStyle name="20% - Accent6 2 2 7 3" xfId="37913" xr:uid="{1CD2F9D9-E61F-45E7-AE57-38BE04D36C67}"/>
    <cellStyle name="20% - Accent6 2 2 7 4" xfId="29465" xr:uid="{589C9A60-0ECF-4A2F-B8B3-523964F75A41}"/>
    <cellStyle name="20% - Accent6 2 2 7 5" xfId="21018" xr:uid="{5CDAC46C-1A74-495C-84A9-CC734CB4751E}"/>
    <cellStyle name="20% - Accent6 2 2 7 6" xfId="11721" xr:uid="{4C038E45-6B3F-4BE2-8CAC-616252311EC0}"/>
    <cellStyle name="20% - Accent6 2 2 8" xfId="4546" xr:uid="{00000000-0005-0000-0000-00004A030000}"/>
    <cellStyle name="20% - Accent6 2 2 8 2" xfId="40064" xr:uid="{416AA3FE-ED11-47FD-9E12-06F29271B86A}"/>
    <cellStyle name="20% - Accent6 2 2 8 3" xfId="31617" xr:uid="{FD946E26-544F-40AA-8BE4-7C8FB4222EA6}"/>
    <cellStyle name="20% - Accent6 2 2 8 4" xfId="23169" xr:uid="{78B19BEB-1E2A-4488-98FC-C4BED771C872}"/>
    <cellStyle name="20% - Accent6 2 2 8 5" xfId="13872" xr:uid="{80F9092B-A9F5-456D-BFAB-24A6377BCBED}"/>
    <cellStyle name="20% - Accent6 2 2 9" xfId="8898" xr:uid="{88686F75-037F-4072-9BDC-942546C51E8F}"/>
    <cellStyle name="20% - Accent6 2 2 9 2" xfId="35847" xr:uid="{965D74D2-DF00-4A6C-B562-7765A9EBA337}"/>
    <cellStyle name="20% - Accent6 2 2 9 3" xfId="18221" xr:uid="{50375591-FB8C-493F-B13C-AC941FB3C9B4}"/>
    <cellStyle name="20% - Accent6 2 3" xfId="45" xr:uid="{00000000-0005-0000-0000-00004B030000}"/>
    <cellStyle name="20% - Accent6 2 3 10" xfId="18954" xr:uid="{7861A289-A6CB-4E8E-9DCC-F3BBA04C447D}"/>
    <cellStyle name="20% - Accent6 2 3 11" xfId="9657" xr:uid="{D6A270DF-5BE0-4429-91E3-5009BF5E0E19}"/>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42625" xr:uid="{DA49D280-9FC1-4CFF-A953-C4C08F1E16FB}"/>
    <cellStyle name="20% - Accent6 2 3 2 2 2 3" xfId="34178" xr:uid="{4C3794E4-FEA6-4784-A6B1-B64F65740209}"/>
    <cellStyle name="20% - Accent6 2 3 2 2 2 4" xfId="25730" xr:uid="{0FBCADFD-ACDE-4990-8D99-8090C6117F57}"/>
    <cellStyle name="20% - Accent6 2 3 2 2 2 5" xfId="16433" xr:uid="{90B208B2-3275-4096-9AF0-14D98331AB7F}"/>
    <cellStyle name="20% - Accent6 2 3 2 2 3" xfId="38408" xr:uid="{847E3952-CFD3-4A01-9CE4-BF68B97E486C}"/>
    <cellStyle name="20% - Accent6 2 3 2 2 4" xfId="29960" xr:uid="{EEDE64B5-6084-40E8-B38D-8E62C447CF8C}"/>
    <cellStyle name="20% - Accent6 2 3 2 2 5" xfId="21513" xr:uid="{74D1C981-E103-4D1D-A68F-CCD847EA59A9}"/>
    <cellStyle name="20% - Accent6 2 3 2 2 6" xfId="12216" xr:uid="{0E960BC9-0838-4FAC-A694-0F3E9C17D759}"/>
    <cellStyle name="20% - Accent6 2 3 2 3" xfId="4962" xr:uid="{00000000-0005-0000-0000-00004F030000}"/>
    <cellStyle name="20% - Accent6 2 3 2 3 2" xfId="40480" xr:uid="{56BF8E51-B5AF-4881-A569-8735F647E486}"/>
    <cellStyle name="20% - Accent6 2 3 2 3 3" xfId="32033" xr:uid="{9125DA2E-5749-435D-A841-C85963B439D2}"/>
    <cellStyle name="20% - Accent6 2 3 2 3 4" xfId="23585" xr:uid="{91A8BCAA-7001-4401-B6A1-9E4F12D3CABC}"/>
    <cellStyle name="20% - Accent6 2 3 2 3 5" xfId="14288" xr:uid="{FC537A8E-2F1B-4786-A186-3D2FFF40F547}"/>
    <cellStyle name="20% - Accent6 2 3 2 4" xfId="9427" xr:uid="{009378B6-C0A8-4C7C-A9A2-F91104842D93}"/>
    <cellStyle name="20% - Accent6 2 3 2 4 2" xfId="36263" xr:uid="{2853F1E3-472E-4513-AE0D-18895A0123C7}"/>
    <cellStyle name="20% - Accent6 2 3 2 4 3" xfId="18740" xr:uid="{BDA7C743-4B91-4CDF-9215-F99B7DE23F19}"/>
    <cellStyle name="20% - Accent6 2 3 2 5" xfId="27815" xr:uid="{B12C2F79-B536-413E-8D40-68AA16C3057A}"/>
    <cellStyle name="20% - Accent6 2 3 2 6" xfId="19368" xr:uid="{254A22BE-8BE7-4184-8ED1-51F706F082D4}"/>
    <cellStyle name="20% - Accent6 2 3 2 7" xfId="10071" xr:uid="{FEC4962C-317F-4ACB-A0D5-2D79B175D6C7}"/>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43038" xr:uid="{8F722759-F0B7-402F-B613-46CD87D44090}"/>
    <cellStyle name="20% - Accent6 2 3 3 2 2 3" xfId="34591" xr:uid="{1806B803-784B-4750-8140-8FAD8C44D45B}"/>
    <cellStyle name="20% - Accent6 2 3 3 2 2 4" xfId="26143" xr:uid="{C578C14E-9DDE-4014-AA9F-0919870FFDA4}"/>
    <cellStyle name="20% - Accent6 2 3 3 2 2 5" xfId="16846" xr:uid="{8FA7335A-3AD1-42FB-9B95-65DE2F813466}"/>
    <cellStyle name="20% - Accent6 2 3 3 2 3" xfId="38821" xr:uid="{8DC2C894-C46A-4B43-9250-8C960C64B1F9}"/>
    <cellStyle name="20% - Accent6 2 3 3 2 4" xfId="30373" xr:uid="{F101708C-49C8-45AA-A724-4C9939F06EA9}"/>
    <cellStyle name="20% - Accent6 2 3 3 2 5" xfId="21926" xr:uid="{74061DB3-D7C7-47AC-99C3-45FAC5AEBA06}"/>
    <cellStyle name="20% - Accent6 2 3 3 2 6" xfId="12629" xr:uid="{107D1984-A61A-4FD2-B044-8C4ED8B77478}"/>
    <cellStyle name="20% - Accent6 2 3 3 3" xfId="5375" xr:uid="{00000000-0005-0000-0000-000053030000}"/>
    <cellStyle name="20% - Accent6 2 3 3 3 2" xfId="40893" xr:uid="{1F0ADEB7-B3A8-4F24-8547-45BE22C49F67}"/>
    <cellStyle name="20% - Accent6 2 3 3 3 3" xfId="32446" xr:uid="{88273942-A82B-4CD6-9E6E-6F81CDBE69C4}"/>
    <cellStyle name="20% - Accent6 2 3 3 3 4" xfId="23998" xr:uid="{DD89038D-3AD0-43A9-9ED3-C8BEBBD11256}"/>
    <cellStyle name="20% - Accent6 2 3 3 3 5" xfId="14701" xr:uid="{FB263558-FA35-47A6-8900-46DB0AA67067}"/>
    <cellStyle name="20% - Accent6 2 3 3 4" xfId="36676" xr:uid="{98C1DF09-A0A8-4AE8-AE0D-E219D676EDB3}"/>
    <cellStyle name="20% - Accent6 2 3 3 5" xfId="28228" xr:uid="{D3879E2B-C33B-4E5B-9AEB-E3B997BC6E76}"/>
    <cellStyle name="20% - Accent6 2 3 3 6" xfId="19781" xr:uid="{AF274E28-E215-4764-99BC-1298EDC0EFFE}"/>
    <cellStyle name="20% - Accent6 2 3 3 7" xfId="10484" xr:uid="{61CC80C2-BB06-456D-A088-F01474FEA464}"/>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43451" xr:uid="{6696B862-CB34-47BC-A88F-EE867FEED713}"/>
    <cellStyle name="20% - Accent6 2 3 4 2 2 3" xfId="35004" xr:uid="{72334DF1-9924-40B9-A380-E3CE4E240848}"/>
    <cellStyle name="20% - Accent6 2 3 4 2 2 4" xfId="26556" xr:uid="{C26E3900-AD81-4693-93C8-5B423D015E4C}"/>
    <cellStyle name="20% - Accent6 2 3 4 2 2 5" xfId="17259" xr:uid="{6C891402-3DEE-459F-8FE8-731F365BA7D2}"/>
    <cellStyle name="20% - Accent6 2 3 4 2 3" xfId="39234" xr:uid="{785C6E63-76A6-408A-874D-099A6F135F35}"/>
    <cellStyle name="20% - Accent6 2 3 4 2 4" xfId="30786" xr:uid="{950DEC8A-C904-4271-B008-5BF9B6773B83}"/>
    <cellStyle name="20% - Accent6 2 3 4 2 5" xfId="22339" xr:uid="{422BE9D7-3D67-456D-A2FD-DA545C307C38}"/>
    <cellStyle name="20% - Accent6 2 3 4 2 6" xfId="13042" xr:uid="{46F155E0-8F3F-49B1-BE11-704A97BCC768}"/>
    <cellStyle name="20% - Accent6 2 3 4 3" xfId="5788" xr:uid="{00000000-0005-0000-0000-000057030000}"/>
    <cellStyle name="20% - Accent6 2 3 4 3 2" xfId="41306" xr:uid="{7320B310-6211-4024-B502-7505FA6ACE4D}"/>
    <cellStyle name="20% - Accent6 2 3 4 3 3" xfId="32859" xr:uid="{EE660D0C-80A1-47B4-AA68-93F7D1AF957B}"/>
    <cellStyle name="20% - Accent6 2 3 4 3 4" xfId="24411" xr:uid="{21834C53-2253-45C6-8D6D-1F3AC63A09F0}"/>
    <cellStyle name="20% - Accent6 2 3 4 3 5" xfId="15114" xr:uid="{3EE8792E-B385-41F3-9585-8279385FE191}"/>
    <cellStyle name="20% - Accent6 2 3 4 4" xfId="37089" xr:uid="{B4FF2E3E-ABC0-46E1-8B13-E0A01F47FBBB}"/>
    <cellStyle name="20% - Accent6 2 3 4 5" xfId="28641" xr:uid="{3F580EFF-5260-4F4C-9376-ACBF8A7C126C}"/>
    <cellStyle name="20% - Accent6 2 3 4 6" xfId="20194" xr:uid="{DE8CC017-492D-403E-9D7E-440CD58FD351}"/>
    <cellStyle name="20% - Accent6 2 3 4 7" xfId="10897" xr:uid="{CBE55FC9-FD21-4F87-8981-620CD8BA5B24}"/>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43864" xr:uid="{39DA7BDD-ED60-42A2-9D56-E0D7D4FA3955}"/>
    <cellStyle name="20% - Accent6 2 3 5 2 2 3" xfId="35417" xr:uid="{5680A9F8-BEC4-4B20-BFEF-9C4BC71A5CDF}"/>
    <cellStyle name="20% - Accent6 2 3 5 2 2 4" xfId="26969" xr:uid="{B97AAAC9-667F-4ADA-94E1-A4E2A7AFC5CD}"/>
    <cellStyle name="20% - Accent6 2 3 5 2 2 5" xfId="17672" xr:uid="{B7221114-FA7A-4F4A-A142-67B813ED043A}"/>
    <cellStyle name="20% - Accent6 2 3 5 2 3" xfId="39647" xr:uid="{3C24A2EA-7F10-476D-9762-235DA7738FE8}"/>
    <cellStyle name="20% - Accent6 2 3 5 2 4" xfId="31199" xr:uid="{F2C2D630-8D62-482C-9F0C-1B851E5F69B0}"/>
    <cellStyle name="20% - Accent6 2 3 5 2 5" xfId="22752" xr:uid="{D48FA872-AF50-4D6F-B350-2562E51CC2C7}"/>
    <cellStyle name="20% - Accent6 2 3 5 2 6" xfId="13455" xr:uid="{C7EEBD38-DAD6-49A6-A7C7-4D0C4936831D}"/>
    <cellStyle name="20% - Accent6 2 3 5 3" xfId="6201" xr:uid="{00000000-0005-0000-0000-00005B030000}"/>
    <cellStyle name="20% - Accent6 2 3 5 3 2" xfId="41719" xr:uid="{EF1D99EB-24FA-45E2-A2F6-79796BEC91E1}"/>
    <cellStyle name="20% - Accent6 2 3 5 3 3" xfId="33272" xr:uid="{A574A330-C31A-424B-B11E-5269727616E4}"/>
    <cellStyle name="20% - Accent6 2 3 5 3 4" xfId="24824" xr:uid="{95C18078-E1F8-4681-A7B8-B713F15B1A0A}"/>
    <cellStyle name="20% - Accent6 2 3 5 3 5" xfId="15527" xr:uid="{6073B399-D0A1-4BAB-9008-EACF1A5D8382}"/>
    <cellStyle name="20% - Accent6 2 3 5 4" xfId="37502" xr:uid="{6A146162-F92D-40DE-99E3-3B19B7515AC2}"/>
    <cellStyle name="20% - Accent6 2 3 5 5" xfId="29054" xr:uid="{B534E7B0-5B35-4891-A71D-0312CD1D42F5}"/>
    <cellStyle name="20% - Accent6 2 3 5 6" xfId="20607" xr:uid="{FE371DA5-A0BC-4711-836E-89D2DC9807F6}"/>
    <cellStyle name="20% - Accent6 2 3 5 7" xfId="11310" xr:uid="{8CC40689-A28C-432D-AE3F-4E4FABD5E1D1}"/>
    <cellStyle name="20% - Accent6 2 3 6" xfId="2308" xr:uid="{00000000-0005-0000-0000-00005C030000}"/>
    <cellStyle name="20% - Accent6 2 3 6 2" xfId="6614" xr:uid="{00000000-0005-0000-0000-00005D030000}"/>
    <cellStyle name="20% - Accent6 2 3 6 2 2" xfId="42132" xr:uid="{A25D2D37-BB88-477A-93F4-4DC0ADB9034D}"/>
    <cellStyle name="20% - Accent6 2 3 6 2 3" xfId="33685" xr:uid="{890C1858-0266-4BDA-AB71-F0A3A6224AD6}"/>
    <cellStyle name="20% - Accent6 2 3 6 2 4" xfId="25237" xr:uid="{32C5CCFB-6D39-40D5-AA5A-59EE7183BA81}"/>
    <cellStyle name="20% - Accent6 2 3 6 2 5" xfId="15940" xr:uid="{E3A70D0A-5923-475D-AF15-F44AAB945571}"/>
    <cellStyle name="20% - Accent6 2 3 6 3" xfId="37915" xr:uid="{431819A0-4661-484C-BD1D-BE1FE04E93FC}"/>
    <cellStyle name="20% - Accent6 2 3 6 4" xfId="29467" xr:uid="{CE0586FB-38EE-41E0-B6D2-5616BF7C2FCC}"/>
    <cellStyle name="20% - Accent6 2 3 6 5" xfId="21020" xr:uid="{244223C9-8113-4852-9B91-ED3F11EF55D4}"/>
    <cellStyle name="20% - Accent6 2 3 6 6" xfId="11723" xr:uid="{B405F813-F8ED-49A7-92A8-4F0ACC41E9A5}"/>
    <cellStyle name="20% - Accent6 2 3 7" xfId="4548" xr:uid="{00000000-0005-0000-0000-00005E030000}"/>
    <cellStyle name="20% - Accent6 2 3 7 2" xfId="40066" xr:uid="{2D691DCF-BA61-4931-BDF4-A67BE32EA5EF}"/>
    <cellStyle name="20% - Accent6 2 3 7 3" xfId="31619" xr:uid="{22977894-843C-4893-872B-9617C1E0D329}"/>
    <cellStyle name="20% - Accent6 2 3 7 4" xfId="23171" xr:uid="{78BC361E-F204-4C9A-BE4E-CBF6AB31C98B}"/>
    <cellStyle name="20% - Accent6 2 3 7 5" xfId="13874" xr:uid="{B84F5FB6-C92E-47F6-85B2-A3D2AB0BA1C1}"/>
    <cellStyle name="20% - Accent6 2 3 8" xfId="9002" xr:uid="{F69877AB-868C-474F-8F88-C5F2F1F2C041}"/>
    <cellStyle name="20% - Accent6 2 3 8 2" xfId="35849" xr:uid="{E027F675-2291-42A4-87FA-76BED3E19CE5}"/>
    <cellStyle name="20% - Accent6 2 3 8 3" xfId="18325" xr:uid="{741E23CC-0EB0-4900-9AD6-ED753A66B8DD}"/>
    <cellStyle name="20% - Accent6 2 3 9" xfId="27401" xr:uid="{593423C5-E57D-46CE-BFBA-A4DB39377B26}"/>
    <cellStyle name="20% - Accent6 2 4" xfId="611" xr:uid="{00000000-0005-0000-0000-00005F030000}"/>
    <cellStyle name="20% - Accent6 2 4 2" xfId="2882" xr:uid="{00000000-0005-0000-0000-000060030000}"/>
    <cellStyle name="20% - Accent6 2 4 2 2" xfId="7104" xr:uid="{00000000-0005-0000-0000-000061030000}"/>
    <cellStyle name="20% - Accent6 2 4 2 2 2" xfId="42622" xr:uid="{7FEC0110-B2FE-4431-AB5E-C892CF2D1D16}"/>
    <cellStyle name="20% - Accent6 2 4 2 2 3" xfId="34175" xr:uid="{AE4004CB-F44E-4D63-9EAA-B385631185E0}"/>
    <cellStyle name="20% - Accent6 2 4 2 2 4" xfId="25727" xr:uid="{C8EBD36C-2923-4029-A80D-1474CC737691}"/>
    <cellStyle name="20% - Accent6 2 4 2 2 5" xfId="16430" xr:uid="{463B419B-5548-45B7-8567-FF8446BAC562}"/>
    <cellStyle name="20% - Accent6 2 4 2 3" xfId="38405" xr:uid="{E5FAF529-890B-422C-A81E-33A9EF55C4A2}"/>
    <cellStyle name="20% - Accent6 2 4 2 4" xfId="29957" xr:uid="{D3F692F8-F3BF-4E1D-9E9D-D5BD38E87607}"/>
    <cellStyle name="20% - Accent6 2 4 2 5" xfId="21510" xr:uid="{5707B86F-97C4-4EE0-9883-165A4074F8D2}"/>
    <cellStyle name="20% - Accent6 2 4 2 6" xfId="12213" xr:uid="{1EB81F1C-9EE8-4A71-9072-4702F073C5E7}"/>
    <cellStyle name="20% - Accent6 2 4 3" xfId="4959" xr:uid="{00000000-0005-0000-0000-000062030000}"/>
    <cellStyle name="20% - Accent6 2 4 3 2" xfId="40477" xr:uid="{453D05D5-DF4A-49D8-A720-79BDACDC98CF}"/>
    <cellStyle name="20% - Accent6 2 4 3 3" xfId="32030" xr:uid="{A1FC7798-3D5A-4190-9F69-F5AD9FFE2CEF}"/>
    <cellStyle name="20% - Accent6 2 4 3 4" xfId="23582" xr:uid="{BC375891-6A88-4B94-9FF7-08B9CA002E33}"/>
    <cellStyle name="20% - Accent6 2 4 3 5" xfId="14285" xr:uid="{6E7543E1-A38C-4DFC-BA27-A54ACECD0B63}"/>
    <cellStyle name="20% - Accent6 2 4 4" xfId="9219" xr:uid="{C8AD75F8-261B-45C4-93F0-0E0A49EEEF79}"/>
    <cellStyle name="20% - Accent6 2 4 4 2" xfId="36260" xr:uid="{7FAF1727-9F81-4CF8-8282-D0070B11C16D}"/>
    <cellStyle name="20% - Accent6 2 4 4 3" xfId="18533" xr:uid="{F6DCD603-5AF7-4D76-847F-62632C898BB4}"/>
    <cellStyle name="20% - Accent6 2 4 5" xfId="27812" xr:uid="{98E73DC8-2CDD-4979-A1A6-2319AE3A9A3F}"/>
    <cellStyle name="20% - Accent6 2 4 6" xfId="19365" xr:uid="{E5E48E22-B880-4F14-B8CB-263435ECF777}"/>
    <cellStyle name="20% - Accent6 2 4 7" xfId="10068" xr:uid="{7A8D3F00-F677-4F03-AFCA-D4367667994E}"/>
    <cellStyle name="20% - Accent6 2 5" xfId="1064" xr:uid="{00000000-0005-0000-0000-000063030000}"/>
    <cellStyle name="20% - Accent6 2 5 2" xfId="3295" xr:uid="{00000000-0005-0000-0000-000064030000}"/>
    <cellStyle name="20% - Accent6 2 5 2 2" xfId="7517" xr:uid="{00000000-0005-0000-0000-000065030000}"/>
    <cellStyle name="20% - Accent6 2 5 2 2 2" xfId="43035" xr:uid="{FDC4EA24-125E-47B8-AAED-61B6B4FE5844}"/>
    <cellStyle name="20% - Accent6 2 5 2 2 3" xfId="34588" xr:uid="{7B6FB26A-6368-4E36-9FBA-243B7D1D2E4D}"/>
    <cellStyle name="20% - Accent6 2 5 2 2 4" xfId="26140" xr:uid="{C44CFC1F-1CAD-45F4-BC7D-72404C1D3C4D}"/>
    <cellStyle name="20% - Accent6 2 5 2 2 5" xfId="16843" xr:uid="{979100CC-E716-4264-8577-54D072C967CD}"/>
    <cellStyle name="20% - Accent6 2 5 2 3" xfId="38818" xr:uid="{99AB6B50-073C-45C1-96F7-0D0883AAE8B3}"/>
    <cellStyle name="20% - Accent6 2 5 2 4" xfId="30370" xr:uid="{45DA68D8-EFE3-4FF3-85AC-13662B637802}"/>
    <cellStyle name="20% - Accent6 2 5 2 5" xfId="21923" xr:uid="{7A9F81B5-7CBE-4BC1-9E15-8E6374A769FC}"/>
    <cellStyle name="20% - Accent6 2 5 2 6" xfId="12626" xr:uid="{2D99BFDD-59A4-44A4-B3F3-87A48631E4CE}"/>
    <cellStyle name="20% - Accent6 2 5 3" xfId="5372" xr:uid="{00000000-0005-0000-0000-000066030000}"/>
    <cellStyle name="20% - Accent6 2 5 3 2" xfId="40890" xr:uid="{1FCDE04F-6D10-4F4F-B55E-9297E92027BF}"/>
    <cellStyle name="20% - Accent6 2 5 3 3" xfId="32443" xr:uid="{0F8C95DE-2F35-4CE7-A3CE-009AA304B95B}"/>
    <cellStyle name="20% - Accent6 2 5 3 4" xfId="23995" xr:uid="{0B6C730A-480B-42E2-A006-2E847B9A517E}"/>
    <cellStyle name="20% - Accent6 2 5 3 5" xfId="14698" xr:uid="{CD617A9A-AB9F-45B3-A34B-BCFE2284303F}"/>
    <cellStyle name="20% - Accent6 2 5 4" xfId="36673" xr:uid="{051FCA80-0FBD-4DEF-ADDA-358500A14183}"/>
    <cellStyle name="20% - Accent6 2 5 5" xfId="28225" xr:uid="{D1AE430C-BA4D-4A4B-8B61-DA9F5601BA88}"/>
    <cellStyle name="20% - Accent6 2 5 6" xfId="19778" xr:uid="{E2DBA1EA-0D14-4B84-A8AD-85278D5B0A1E}"/>
    <cellStyle name="20% - Accent6 2 5 7" xfId="10481" xr:uid="{7C466755-EE1C-4400-A173-340E6C6E0FBD}"/>
    <cellStyle name="20% - Accent6 2 6" xfId="1478" xr:uid="{00000000-0005-0000-0000-000067030000}"/>
    <cellStyle name="20% - Accent6 2 6 2" xfId="3708" xr:uid="{00000000-0005-0000-0000-000068030000}"/>
    <cellStyle name="20% - Accent6 2 6 2 2" xfId="7930" xr:uid="{00000000-0005-0000-0000-000069030000}"/>
    <cellStyle name="20% - Accent6 2 6 2 2 2" xfId="43448" xr:uid="{C0526BB8-75B3-49AF-BE8D-E7DCB7F6ABBA}"/>
    <cellStyle name="20% - Accent6 2 6 2 2 3" xfId="35001" xr:uid="{6C1CAE61-1B62-4EBC-8F89-66301172D2FE}"/>
    <cellStyle name="20% - Accent6 2 6 2 2 4" xfId="26553" xr:uid="{A80E4045-9DC4-4EA1-8B1C-7A98269EC12C}"/>
    <cellStyle name="20% - Accent6 2 6 2 2 5" xfId="17256" xr:uid="{53027950-A5F4-480D-8517-2EC69119F720}"/>
    <cellStyle name="20% - Accent6 2 6 2 3" xfId="39231" xr:uid="{09ADE19C-F007-4904-905E-7660D09DDEFD}"/>
    <cellStyle name="20% - Accent6 2 6 2 4" xfId="30783" xr:uid="{1E0FB7D7-0844-4CE7-9A5F-86664044B040}"/>
    <cellStyle name="20% - Accent6 2 6 2 5" xfId="22336" xr:uid="{A1700B29-9596-41F8-8DF0-648A83D0FF57}"/>
    <cellStyle name="20% - Accent6 2 6 2 6" xfId="13039" xr:uid="{811C5F8F-0A3E-4D60-88B8-027E20487BEA}"/>
    <cellStyle name="20% - Accent6 2 6 3" xfId="5785" xr:uid="{00000000-0005-0000-0000-00006A030000}"/>
    <cellStyle name="20% - Accent6 2 6 3 2" xfId="41303" xr:uid="{6ACEBED8-0F90-4CEF-925A-94549D9A7284}"/>
    <cellStyle name="20% - Accent6 2 6 3 3" xfId="32856" xr:uid="{B011CC51-B7CE-41FD-85A1-A4A729F624D6}"/>
    <cellStyle name="20% - Accent6 2 6 3 4" xfId="24408" xr:uid="{E03BC586-E7B7-4D04-83B6-25099B2C9F87}"/>
    <cellStyle name="20% - Accent6 2 6 3 5" xfId="15111" xr:uid="{93597A0E-E725-49EE-A578-C35D7DA43F2A}"/>
    <cellStyle name="20% - Accent6 2 6 4" xfId="37086" xr:uid="{6162C264-DD3E-4E3A-A4A9-300C853A9E2D}"/>
    <cellStyle name="20% - Accent6 2 6 5" xfId="28638" xr:uid="{EDD74D71-B451-4411-9A6D-E8031F6B6721}"/>
    <cellStyle name="20% - Accent6 2 6 6" xfId="20191" xr:uid="{E2F162C7-9DCC-4A5A-8A74-4AC14DBD7C32}"/>
    <cellStyle name="20% - Accent6 2 6 7" xfId="10894" xr:uid="{42B16A10-6D5E-4663-9F4C-1EE059064C73}"/>
    <cellStyle name="20% - Accent6 2 7" xfId="1892" xr:uid="{00000000-0005-0000-0000-00006B030000}"/>
    <cellStyle name="20% - Accent6 2 7 2" xfId="4121" xr:uid="{00000000-0005-0000-0000-00006C030000}"/>
    <cellStyle name="20% - Accent6 2 7 2 2" xfId="8343" xr:uid="{00000000-0005-0000-0000-00006D030000}"/>
    <cellStyle name="20% - Accent6 2 7 2 2 2" xfId="43861" xr:uid="{28737BD5-5D24-44BE-AB2B-37AB94629B2A}"/>
    <cellStyle name="20% - Accent6 2 7 2 2 3" xfId="35414" xr:uid="{3FCB0B4A-CECF-4585-8CB7-87A5EEDBA706}"/>
    <cellStyle name="20% - Accent6 2 7 2 2 4" xfId="26966" xr:uid="{A0581F0E-C8E2-4360-9C8D-B8C6BE9C2281}"/>
    <cellStyle name="20% - Accent6 2 7 2 2 5" xfId="17669" xr:uid="{D9E229E1-1CD0-4D8A-8704-C2087283AC12}"/>
    <cellStyle name="20% - Accent6 2 7 2 3" xfId="39644" xr:uid="{743DE36A-58EC-424C-89EB-970EF89CFFF3}"/>
    <cellStyle name="20% - Accent6 2 7 2 4" xfId="31196" xr:uid="{C922F477-BDAA-441A-A832-C8D88738DDF6}"/>
    <cellStyle name="20% - Accent6 2 7 2 5" xfId="22749" xr:uid="{460D2F42-A36A-4E73-B255-8EB1346B854D}"/>
    <cellStyle name="20% - Accent6 2 7 2 6" xfId="13452" xr:uid="{594C54E4-4F73-45F8-B6DF-8E7988331C34}"/>
    <cellStyle name="20% - Accent6 2 7 3" xfId="6198" xr:uid="{00000000-0005-0000-0000-00006E030000}"/>
    <cellStyle name="20% - Accent6 2 7 3 2" xfId="41716" xr:uid="{E6EA83F5-6A5C-4150-A1E9-A1EB4065A9AE}"/>
    <cellStyle name="20% - Accent6 2 7 3 3" xfId="33269" xr:uid="{32EECC05-BB2B-48C9-91BC-EC45E5BFD2D2}"/>
    <cellStyle name="20% - Accent6 2 7 3 4" xfId="24821" xr:uid="{06FA0465-B6EB-4AC1-98DF-9319FE4BE8D6}"/>
    <cellStyle name="20% - Accent6 2 7 3 5" xfId="15524" xr:uid="{36E754C5-3B0C-4C98-B949-3D21C1D6C7E1}"/>
    <cellStyle name="20% - Accent6 2 7 4" xfId="37499" xr:uid="{A3BD6D88-851B-4782-9AED-69A6EA428A71}"/>
    <cellStyle name="20% - Accent6 2 7 5" xfId="29051" xr:uid="{D9411E5D-5179-4183-A6BF-DC982B0BB4E1}"/>
    <cellStyle name="20% - Accent6 2 7 6" xfId="20604" xr:uid="{86688C96-1455-43A7-B837-3C5EB6C72B04}"/>
    <cellStyle name="20% - Accent6 2 7 7" xfId="11307" xr:uid="{44D48D84-D092-443C-A368-6AFB67853DA6}"/>
    <cellStyle name="20% - Accent6 2 8" xfId="2305" xr:uid="{00000000-0005-0000-0000-00006F030000}"/>
    <cellStyle name="20% - Accent6 2 8 2" xfId="6611" xr:uid="{00000000-0005-0000-0000-000070030000}"/>
    <cellStyle name="20% - Accent6 2 8 2 2" xfId="42129" xr:uid="{9A97E990-215B-4809-8B89-1773B7427E8F}"/>
    <cellStyle name="20% - Accent6 2 8 2 3" xfId="33682" xr:uid="{C597220F-BE80-460F-8149-B08BF508F02F}"/>
    <cellStyle name="20% - Accent6 2 8 2 4" xfId="25234" xr:uid="{26E4CAE4-53B1-4479-9DE6-CCC93CD8C130}"/>
    <cellStyle name="20% - Accent6 2 8 2 5" xfId="15937" xr:uid="{4DA0D2C5-4204-4A71-9D8B-A9C965224A07}"/>
    <cellStyle name="20% - Accent6 2 8 3" xfId="37912" xr:uid="{6C0A68E4-96C8-464D-8AAE-B6640EC35E95}"/>
    <cellStyle name="20% - Accent6 2 8 4" xfId="29464" xr:uid="{4A3BCFE1-B537-4555-AC6B-F5029FAFCA5C}"/>
    <cellStyle name="20% - Accent6 2 8 5" xfId="21017" xr:uid="{24087189-8C06-46D3-A2D0-8893ADB49457}"/>
    <cellStyle name="20% - Accent6 2 8 6" xfId="11720" xr:uid="{3D46CD31-1439-4A59-A0A3-81BC9322F45A}"/>
    <cellStyle name="20% - Accent6 2 9" xfId="4545" xr:uid="{00000000-0005-0000-0000-000071030000}"/>
    <cellStyle name="20% - Accent6 2 9 2" xfId="40063" xr:uid="{DB4B2EFF-0617-431E-BF51-80D3AAB8642A}"/>
    <cellStyle name="20% - Accent6 2 9 3" xfId="31616" xr:uid="{26E92D66-84EA-4170-ACAF-EA1CEE56E7C1}"/>
    <cellStyle name="20% - Accent6 2 9 4" xfId="23168" xr:uid="{0E245466-2638-4CB6-AD88-A29C030E3060}"/>
    <cellStyle name="20% - Accent6 2 9 5" xfId="13871" xr:uid="{B78ED66B-AF3C-4C61-A130-C4863E6056D1}"/>
    <cellStyle name="20% - Accent6 3" xfId="46" xr:uid="{00000000-0005-0000-0000-000072030000}"/>
    <cellStyle name="20% - Accent6 3 10" xfId="27402" xr:uid="{AD890B56-E3CA-4181-88A3-753719C70800}"/>
    <cellStyle name="20% - Accent6 3 11" xfId="18955" xr:uid="{F09907FF-B2DD-40EB-88AB-D7AAA34D0B37}"/>
    <cellStyle name="20% - Accent6 3 12" xfId="9658" xr:uid="{39D5BD83-5CB0-4A15-A04F-14806AA8D017}"/>
    <cellStyle name="20% - Accent6 3 2" xfId="47" xr:uid="{00000000-0005-0000-0000-000073030000}"/>
    <cellStyle name="20% - Accent6 3 2 10" xfId="18956" xr:uid="{720F7CD6-BDB5-4F96-95DD-6A4FBB2EB219}"/>
    <cellStyle name="20% - Accent6 3 2 11" xfId="9659" xr:uid="{1F61C642-E274-4818-A801-EEFF6390EC33}"/>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42627" xr:uid="{98A725B2-F4F2-402E-AE49-F167D1DFB861}"/>
    <cellStyle name="20% - Accent6 3 2 2 2 2 3" xfId="34180" xr:uid="{ACC83FFD-601C-47EB-B8D1-A29B869D9416}"/>
    <cellStyle name="20% - Accent6 3 2 2 2 2 4" xfId="25732" xr:uid="{3C38E10B-EF5D-4261-92EB-CEB659B32043}"/>
    <cellStyle name="20% - Accent6 3 2 2 2 2 5" xfId="16435" xr:uid="{C25AC185-7161-49E9-B1E7-1F9DF635C74F}"/>
    <cellStyle name="20% - Accent6 3 2 2 2 3" xfId="38410" xr:uid="{6441667F-9C5A-4E16-A714-CBE068AA2F82}"/>
    <cellStyle name="20% - Accent6 3 2 2 2 4" xfId="29962" xr:uid="{BAD4018B-73BC-4AC2-A247-CEAFCDCA77A5}"/>
    <cellStyle name="20% - Accent6 3 2 2 2 5" xfId="21515" xr:uid="{4761BF67-9389-46EE-BC96-20DCCBECAFC6}"/>
    <cellStyle name="20% - Accent6 3 2 2 2 6" xfId="12218" xr:uid="{C34CEA68-A38B-45F5-99B4-56D6B24B2EDD}"/>
    <cellStyle name="20% - Accent6 3 2 2 3" xfId="4964" xr:uid="{00000000-0005-0000-0000-000077030000}"/>
    <cellStyle name="20% - Accent6 3 2 2 3 2" xfId="40482" xr:uid="{5173469E-7CCF-4779-A6F8-E4E22E0FC4DA}"/>
    <cellStyle name="20% - Accent6 3 2 2 3 3" xfId="32035" xr:uid="{FE75A808-1B27-4C8D-ACDC-61925D3E3276}"/>
    <cellStyle name="20% - Accent6 3 2 2 3 4" xfId="23587" xr:uid="{85D3FB3E-0CBA-4C34-AE5B-C471858DF258}"/>
    <cellStyle name="20% - Accent6 3 2 2 3 5" xfId="14290" xr:uid="{447F2355-9DB3-4135-90A5-8A7CDA27EC5B}"/>
    <cellStyle name="20% - Accent6 3 2 2 4" xfId="9503" xr:uid="{A5A3EDF8-16EA-4A86-8795-C3BA46FE244A}"/>
    <cellStyle name="20% - Accent6 3 2 2 4 2" xfId="36265" xr:uid="{B19459D9-0111-449D-86B3-4C007E4A4784}"/>
    <cellStyle name="20% - Accent6 3 2 2 4 3" xfId="18816" xr:uid="{77FF83AB-9349-444F-8F46-0F93CB22DAB4}"/>
    <cellStyle name="20% - Accent6 3 2 2 5" xfId="27817" xr:uid="{B3AA1B76-B076-4CF2-9371-FCD986E39B38}"/>
    <cellStyle name="20% - Accent6 3 2 2 6" xfId="19370" xr:uid="{FC8C2DBC-C74E-4647-BC5F-35A3724AFDDE}"/>
    <cellStyle name="20% - Accent6 3 2 2 7" xfId="10073" xr:uid="{2C4EF39E-15CE-492C-AAD8-89F1D5245442}"/>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43040" xr:uid="{D21A48C3-26F0-45CD-BDF0-38245F5C041D}"/>
    <cellStyle name="20% - Accent6 3 2 3 2 2 3" xfId="34593" xr:uid="{E78EF48B-77B6-4790-9AB5-BEC28C884FB8}"/>
    <cellStyle name="20% - Accent6 3 2 3 2 2 4" xfId="26145" xr:uid="{3C197B8E-6F42-4021-828E-2134D0AC8D38}"/>
    <cellStyle name="20% - Accent6 3 2 3 2 2 5" xfId="16848" xr:uid="{46330744-A682-4F43-9191-0A969A90948E}"/>
    <cellStyle name="20% - Accent6 3 2 3 2 3" xfId="38823" xr:uid="{042B33CC-9695-4F4B-8ADD-2168C74EA153}"/>
    <cellStyle name="20% - Accent6 3 2 3 2 4" xfId="30375" xr:uid="{86EFED6B-12F1-4024-92EC-A4E885E359DC}"/>
    <cellStyle name="20% - Accent6 3 2 3 2 5" xfId="21928" xr:uid="{F7F0557A-EBD9-4889-B0B8-17CB38157E83}"/>
    <cellStyle name="20% - Accent6 3 2 3 2 6" xfId="12631" xr:uid="{93C3F28A-093E-4F46-B5A9-8710E6BB1C75}"/>
    <cellStyle name="20% - Accent6 3 2 3 3" xfId="5377" xr:uid="{00000000-0005-0000-0000-00007B030000}"/>
    <cellStyle name="20% - Accent6 3 2 3 3 2" xfId="40895" xr:uid="{4F02FA58-D9DC-482A-9D2B-9829E96C12D7}"/>
    <cellStyle name="20% - Accent6 3 2 3 3 3" xfId="32448" xr:uid="{D040D95E-4813-407E-A722-6107353F27F1}"/>
    <cellStyle name="20% - Accent6 3 2 3 3 4" xfId="24000" xr:uid="{7CCE2F83-D0E2-47DE-BE3F-AC9FB71CE706}"/>
    <cellStyle name="20% - Accent6 3 2 3 3 5" xfId="14703" xr:uid="{B83AAF8E-9BFE-42C8-974B-2E53A4768574}"/>
    <cellStyle name="20% - Accent6 3 2 3 4" xfId="36678" xr:uid="{41256632-BA49-4F8E-8053-17F7E8533C92}"/>
    <cellStyle name="20% - Accent6 3 2 3 5" xfId="28230" xr:uid="{E36F2D66-FD41-4E22-8FF9-897688475641}"/>
    <cellStyle name="20% - Accent6 3 2 3 6" xfId="19783" xr:uid="{3CA101E5-86FD-4E4C-BCA3-86885B97F2E8}"/>
    <cellStyle name="20% - Accent6 3 2 3 7" xfId="10486" xr:uid="{3488E910-2450-45D3-92F8-D3AF8EB53EBA}"/>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43453" xr:uid="{630CBC46-A0F7-4576-B766-DDE3A19EE377}"/>
    <cellStyle name="20% - Accent6 3 2 4 2 2 3" xfId="35006" xr:uid="{2F8B60BD-7FCD-41BF-8F33-9237268C1B4D}"/>
    <cellStyle name="20% - Accent6 3 2 4 2 2 4" xfId="26558" xr:uid="{09BB3191-CA90-4D35-91A9-2C24FF39E711}"/>
    <cellStyle name="20% - Accent6 3 2 4 2 2 5" xfId="17261" xr:uid="{21666B52-40A8-47C9-A931-086CB7156E3C}"/>
    <cellStyle name="20% - Accent6 3 2 4 2 3" xfId="39236" xr:uid="{8DC77059-7AB0-4B1F-8427-B2DEF5079A8A}"/>
    <cellStyle name="20% - Accent6 3 2 4 2 4" xfId="30788" xr:uid="{71BE22C1-7C0C-4244-B654-CEE3AA4B2283}"/>
    <cellStyle name="20% - Accent6 3 2 4 2 5" xfId="22341" xr:uid="{741CC585-82D8-4AB2-B354-06A94C21C38A}"/>
    <cellStyle name="20% - Accent6 3 2 4 2 6" xfId="13044" xr:uid="{1FB12A95-1860-47E2-9AF5-6D6EF3774BC9}"/>
    <cellStyle name="20% - Accent6 3 2 4 3" xfId="5790" xr:uid="{00000000-0005-0000-0000-00007F030000}"/>
    <cellStyle name="20% - Accent6 3 2 4 3 2" xfId="41308" xr:uid="{C9CACB96-6A74-4C04-ACD0-02A36E4900C1}"/>
    <cellStyle name="20% - Accent6 3 2 4 3 3" xfId="32861" xr:uid="{0DD6359A-2A98-48F9-8B83-C971CC0FE9DC}"/>
    <cellStyle name="20% - Accent6 3 2 4 3 4" xfId="24413" xr:uid="{578D71D7-5D60-4BE6-A028-4DDF0946207F}"/>
    <cellStyle name="20% - Accent6 3 2 4 3 5" xfId="15116" xr:uid="{B6A77B3C-B1D9-4BB1-A23D-B3DEC25A1A6F}"/>
    <cellStyle name="20% - Accent6 3 2 4 4" xfId="37091" xr:uid="{B11537C1-390F-461C-A385-C8FFEE398547}"/>
    <cellStyle name="20% - Accent6 3 2 4 5" xfId="28643" xr:uid="{3AE0A526-0AA4-4827-A010-98BD7F2FB391}"/>
    <cellStyle name="20% - Accent6 3 2 4 6" xfId="20196" xr:uid="{80F16609-4CC8-47C5-B6EC-F275C460367D}"/>
    <cellStyle name="20% - Accent6 3 2 4 7" xfId="10899" xr:uid="{8871D60F-C9B3-43BD-81E1-6905D1650719}"/>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43866" xr:uid="{43F0A9BB-5C97-4D1C-8AD0-7E7FCE3A0778}"/>
    <cellStyle name="20% - Accent6 3 2 5 2 2 3" xfId="35419" xr:uid="{B856645D-5EDF-419A-9B55-BA847594564C}"/>
    <cellStyle name="20% - Accent6 3 2 5 2 2 4" xfId="26971" xr:uid="{5DF900D1-CFDD-4926-AC50-25BBE02B1CDD}"/>
    <cellStyle name="20% - Accent6 3 2 5 2 2 5" xfId="17674" xr:uid="{1F67F138-8A18-4BAD-8630-2703A8A16721}"/>
    <cellStyle name="20% - Accent6 3 2 5 2 3" xfId="39649" xr:uid="{3F243F3F-03C3-49A3-8E48-6BC515F62936}"/>
    <cellStyle name="20% - Accent6 3 2 5 2 4" xfId="31201" xr:uid="{CF398694-540C-4853-B15E-78D198FC61BB}"/>
    <cellStyle name="20% - Accent6 3 2 5 2 5" xfId="22754" xr:uid="{B4D638B7-E6B6-4B74-8C74-5CCA18EF3040}"/>
    <cellStyle name="20% - Accent6 3 2 5 2 6" xfId="13457" xr:uid="{D5BE5C38-9190-4CE7-8072-96B9B4C68451}"/>
    <cellStyle name="20% - Accent6 3 2 5 3" xfId="6203" xr:uid="{00000000-0005-0000-0000-000083030000}"/>
    <cellStyle name="20% - Accent6 3 2 5 3 2" xfId="41721" xr:uid="{6AA5B98D-035F-402D-B1AE-7F4F90C0FDEC}"/>
    <cellStyle name="20% - Accent6 3 2 5 3 3" xfId="33274" xr:uid="{FC46BE45-3186-414D-ABA2-B68C7B600008}"/>
    <cellStyle name="20% - Accent6 3 2 5 3 4" xfId="24826" xr:uid="{169266BF-5E3F-46F1-957B-3503A1DCB4EC}"/>
    <cellStyle name="20% - Accent6 3 2 5 3 5" xfId="15529" xr:uid="{AE89A793-4014-413D-8E5C-32C51686871B}"/>
    <cellStyle name="20% - Accent6 3 2 5 4" xfId="37504" xr:uid="{2B1010F1-BCC1-4FE5-A64C-6DE17566F028}"/>
    <cellStyle name="20% - Accent6 3 2 5 5" xfId="29056" xr:uid="{151DA690-B237-406B-93B7-173C4F6D83AB}"/>
    <cellStyle name="20% - Accent6 3 2 5 6" xfId="20609" xr:uid="{97889072-9D29-474C-B4E9-5ED06C52CD26}"/>
    <cellStyle name="20% - Accent6 3 2 5 7" xfId="11312" xr:uid="{52754A8A-FF2F-4257-B450-115EA6FE8E24}"/>
    <cellStyle name="20% - Accent6 3 2 6" xfId="2310" xr:uid="{00000000-0005-0000-0000-000084030000}"/>
    <cellStyle name="20% - Accent6 3 2 6 2" xfId="6616" xr:uid="{00000000-0005-0000-0000-000085030000}"/>
    <cellStyle name="20% - Accent6 3 2 6 2 2" xfId="42134" xr:uid="{E8D57E72-AE0F-4D66-B1AE-3A522DE92825}"/>
    <cellStyle name="20% - Accent6 3 2 6 2 3" xfId="33687" xr:uid="{9CEEF39F-D969-4144-A64B-03C687BC9A6F}"/>
    <cellStyle name="20% - Accent6 3 2 6 2 4" xfId="25239" xr:uid="{025AB6E2-DFEF-4DB4-8B11-A413C9F2320A}"/>
    <cellStyle name="20% - Accent6 3 2 6 2 5" xfId="15942" xr:uid="{4D7A22BD-214A-4F2F-ADC5-2C552D493CA4}"/>
    <cellStyle name="20% - Accent6 3 2 6 3" xfId="37917" xr:uid="{F7932307-C68D-45FC-B670-DAE5EB7D4470}"/>
    <cellStyle name="20% - Accent6 3 2 6 4" xfId="29469" xr:uid="{5F247114-F764-4902-A6FC-9776D25071C9}"/>
    <cellStyle name="20% - Accent6 3 2 6 5" xfId="21022" xr:uid="{B590EE54-0CF7-4505-A4B6-82B7B05237B2}"/>
    <cellStyle name="20% - Accent6 3 2 6 6" xfId="11725" xr:uid="{64A38599-9B7A-4DF9-84E8-F4FFD100F268}"/>
    <cellStyle name="20% - Accent6 3 2 7" xfId="4550" xr:uid="{00000000-0005-0000-0000-000086030000}"/>
    <cellStyle name="20% - Accent6 3 2 7 2" xfId="40068" xr:uid="{494BD7A1-27EA-497C-A651-DDEE8D798CE3}"/>
    <cellStyle name="20% - Accent6 3 2 7 3" xfId="31621" xr:uid="{7BEC1199-E3FE-4E16-A05E-D1A8097CE198}"/>
    <cellStyle name="20% - Accent6 3 2 7 4" xfId="23173" xr:uid="{587B0631-A925-491B-8202-D9F4190D175A}"/>
    <cellStyle name="20% - Accent6 3 2 7 5" xfId="13876" xr:uid="{F349AFB4-BF66-4172-82B7-FBCC37EC18F5}"/>
    <cellStyle name="20% - Accent6 3 2 8" xfId="9078" xr:uid="{55C63253-C10A-44F0-A9A1-D3E9AD1B1E77}"/>
    <cellStyle name="20% - Accent6 3 2 8 2" xfId="35851" xr:uid="{BB76F965-C214-4EF5-A90C-559EB1735B0A}"/>
    <cellStyle name="20% - Accent6 3 2 8 3" xfId="18401" xr:uid="{2ECB77FC-91E1-43FF-A8FA-B37B0BA5BA88}"/>
    <cellStyle name="20% - Accent6 3 2 9" xfId="27403" xr:uid="{B2A043F4-5DCF-4ACC-BF17-E8720E2ACA10}"/>
    <cellStyle name="20% - Accent6 3 3" xfId="615" xr:uid="{00000000-0005-0000-0000-000087030000}"/>
    <cellStyle name="20% - Accent6 3 3 2" xfId="2886" xr:uid="{00000000-0005-0000-0000-000088030000}"/>
    <cellStyle name="20% - Accent6 3 3 2 2" xfId="7108" xr:uid="{00000000-0005-0000-0000-000089030000}"/>
    <cellStyle name="20% - Accent6 3 3 2 2 2" xfId="42626" xr:uid="{C3D6B5DB-E8F2-4E6F-A971-52257AE3AD60}"/>
    <cellStyle name="20% - Accent6 3 3 2 2 3" xfId="34179" xr:uid="{7B5B1327-8579-4C56-A11A-8BDA8906B2BB}"/>
    <cellStyle name="20% - Accent6 3 3 2 2 4" xfId="25731" xr:uid="{B7090025-FB81-455E-A590-948D8732ED78}"/>
    <cellStyle name="20% - Accent6 3 3 2 2 5" xfId="16434" xr:uid="{B1A9FA84-0CAB-4047-9CDC-FC61C761B3EC}"/>
    <cellStyle name="20% - Accent6 3 3 2 3" xfId="38409" xr:uid="{E6821AA4-CD52-48F2-8527-B4EF2EA2652F}"/>
    <cellStyle name="20% - Accent6 3 3 2 4" xfId="29961" xr:uid="{3471EEC3-25B6-4BFB-AD31-B831C8970AC8}"/>
    <cellStyle name="20% - Accent6 3 3 2 5" xfId="21514" xr:uid="{B4653FF5-EFAB-4AD9-A1A2-4825A9AFD90C}"/>
    <cellStyle name="20% - Accent6 3 3 2 6" xfId="12217" xr:uid="{FA92300F-F058-4876-BDEC-3C58220A4DA1}"/>
    <cellStyle name="20% - Accent6 3 3 3" xfId="4963" xr:uid="{00000000-0005-0000-0000-00008A030000}"/>
    <cellStyle name="20% - Accent6 3 3 3 2" xfId="40481" xr:uid="{A220357B-DC7C-4AA1-A984-AC6EE63B033C}"/>
    <cellStyle name="20% - Accent6 3 3 3 3" xfId="32034" xr:uid="{0259AE88-939D-4CBC-AECB-35DE37AC1DC0}"/>
    <cellStyle name="20% - Accent6 3 3 3 4" xfId="23586" xr:uid="{8D4CD002-72E1-4EE7-9855-C80B559E214E}"/>
    <cellStyle name="20% - Accent6 3 3 3 5" xfId="14289" xr:uid="{DBBD19FE-81D3-4135-AE40-8E54E86F98E9}"/>
    <cellStyle name="20% - Accent6 3 3 4" xfId="9296" xr:uid="{68DBDAD1-945F-459A-93CE-56D312D1EDE4}"/>
    <cellStyle name="20% - Accent6 3 3 4 2" xfId="36264" xr:uid="{5BA43E9A-B014-42B5-8B0D-34744B399755}"/>
    <cellStyle name="20% - Accent6 3 3 4 3" xfId="18609" xr:uid="{555423C9-6CD4-4BD6-A61B-FBF8E2044319}"/>
    <cellStyle name="20% - Accent6 3 3 5" xfId="27816" xr:uid="{0E46B0FF-B2C8-4313-B721-CC6157202B1B}"/>
    <cellStyle name="20% - Accent6 3 3 6" xfId="19369" xr:uid="{1D5024FE-526C-4A03-A1AB-6AB2C712C482}"/>
    <cellStyle name="20% - Accent6 3 3 7" xfId="10072" xr:uid="{904757C6-3905-4D02-8354-07EDF3D6AB1B}"/>
    <cellStyle name="20% - Accent6 3 4" xfId="1068" xr:uid="{00000000-0005-0000-0000-00008B030000}"/>
    <cellStyle name="20% - Accent6 3 4 2" xfId="3299" xr:uid="{00000000-0005-0000-0000-00008C030000}"/>
    <cellStyle name="20% - Accent6 3 4 2 2" xfId="7521" xr:uid="{00000000-0005-0000-0000-00008D030000}"/>
    <cellStyle name="20% - Accent6 3 4 2 2 2" xfId="43039" xr:uid="{626FBE71-26FC-4AFE-88D1-BB9801EC214B}"/>
    <cellStyle name="20% - Accent6 3 4 2 2 3" xfId="34592" xr:uid="{151001EC-A3FE-4B6C-B8B3-BFF2D4F8FF6A}"/>
    <cellStyle name="20% - Accent6 3 4 2 2 4" xfId="26144" xr:uid="{AD2FBD00-53A2-4A12-AFAE-BF41321878E5}"/>
    <cellStyle name="20% - Accent6 3 4 2 2 5" xfId="16847" xr:uid="{A4CCE1FF-57FD-487D-B979-CBA5FFAA81A1}"/>
    <cellStyle name="20% - Accent6 3 4 2 3" xfId="38822" xr:uid="{6A8A15A0-C1F2-4CD8-84D7-E4091F811562}"/>
    <cellStyle name="20% - Accent6 3 4 2 4" xfId="30374" xr:uid="{5508DF73-0C8F-40EC-9642-9B452200860E}"/>
    <cellStyle name="20% - Accent6 3 4 2 5" xfId="21927" xr:uid="{A667E471-5BE0-4358-B5DA-4A52D28C665A}"/>
    <cellStyle name="20% - Accent6 3 4 2 6" xfId="12630" xr:uid="{0B4324F4-7BB2-450C-828B-84A3BD2C6CDE}"/>
    <cellStyle name="20% - Accent6 3 4 3" xfId="5376" xr:uid="{00000000-0005-0000-0000-00008E030000}"/>
    <cellStyle name="20% - Accent6 3 4 3 2" xfId="40894" xr:uid="{F1088F7C-000F-4180-9CFA-DA2509992CE4}"/>
    <cellStyle name="20% - Accent6 3 4 3 3" xfId="32447" xr:uid="{CCD8E0B4-1C9A-4A05-8D69-F3E94B3A098C}"/>
    <cellStyle name="20% - Accent6 3 4 3 4" xfId="23999" xr:uid="{117DD47F-B615-4E4E-9447-8BB8D1D3BA85}"/>
    <cellStyle name="20% - Accent6 3 4 3 5" xfId="14702" xr:uid="{B1E91DEB-A4B8-4F53-9215-558634A2088D}"/>
    <cellStyle name="20% - Accent6 3 4 4" xfId="36677" xr:uid="{2E00713E-0109-4F3B-8FDA-6A90A6BE7335}"/>
    <cellStyle name="20% - Accent6 3 4 5" xfId="28229" xr:uid="{F23815BD-0AB4-40A9-A8FB-BE94C5831842}"/>
    <cellStyle name="20% - Accent6 3 4 6" xfId="19782" xr:uid="{9C5D7AB2-409E-4E08-B959-3E707C228A2F}"/>
    <cellStyle name="20% - Accent6 3 4 7" xfId="10485" xr:uid="{1CCCBBD4-F979-4E0F-889E-6F97A9EB2330}"/>
    <cellStyle name="20% - Accent6 3 5" xfId="1482" xr:uid="{00000000-0005-0000-0000-00008F030000}"/>
    <cellStyle name="20% - Accent6 3 5 2" xfId="3712" xr:uid="{00000000-0005-0000-0000-000090030000}"/>
    <cellStyle name="20% - Accent6 3 5 2 2" xfId="7934" xr:uid="{00000000-0005-0000-0000-000091030000}"/>
    <cellStyle name="20% - Accent6 3 5 2 2 2" xfId="43452" xr:uid="{894FCBE1-4FE6-4DC6-93D2-944AC344B5C0}"/>
    <cellStyle name="20% - Accent6 3 5 2 2 3" xfId="35005" xr:uid="{D683D3AD-4E2F-4EC1-BF4A-CC5DF567D88B}"/>
    <cellStyle name="20% - Accent6 3 5 2 2 4" xfId="26557" xr:uid="{FC8936C5-29C0-4634-A51E-447961A66FCD}"/>
    <cellStyle name="20% - Accent6 3 5 2 2 5" xfId="17260" xr:uid="{BA12DF82-8BEF-4DB9-9304-C2587A6F561E}"/>
    <cellStyle name="20% - Accent6 3 5 2 3" xfId="39235" xr:uid="{7B294DE0-5D58-450A-93F5-E3531D0582A3}"/>
    <cellStyle name="20% - Accent6 3 5 2 4" xfId="30787" xr:uid="{2667BCB3-123C-4AD1-AF6B-D599C00D14EA}"/>
    <cellStyle name="20% - Accent6 3 5 2 5" xfId="22340" xr:uid="{D53BC7EE-BFB2-406F-9899-CC1FAD13615E}"/>
    <cellStyle name="20% - Accent6 3 5 2 6" xfId="13043" xr:uid="{F4356893-5402-4111-8E4E-E508F388ED44}"/>
    <cellStyle name="20% - Accent6 3 5 3" xfId="5789" xr:uid="{00000000-0005-0000-0000-000092030000}"/>
    <cellStyle name="20% - Accent6 3 5 3 2" xfId="41307" xr:uid="{43F0BD71-D160-490C-BAA3-20A619D0F8C5}"/>
    <cellStyle name="20% - Accent6 3 5 3 3" xfId="32860" xr:uid="{E91FC828-7193-4DC7-BA98-39F334CD4A52}"/>
    <cellStyle name="20% - Accent6 3 5 3 4" xfId="24412" xr:uid="{E780EAA3-563C-48DC-A881-C246FC82F6D7}"/>
    <cellStyle name="20% - Accent6 3 5 3 5" xfId="15115" xr:uid="{B6001CAE-97E0-423F-8496-61A9727D56CE}"/>
    <cellStyle name="20% - Accent6 3 5 4" xfId="37090" xr:uid="{FA7AE082-C89F-49A2-8628-6AF7E3BD7A83}"/>
    <cellStyle name="20% - Accent6 3 5 5" xfId="28642" xr:uid="{D2CD068D-74FE-4110-8AA7-50E4EF3B3312}"/>
    <cellStyle name="20% - Accent6 3 5 6" xfId="20195" xr:uid="{5EB3522A-1CD1-4530-AA3B-C0610E048428}"/>
    <cellStyle name="20% - Accent6 3 5 7" xfId="10898" xr:uid="{65C511A2-9CF6-4B65-A10E-EA4DF1B8F79F}"/>
    <cellStyle name="20% - Accent6 3 6" xfId="1896" xr:uid="{00000000-0005-0000-0000-000093030000}"/>
    <cellStyle name="20% - Accent6 3 6 2" xfId="4125" xr:uid="{00000000-0005-0000-0000-000094030000}"/>
    <cellStyle name="20% - Accent6 3 6 2 2" xfId="8347" xr:uid="{00000000-0005-0000-0000-000095030000}"/>
    <cellStyle name="20% - Accent6 3 6 2 2 2" xfId="43865" xr:uid="{41CCBFDC-DE95-4697-A5AE-5CDC04B46844}"/>
    <cellStyle name="20% - Accent6 3 6 2 2 3" xfId="35418" xr:uid="{EBD0E9D1-85A9-408F-8D80-953C5A08FDA1}"/>
    <cellStyle name="20% - Accent6 3 6 2 2 4" xfId="26970" xr:uid="{6E0E8E0C-A39F-4A1B-9B12-E9586352404C}"/>
    <cellStyle name="20% - Accent6 3 6 2 2 5" xfId="17673" xr:uid="{5A1B9C67-3EB2-4634-9944-159AE30D9109}"/>
    <cellStyle name="20% - Accent6 3 6 2 3" xfId="39648" xr:uid="{C01876C7-2C07-4A1D-8496-1F92838B55EA}"/>
    <cellStyle name="20% - Accent6 3 6 2 4" xfId="31200" xr:uid="{697B20D9-15E7-49DA-92D1-7B7B21B089BE}"/>
    <cellStyle name="20% - Accent6 3 6 2 5" xfId="22753" xr:uid="{01418B74-E62E-4C06-A1D5-E08DA41F741E}"/>
    <cellStyle name="20% - Accent6 3 6 2 6" xfId="13456" xr:uid="{25B63635-334E-411C-A8F8-9F30C366DB31}"/>
    <cellStyle name="20% - Accent6 3 6 3" xfId="6202" xr:uid="{00000000-0005-0000-0000-000096030000}"/>
    <cellStyle name="20% - Accent6 3 6 3 2" xfId="41720" xr:uid="{C7593F85-BA12-41D1-B681-A2C3B7D0068C}"/>
    <cellStyle name="20% - Accent6 3 6 3 3" xfId="33273" xr:uid="{57C48049-2CB8-4C29-9756-357BBD2E6841}"/>
    <cellStyle name="20% - Accent6 3 6 3 4" xfId="24825" xr:uid="{B6274302-9DF8-4376-B654-5C0437CD9341}"/>
    <cellStyle name="20% - Accent6 3 6 3 5" xfId="15528" xr:uid="{52C7E55D-AB8A-4BF0-B3F4-18CDE8A5857D}"/>
    <cellStyle name="20% - Accent6 3 6 4" xfId="37503" xr:uid="{A07BE3AE-EA28-4C50-A573-A15D292ED883}"/>
    <cellStyle name="20% - Accent6 3 6 5" xfId="29055" xr:uid="{AF3A61F3-164B-4D08-9528-43525B8985FB}"/>
    <cellStyle name="20% - Accent6 3 6 6" xfId="20608" xr:uid="{E19D83E7-9D4E-4546-AF74-929CAF149DD3}"/>
    <cellStyle name="20% - Accent6 3 6 7" xfId="11311" xr:uid="{280F1E40-29CE-4CA2-8EF2-A6889DD668CA}"/>
    <cellStyle name="20% - Accent6 3 7" xfId="2309" xr:uid="{00000000-0005-0000-0000-000097030000}"/>
    <cellStyle name="20% - Accent6 3 7 2" xfId="6615" xr:uid="{00000000-0005-0000-0000-000098030000}"/>
    <cellStyle name="20% - Accent6 3 7 2 2" xfId="42133" xr:uid="{E7626276-DFB8-4E80-B9C8-FAB55591CD0C}"/>
    <cellStyle name="20% - Accent6 3 7 2 3" xfId="33686" xr:uid="{AE1C0B04-1401-4DB5-A61F-CFA86B7993E3}"/>
    <cellStyle name="20% - Accent6 3 7 2 4" xfId="25238" xr:uid="{C572091D-DB90-4D6F-9A94-B871C7C28B6C}"/>
    <cellStyle name="20% - Accent6 3 7 2 5" xfId="15941" xr:uid="{64B871D1-0D20-459C-8142-5665FA3CE60C}"/>
    <cellStyle name="20% - Accent6 3 7 3" xfId="37916" xr:uid="{A275A9A5-BF3C-47D5-B6C6-8A5314E65725}"/>
    <cellStyle name="20% - Accent6 3 7 4" xfId="29468" xr:uid="{D8EABAA3-0014-4294-BE57-FEE5E52FDB49}"/>
    <cellStyle name="20% - Accent6 3 7 5" xfId="21021" xr:uid="{2012F848-746E-4F9C-BC96-023A82048DD4}"/>
    <cellStyle name="20% - Accent6 3 7 6" xfId="11724" xr:uid="{8A4C091E-7E83-4422-A26E-E63D981EFC6D}"/>
    <cellStyle name="20% - Accent6 3 8" xfId="4549" xr:uid="{00000000-0005-0000-0000-000099030000}"/>
    <cellStyle name="20% - Accent6 3 8 2" xfId="40067" xr:uid="{7662B88B-D124-42DF-9E46-2FD12CC2FD35}"/>
    <cellStyle name="20% - Accent6 3 8 3" xfId="31620" xr:uid="{0DDDEED7-2471-47C6-A355-14206ABF7CBE}"/>
    <cellStyle name="20% - Accent6 3 8 4" xfId="23172" xr:uid="{E77535C4-53B0-4C0E-8BE3-69F05BEBE8ED}"/>
    <cellStyle name="20% - Accent6 3 8 5" xfId="13875" xr:uid="{649E51E3-8613-49EE-BE81-DA30B2FE4970}"/>
    <cellStyle name="20% - Accent6 3 9" xfId="8871" xr:uid="{6A653046-C3D6-46DC-9DAA-DA1241CBE9F0}"/>
    <cellStyle name="20% - Accent6 3 9 2" xfId="35850" xr:uid="{12084E27-D410-44ED-BE81-364B0545D0D2}"/>
    <cellStyle name="20% - Accent6 3 9 3" xfId="18194" xr:uid="{ADBB544E-C4AE-4F60-BD91-D5253CE6F888}"/>
    <cellStyle name="20% - Accent6 4" xfId="48" xr:uid="{00000000-0005-0000-0000-00009A030000}"/>
    <cellStyle name="20% - Accent6 4 10" xfId="18957" xr:uid="{740EFE5F-01B3-4D15-9420-19FED259F5D3}"/>
    <cellStyle name="20% - Accent6 4 11" xfId="9660" xr:uid="{4465644D-88ED-4489-9983-DAD78B42D42C}"/>
    <cellStyle name="20% - Accent6 4 2" xfId="617" xr:uid="{00000000-0005-0000-0000-00009B030000}"/>
    <cellStyle name="20% - Accent6 4 2 2" xfId="2888" xr:uid="{00000000-0005-0000-0000-00009C030000}"/>
    <cellStyle name="20% - Accent6 4 2 2 2" xfId="7110" xr:uid="{00000000-0005-0000-0000-00009D030000}"/>
    <cellStyle name="20% - Accent6 4 2 2 2 2" xfId="42628" xr:uid="{B624D9AA-50A5-4C9C-91EC-C2F0184F3383}"/>
    <cellStyle name="20% - Accent6 4 2 2 2 3" xfId="34181" xr:uid="{163F2608-6FD8-48A5-A111-A0630F996541}"/>
    <cellStyle name="20% - Accent6 4 2 2 2 4" xfId="25733" xr:uid="{27984E69-F0BE-4B37-AE70-EEB57ECC0556}"/>
    <cellStyle name="20% - Accent6 4 2 2 2 5" xfId="16436" xr:uid="{6698EF27-D7F7-4640-BE14-7FD91EA3C5B5}"/>
    <cellStyle name="20% - Accent6 4 2 2 3" xfId="38411" xr:uid="{A002DA6F-30F8-4199-B87D-398C1E95B539}"/>
    <cellStyle name="20% - Accent6 4 2 2 4" xfId="29963" xr:uid="{7CFC1CE1-CA46-4F44-A06E-FEEEDC512E5A}"/>
    <cellStyle name="20% - Accent6 4 2 2 5" xfId="21516" xr:uid="{94506F1A-252D-4DF1-BEA2-E293BC3E080C}"/>
    <cellStyle name="20% - Accent6 4 2 2 6" xfId="12219" xr:uid="{2A8F9EF1-81A3-4762-8BE0-32DD63897367}"/>
    <cellStyle name="20% - Accent6 4 2 3" xfId="4965" xr:uid="{00000000-0005-0000-0000-00009E030000}"/>
    <cellStyle name="20% - Accent6 4 2 3 2" xfId="40483" xr:uid="{AFE5BDB5-CF87-4998-9AAD-E327CC828E69}"/>
    <cellStyle name="20% - Accent6 4 2 3 3" xfId="32036" xr:uid="{12C16B79-582E-464A-9950-7585F755C642}"/>
    <cellStyle name="20% - Accent6 4 2 3 4" xfId="23588" xr:uid="{F34AD6E5-9A57-49E3-B1EA-B2796B1FF346}"/>
    <cellStyle name="20% - Accent6 4 2 3 5" xfId="14291" xr:uid="{6968DF7E-8E04-4A0A-ADE3-8DEAA55DE30D}"/>
    <cellStyle name="20% - Accent6 4 2 4" xfId="9382" xr:uid="{704ED43C-A59A-4E80-A03F-B933767E3A55}"/>
    <cellStyle name="20% - Accent6 4 2 4 2" xfId="36266" xr:uid="{EE38442E-CFFC-418B-94C8-D0F9BF76420A}"/>
    <cellStyle name="20% - Accent6 4 2 4 3" xfId="18695" xr:uid="{293A07A4-D017-47ED-8A5D-4507694A15F4}"/>
    <cellStyle name="20% - Accent6 4 2 5" xfId="27818" xr:uid="{0BDB4317-6A30-408A-B86B-10FE5C1D2D50}"/>
    <cellStyle name="20% - Accent6 4 2 6" xfId="19371" xr:uid="{5E4E28BC-99C3-4B7B-8E97-8FD70E2E5D84}"/>
    <cellStyle name="20% - Accent6 4 2 7" xfId="10074" xr:uid="{2FB5D244-B4C8-4E75-B534-220BD95A63A6}"/>
    <cellStyle name="20% - Accent6 4 3" xfId="1070" xr:uid="{00000000-0005-0000-0000-00009F030000}"/>
    <cellStyle name="20% - Accent6 4 3 2" xfId="3301" xr:uid="{00000000-0005-0000-0000-0000A0030000}"/>
    <cellStyle name="20% - Accent6 4 3 2 2" xfId="7523" xr:uid="{00000000-0005-0000-0000-0000A1030000}"/>
    <cellStyle name="20% - Accent6 4 3 2 2 2" xfId="43041" xr:uid="{90553A94-405E-4CB0-BB84-6B824C1FED1D}"/>
    <cellStyle name="20% - Accent6 4 3 2 2 3" xfId="34594" xr:uid="{89A97B93-86E7-463E-90FF-A34FD1878ED4}"/>
    <cellStyle name="20% - Accent6 4 3 2 2 4" xfId="26146" xr:uid="{385FD091-1A4E-4C97-81A4-140D35230554}"/>
    <cellStyle name="20% - Accent6 4 3 2 2 5" xfId="16849" xr:uid="{BE50E81F-9F95-4AC1-8553-5D260D23913F}"/>
    <cellStyle name="20% - Accent6 4 3 2 3" xfId="38824" xr:uid="{2E1684AB-1D1D-4287-9CCF-6C9F0E61DB24}"/>
    <cellStyle name="20% - Accent6 4 3 2 4" xfId="30376" xr:uid="{4F22E835-C5BF-4E8F-9894-7A83E0BAD484}"/>
    <cellStyle name="20% - Accent6 4 3 2 5" xfId="21929" xr:uid="{8102706C-9BC6-4DE1-ABCA-784C4BCB692E}"/>
    <cellStyle name="20% - Accent6 4 3 2 6" xfId="12632" xr:uid="{53C8946B-2F00-44F8-B5C6-8ED73D18E2E9}"/>
    <cellStyle name="20% - Accent6 4 3 3" xfId="5378" xr:uid="{00000000-0005-0000-0000-0000A2030000}"/>
    <cellStyle name="20% - Accent6 4 3 3 2" xfId="40896" xr:uid="{1CEF353E-1B8A-4C8A-B7ED-007E12355563}"/>
    <cellStyle name="20% - Accent6 4 3 3 3" xfId="32449" xr:uid="{C07EB854-BB0B-49F9-9173-674B5BD7D651}"/>
    <cellStyle name="20% - Accent6 4 3 3 4" xfId="24001" xr:uid="{3A30352F-9F75-49B6-A2DF-589706405A7A}"/>
    <cellStyle name="20% - Accent6 4 3 3 5" xfId="14704" xr:uid="{6AE049A2-2EF5-49E3-B5D0-2F9ED944E5C1}"/>
    <cellStyle name="20% - Accent6 4 3 4" xfId="36679" xr:uid="{C775EB02-67D8-4377-BC6F-13F08B7ED318}"/>
    <cellStyle name="20% - Accent6 4 3 5" xfId="28231" xr:uid="{5547A0B7-D28C-466D-A8F1-2FD98F09E20D}"/>
    <cellStyle name="20% - Accent6 4 3 6" xfId="19784" xr:uid="{2A57DC28-19EB-4F08-9F20-B269A2D41C4D}"/>
    <cellStyle name="20% - Accent6 4 3 7" xfId="10487" xr:uid="{8AD118AD-47D3-4876-9EC9-6BE01E43DD28}"/>
    <cellStyle name="20% - Accent6 4 4" xfId="1484" xr:uid="{00000000-0005-0000-0000-0000A3030000}"/>
    <cellStyle name="20% - Accent6 4 4 2" xfId="3714" xr:uid="{00000000-0005-0000-0000-0000A4030000}"/>
    <cellStyle name="20% - Accent6 4 4 2 2" xfId="7936" xr:uid="{00000000-0005-0000-0000-0000A5030000}"/>
    <cellStyle name="20% - Accent6 4 4 2 2 2" xfId="43454" xr:uid="{E72E855E-E25C-4064-9F8D-77C3FB76853F}"/>
    <cellStyle name="20% - Accent6 4 4 2 2 3" xfId="35007" xr:uid="{A141BCE2-05C4-4891-A5D6-CF9494CD9784}"/>
    <cellStyle name="20% - Accent6 4 4 2 2 4" xfId="26559" xr:uid="{D8F9BCAB-7CF1-4497-A2B4-F3039DB6E057}"/>
    <cellStyle name="20% - Accent6 4 4 2 2 5" xfId="17262" xr:uid="{9BFE8F50-D646-4514-AC23-B0DF5339651D}"/>
    <cellStyle name="20% - Accent6 4 4 2 3" xfId="39237" xr:uid="{9293F4EB-3018-46FE-8895-DD472E644FBA}"/>
    <cellStyle name="20% - Accent6 4 4 2 4" xfId="30789" xr:uid="{51440E49-93BC-4FEF-965D-F02EF49B7327}"/>
    <cellStyle name="20% - Accent6 4 4 2 5" xfId="22342" xr:uid="{AFC4E3CF-62D7-4AD8-9D50-E5083E922097}"/>
    <cellStyle name="20% - Accent6 4 4 2 6" xfId="13045" xr:uid="{FE168194-BEF6-450D-8DE6-6A703F1E3BD1}"/>
    <cellStyle name="20% - Accent6 4 4 3" xfId="5791" xr:uid="{00000000-0005-0000-0000-0000A6030000}"/>
    <cellStyle name="20% - Accent6 4 4 3 2" xfId="41309" xr:uid="{266F6130-EF1E-4D81-9DD4-D8321504D94C}"/>
    <cellStyle name="20% - Accent6 4 4 3 3" xfId="32862" xr:uid="{954F1A64-90A7-4FB5-813A-1874DCDBD6F7}"/>
    <cellStyle name="20% - Accent6 4 4 3 4" xfId="24414" xr:uid="{A22B6EE6-CB62-4F78-AD23-70C4AD29FDE2}"/>
    <cellStyle name="20% - Accent6 4 4 3 5" xfId="15117" xr:uid="{8F42F775-A778-4EC6-A420-7B05814726BB}"/>
    <cellStyle name="20% - Accent6 4 4 4" xfId="37092" xr:uid="{ED31EBAD-39A8-49E3-B0F7-B1B8D7579563}"/>
    <cellStyle name="20% - Accent6 4 4 5" xfId="28644" xr:uid="{5083BC1E-E95B-4427-9DEB-3282F545B259}"/>
    <cellStyle name="20% - Accent6 4 4 6" xfId="20197" xr:uid="{170BA46D-49C2-4600-B96C-A851C5B0F798}"/>
    <cellStyle name="20% - Accent6 4 4 7" xfId="10900" xr:uid="{82AC1049-7A09-4163-AB4A-730104254310}"/>
    <cellStyle name="20% - Accent6 4 5" xfId="1898" xr:uid="{00000000-0005-0000-0000-0000A7030000}"/>
    <cellStyle name="20% - Accent6 4 5 2" xfId="4127" xr:uid="{00000000-0005-0000-0000-0000A8030000}"/>
    <cellStyle name="20% - Accent6 4 5 2 2" xfId="8349" xr:uid="{00000000-0005-0000-0000-0000A9030000}"/>
    <cellStyle name="20% - Accent6 4 5 2 2 2" xfId="43867" xr:uid="{EEB8A97C-68A5-49AF-8A5F-29DCB7343181}"/>
    <cellStyle name="20% - Accent6 4 5 2 2 3" xfId="35420" xr:uid="{CAD8D9C3-F41F-48AE-A7F8-9ED4AADAFDA9}"/>
    <cellStyle name="20% - Accent6 4 5 2 2 4" xfId="26972" xr:uid="{994A92F8-C2B2-48CE-8314-4B5655071220}"/>
    <cellStyle name="20% - Accent6 4 5 2 2 5" xfId="17675" xr:uid="{C6A76071-3C61-4FDC-B960-E0CC82BAF5BF}"/>
    <cellStyle name="20% - Accent6 4 5 2 3" xfId="39650" xr:uid="{3F1FCD91-D5A2-40FA-87DB-B71FA514B07F}"/>
    <cellStyle name="20% - Accent6 4 5 2 4" xfId="31202" xr:uid="{2F271E1E-BB76-4FF2-A44F-FFD78E4DFB17}"/>
    <cellStyle name="20% - Accent6 4 5 2 5" xfId="22755" xr:uid="{FF09B18E-3DC8-4592-A254-F99BF9E2B654}"/>
    <cellStyle name="20% - Accent6 4 5 2 6" xfId="13458" xr:uid="{475BCC88-8202-42F9-9061-7C102F9035B3}"/>
    <cellStyle name="20% - Accent6 4 5 3" xfId="6204" xr:uid="{00000000-0005-0000-0000-0000AA030000}"/>
    <cellStyle name="20% - Accent6 4 5 3 2" xfId="41722" xr:uid="{3B10B696-DD0F-4E5E-A0E3-8AA3C5A07573}"/>
    <cellStyle name="20% - Accent6 4 5 3 3" xfId="33275" xr:uid="{CED34D05-BFA9-4361-9B93-A584C60D99C3}"/>
    <cellStyle name="20% - Accent6 4 5 3 4" xfId="24827" xr:uid="{B2D6E10C-3791-4A7E-B5AD-589D7B2F5DCA}"/>
    <cellStyle name="20% - Accent6 4 5 3 5" xfId="15530" xr:uid="{F54ADF6F-D510-4D6C-BE72-A0FA266D9E34}"/>
    <cellStyle name="20% - Accent6 4 5 4" xfId="37505" xr:uid="{76BDEC82-81AE-44B6-BF21-7EC2D7941D70}"/>
    <cellStyle name="20% - Accent6 4 5 5" xfId="29057" xr:uid="{86665431-067B-4E97-B4D4-251AD4000F78}"/>
    <cellStyle name="20% - Accent6 4 5 6" xfId="20610" xr:uid="{900C94C9-A1CF-48AA-B977-5B2694B0DC55}"/>
    <cellStyle name="20% - Accent6 4 5 7" xfId="11313" xr:uid="{1EA90E9D-90C2-48D9-9F4E-15FCA45D2B7E}"/>
    <cellStyle name="20% - Accent6 4 6" xfId="2311" xr:uid="{00000000-0005-0000-0000-0000AB030000}"/>
    <cellStyle name="20% - Accent6 4 6 2" xfId="6617" xr:uid="{00000000-0005-0000-0000-0000AC030000}"/>
    <cellStyle name="20% - Accent6 4 6 2 2" xfId="42135" xr:uid="{B6388F47-8F27-43C8-BE46-BEA4E659BB96}"/>
    <cellStyle name="20% - Accent6 4 6 2 3" xfId="33688" xr:uid="{D2261048-A9D0-41FE-982D-48E9608F56AF}"/>
    <cellStyle name="20% - Accent6 4 6 2 4" xfId="25240" xr:uid="{FBBB3141-DF6C-4EC3-90B3-02AFA9634CC5}"/>
    <cellStyle name="20% - Accent6 4 6 2 5" xfId="15943" xr:uid="{0DBA8295-E33B-49F8-B96E-FA897AE89A21}"/>
    <cellStyle name="20% - Accent6 4 6 3" xfId="37918" xr:uid="{A0A8131D-088B-4ABD-87B8-AA2929BA799A}"/>
    <cellStyle name="20% - Accent6 4 6 4" xfId="29470" xr:uid="{F5B4184A-6A12-4927-B64A-DBB5799930E5}"/>
    <cellStyle name="20% - Accent6 4 6 5" xfId="21023" xr:uid="{8538CB4D-9718-4D4D-8673-AA948B0DC5FE}"/>
    <cellStyle name="20% - Accent6 4 6 6" xfId="11726" xr:uid="{C656DDA7-FADA-4288-A5DE-3D083184C53C}"/>
    <cellStyle name="20% - Accent6 4 7" xfId="4551" xr:uid="{00000000-0005-0000-0000-0000AD030000}"/>
    <cellStyle name="20% - Accent6 4 7 2" xfId="40069" xr:uid="{AC815DAE-BE6A-47E3-BF9D-A91BEFA3B0FE}"/>
    <cellStyle name="20% - Accent6 4 7 3" xfId="31622" xr:uid="{E970C108-F97C-41CC-81BF-45A5CDFD3C67}"/>
    <cellStyle name="20% - Accent6 4 7 4" xfId="23174" xr:uid="{337F5B3B-F357-4778-836E-D4984C8C51A3}"/>
    <cellStyle name="20% - Accent6 4 7 5" xfId="13877" xr:uid="{E87AD8E6-12E5-4972-9F58-08E0CD3F5BC8}"/>
    <cellStyle name="20% - Accent6 4 8" xfId="8957" xr:uid="{03E1DA3A-6A3F-4C0D-9844-2D38E7BA13BC}"/>
    <cellStyle name="20% - Accent6 4 8 2" xfId="35852" xr:uid="{31144250-7FEB-44D4-B40C-ACD541C5F746}"/>
    <cellStyle name="20% - Accent6 4 8 3" xfId="18280" xr:uid="{2791830D-4466-4840-B557-3FD5DF96301F}"/>
    <cellStyle name="20% - Accent6 4 9" xfId="27404" xr:uid="{DE2BC032-A802-47E6-AF98-B50346D9FF93}"/>
    <cellStyle name="20% - Accent6 5" xfId="610" xr:uid="{00000000-0005-0000-0000-0000AE030000}"/>
    <cellStyle name="20% - Accent6 5 2" xfId="2881" xr:uid="{00000000-0005-0000-0000-0000AF030000}"/>
    <cellStyle name="20% - Accent6 5 2 2" xfId="7103" xr:uid="{00000000-0005-0000-0000-0000B0030000}"/>
    <cellStyle name="20% - Accent6 5 2 2 2" xfId="42621" xr:uid="{63D68E68-9AB0-4327-BCD7-4BE1CE554BAB}"/>
    <cellStyle name="20% - Accent6 5 2 2 3" xfId="34174" xr:uid="{09D575C7-04D7-4FF1-9B71-80424A0C5828}"/>
    <cellStyle name="20% - Accent6 5 2 2 4" xfId="25726" xr:uid="{24AA723C-C78B-499F-8557-0D4762C418BD}"/>
    <cellStyle name="20% - Accent6 5 2 2 5" xfId="16429" xr:uid="{6C917A86-E440-4953-9A36-124CED598BDD}"/>
    <cellStyle name="20% - Accent6 5 2 3" xfId="38404" xr:uid="{6F4C7705-0EED-402E-B85F-F017B76C6FB9}"/>
    <cellStyle name="20% - Accent6 5 2 4" xfId="29956" xr:uid="{1814ED68-CBAD-4F49-89F9-3F264580B2D3}"/>
    <cellStyle name="20% - Accent6 5 2 5" xfId="21509" xr:uid="{35AACCCF-8B1C-49CA-B661-8FDF2962CF50}"/>
    <cellStyle name="20% - Accent6 5 2 6" xfId="12212" xr:uid="{0EB5C717-64E3-48C1-9B46-7C640019FE8A}"/>
    <cellStyle name="20% - Accent6 5 3" xfId="4958" xr:uid="{00000000-0005-0000-0000-0000B1030000}"/>
    <cellStyle name="20% - Accent6 5 3 2" xfId="40476" xr:uid="{548F1ED4-83D1-434A-A1B0-D3EA5E4BD7AB}"/>
    <cellStyle name="20% - Accent6 5 3 3" xfId="32029" xr:uid="{0108647A-2B39-40F1-9154-035D8B32C924}"/>
    <cellStyle name="20% - Accent6 5 3 4" xfId="23581" xr:uid="{3E265010-F8EB-4F85-BAB8-9785F7EA8DD3}"/>
    <cellStyle name="20% - Accent6 5 3 5" xfId="14284" xr:uid="{79DE8D47-5165-44A1-A2DC-F619421471F6}"/>
    <cellStyle name="20% - Accent6 5 4" xfId="9191" xr:uid="{C812E2E5-5572-4E86-9CB6-C7C53792C044}"/>
    <cellStyle name="20% - Accent6 5 4 2" xfId="36259" xr:uid="{63C09A69-D0D0-4CC6-997D-C95A6A759804}"/>
    <cellStyle name="20% - Accent6 5 4 3" xfId="18506" xr:uid="{BB75955E-FDB6-4F79-8961-F198D36E39C8}"/>
    <cellStyle name="20% - Accent6 5 5" xfId="27811" xr:uid="{F22C996B-11DE-479F-BB9D-E74ECBF7CF1E}"/>
    <cellStyle name="20% - Accent6 5 6" xfId="19364" xr:uid="{10637CAD-5638-436B-A3F1-C5702094CE93}"/>
    <cellStyle name="20% - Accent6 5 7" xfId="10067" xr:uid="{21A74E3A-6DFA-4BBE-8D11-35E43123E46D}"/>
    <cellStyle name="20% - Accent6 6" xfId="1063" xr:uid="{00000000-0005-0000-0000-0000B2030000}"/>
    <cellStyle name="20% - Accent6 6 2" xfId="3294" xr:uid="{00000000-0005-0000-0000-0000B3030000}"/>
    <cellStyle name="20% - Accent6 6 2 2" xfId="7516" xr:uid="{00000000-0005-0000-0000-0000B4030000}"/>
    <cellStyle name="20% - Accent6 6 2 2 2" xfId="43034" xr:uid="{43A347C9-00A3-4C56-9429-37FB4C0014BC}"/>
    <cellStyle name="20% - Accent6 6 2 2 3" xfId="34587" xr:uid="{C0207BF9-9685-4322-851B-5A74B215D724}"/>
    <cellStyle name="20% - Accent6 6 2 2 4" xfId="26139" xr:uid="{0EDAF869-07FF-4DE6-AC03-2256F87D2184}"/>
    <cellStyle name="20% - Accent6 6 2 2 5" xfId="16842" xr:uid="{03B4DDB9-265F-484E-B209-78B507463001}"/>
    <cellStyle name="20% - Accent6 6 2 3" xfId="38817" xr:uid="{C860D58C-183C-4515-9703-E5E0930A82DA}"/>
    <cellStyle name="20% - Accent6 6 2 4" xfId="30369" xr:uid="{E7FC9135-2AA2-4B63-B346-906FB4EAFBB1}"/>
    <cellStyle name="20% - Accent6 6 2 5" xfId="21922" xr:uid="{A769ACD9-F359-4E0E-A8DC-1E65C427231B}"/>
    <cellStyle name="20% - Accent6 6 2 6" xfId="12625" xr:uid="{A62120CF-C934-4F92-B3B9-C268EF20BB33}"/>
    <cellStyle name="20% - Accent6 6 3" xfId="5371" xr:uid="{00000000-0005-0000-0000-0000B5030000}"/>
    <cellStyle name="20% - Accent6 6 3 2" xfId="40889" xr:uid="{315E8BC0-E90F-4945-A263-77CFC06F233E}"/>
    <cellStyle name="20% - Accent6 6 3 3" xfId="32442" xr:uid="{EC2E2E06-487C-43EA-9C71-82AFC42B66B4}"/>
    <cellStyle name="20% - Accent6 6 3 4" xfId="23994" xr:uid="{25472AB1-FD65-4A23-B189-034B3177B519}"/>
    <cellStyle name="20% - Accent6 6 3 5" xfId="14697" xr:uid="{5832DF3C-EE1A-4444-BEF0-740C34C14B41}"/>
    <cellStyle name="20% - Accent6 6 4" xfId="36672" xr:uid="{33677AEC-1950-4A33-A92E-072AED717E30}"/>
    <cellStyle name="20% - Accent6 6 5" xfId="28224" xr:uid="{772613E6-9BCD-4B14-BE9A-A343ACE192D1}"/>
    <cellStyle name="20% - Accent6 6 6" xfId="19777" xr:uid="{97B53D3F-738A-4CDC-AE4A-3BBA73DE15D6}"/>
    <cellStyle name="20% - Accent6 6 7" xfId="10480" xr:uid="{6FF75D3E-EE7C-49E5-BDE7-9D1F1432CB1F}"/>
    <cellStyle name="20% - Accent6 7" xfId="1477" xr:uid="{00000000-0005-0000-0000-0000B6030000}"/>
    <cellStyle name="20% - Accent6 7 2" xfId="3707" xr:uid="{00000000-0005-0000-0000-0000B7030000}"/>
    <cellStyle name="20% - Accent6 7 2 2" xfId="7929" xr:uid="{00000000-0005-0000-0000-0000B8030000}"/>
    <cellStyle name="20% - Accent6 7 2 2 2" xfId="43447" xr:uid="{0E861580-A229-42EA-A0F0-1F82C65BCEF7}"/>
    <cellStyle name="20% - Accent6 7 2 2 3" xfId="35000" xr:uid="{FC17EE11-03B9-42B5-93AD-69B4BFFAAEA1}"/>
    <cellStyle name="20% - Accent6 7 2 2 4" xfId="26552" xr:uid="{1D896E71-9677-4FC3-84A9-005411FA3FB7}"/>
    <cellStyle name="20% - Accent6 7 2 2 5" xfId="17255" xr:uid="{B3CBDCA2-4AE9-4704-A2C7-9C7EE22DAD5B}"/>
    <cellStyle name="20% - Accent6 7 2 3" xfId="39230" xr:uid="{4D752630-11A1-4672-8741-46D035D23A58}"/>
    <cellStyle name="20% - Accent6 7 2 4" xfId="30782" xr:uid="{B4F2B84D-B360-4142-9904-185F19F98A31}"/>
    <cellStyle name="20% - Accent6 7 2 5" xfId="22335" xr:uid="{BD2B55FB-8402-4325-AC24-776C1AFFE0CA}"/>
    <cellStyle name="20% - Accent6 7 2 6" xfId="13038" xr:uid="{55CB38B7-AC50-4E74-A357-5C789F4B41CF}"/>
    <cellStyle name="20% - Accent6 7 3" xfId="5784" xr:uid="{00000000-0005-0000-0000-0000B9030000}"/>
    <cellStyle name="20% - Accent6 7 3 2" xfId="41302" xr:uid="{0769ED85-79DB-42A5-B59C-4E4235C80A2F}"/>
    <cellStyle name="20% - Accent6 7 3 3" xfId="32855" xr:uid="{F6D5AF99-7729-46AC-AFAC-8FCB9C44263D}"/>
    <cellStyle name="20% - Accent6 7 3 4" xfId="24407" xr:uid="{C39A26EC-A43D-44BC-90D4-42A6AD32D6B2}"/>
    <cellStyle name="20% - Accent6 7 3 5" xfId="15110" xr:uid="{8CEBCB75-FCC9-476D-80B2-58A3260A832B}"/>
    <cellStyle name="20% - Accent6 7 4" xfId="37085" xr:uid="{48B13B7D-B743-4E6B-B9AE-AF80FF4CF38E}"/>
    <cellStyle name="20% - Accent6 7 5" xfId="28637" xr:uid="{7D98231A-0FB1-4562-B4F0-A2B1EBE7A7E4}"/>
    <cellStyle name="20% - Accent6 7 6" xfId="20190" xr:uid="{FD5AD2D5-2949-4885-BA5B-32CA1DDE74B2}"/>
    <cellStyle name="20% - Accent6 7 7" xfId="10893" xr:uid="{04FA25F9-D725-4FEB-A9A4-A8E6CE8BCBB4}"/>
    <cellStyle name="20% - Accent6 8" xfId="1891" xr:uid="{00000000-0005-0000-0000-0000BA030000}"/>
    <cellStyle name="20% - Accent6 8 2" xfId="4120" xr:uid="{00000000-0005-0000-0000-0000BB030000}"/>
    <cellStyle name="20% - Accent6 8 2 2" xfId="8342" xr:uid="{00000000-0005-0000-0000-0000BC030000}"/>
    <cellStyle name="20% - Accent6 8 2 2 2" xfId="43860" xr:uid="{706EA710-C7A8-4628-8CCF-BC5A9E94AC47}"/>
    <cellStyle name="20% - Accent6 8 2 2 3" xfId="35413" xr:uid="{880C7860-4857-49DE-8053-8AA574F8631C}"/>
    <cellStyle name="20% - Accent6 8 2 2 4" xfId="26965" xr:uid="{D3BED89B-0562-4676-B94A-736251C3CC97}"/>
    <cellStyle name="20% - Accent6 8 2 2 5" xfId="17668" xr:uid="{E1990974-E3A2-4F45-A94B-0B13EB16B21E}"/>
    <cellStyle name="20% - Accent6 8 2 3" xfId="39643" xr:uid="{78F372F0-1E1A-4635-8647-BFD5874548A5}"/>
    <cellStyle name="20% - Accent6 8 2 4" xfId="31195" xr:uid="{76BA0B57-D838-408D-B93A-0604D9C75774}"/>
    <cellStyle name="20% - Accent6 8 2 5" xfId="22748" xr:uid="{2FA6F382-DB49-4333-BB09-24FE3D248CF2}"/>
    <cellStyle name="20% - Accent6 8 2 6" xfId="13451" xr:uid="{498BB7CC-0FE1-496F-9201-A9F0DAC3A419}"/>
    <cellStyle name="20% - Accent6 8 3" xfId="6197" xr:uid="{00000000-0005-0000-0000-0000BD030000}"/>
    <cellStyle name="20% - Accent6 8 3 2" xfId="41715" xr:uid="{7D19AEAA-C666-416E-AA59-BC3F99EF671B}"/>
    <cellStyle name="20% - Accent6 8 3 3" xfId="33268" xr:uid="{8A317D55-9D26-49EB-AC6F-28ACA30CA7A8}"/>
    <cellStyle name="20% - Accent6 8 3 4" xfId="24820" xr:uid="{32D08099-D915-46B6-B393-728925793DA0}"/>
    <cellStyle name="20% - Accent6 8 3 5" xfId="15523" xr:uid="{270D30E0-CDF4-4C46-9C69-991D08E2DCCB}"/>
    <cellStyle name="20% - Accent6 8 4" xfId="37498" xr:uid="{CE0F1D8D-A240-47C4-9C23-E38956159F14}"/>
    <cellStyle name="20% - Accent6 8 5" xfId="29050" xr:uid="{4475643F-7DBB-4200-9CD7-A92CF4FEDE25}"/>
    <cellStyle name="20% - Accent6 8 6" xfId="20603" xr:uid="{4A07652E-769A-4A84-AB89-822103E712BF}"/>
    <cellStyle name="20% - Accent6 8 7" xfId="11306" xr:uid="{CCE12E46-0706-4E3B-85D4-5C52822E7864}"/>
    <cellStyle name="20% - Accent6 9" xfId="2304" xr:uid="{00000000-0005-0000-0000-0000BE030000}"/>
    <cellStyle name="20% - Accent6 9 2" xfId="6610" xr:uid="{00000000-0005-0000-0000-0000BF030000}"/>
    <cellStyle name="20% - Accent6 9 2 2" xfId="42128" xr:uid="{9F3CE5EB-E560-449E-902A-D7F570A8BBF2}"/>
    <cellStyle name="20% - Accent6 9 2 3" xfId="33681" xr:uid="{E789D2F2-D912-441F-860F-25EFAC6548F4}"/>
    <cellStyle name="20% - Accent6 9 2 4" xfId="25233" xr:uid="{53D6E98C-6680-4B20-8A78-DA639BB09B56}"/>
    <cellStyle name="20% - Accent6 9 2 5" xfId="15936" xr:uid="{CE4ED9A8-4D11-43F7-9DB4-F0219C13A7DF}"/>
    <cellStyle name="20% - Accent6 9 3" xfId="37911" xr:uid="{2ED8836E-ADA9-4BAB-B490-09A4FD12CF3F}"/>
    <cellStyle name="20% - Accent6 9 4" xfId="29463" xr:uid="{7D30A2F2-DDCE-4BE5-9BA3-9AFA1851374A}"/>
    <cellStyle name="20% - Accent6 9 5" xfId="21016" xr:uid="{C8E0B279-AF9C-467F-9508-26C0B42D6F5E}"/>
    <cellStyle name="20% - Accent6 9 6" xfId="11719" xr:uid="{9C8AC4B9-3615-4D4E-B017-39739828343C}"/>
    <cellStyle name="40% - Accent1" xfId="49" builtinId="31" customBuiltin="1"/>
    <cellStyle name="40% - Accent1 10" xfId="4552" xr:uid="{00000000-0005-0000-0000-0000C1030000}"/>
    <cellStyle name="40% - Accent1 10 2" xfId="40070" xr:uid="{D347B32A-1768-4590-A530-ACB405733750}"/>
    <cellStyle name="40% - Accent1 10 3" xfId="31623" xr:uid="{DACF0D31-D313-4095-ADB5-E8EE2D8855F0}"/>
    <cellStyle name="40% - Accent1 10 4" xfId="23175" xr:uid="{66AF3271-6E34-4240-B7A5-94C189D6B1F2}"/>
    <cellStyle name="40% - Accent1 10 5" xfId="13878" xr:uid="{A295FB8A-8F9C-47D2-B556-43C6B86FA35B}"/>
    <cellStyle name="40% - Accent1 11" xfId="8759" xr:uid="{E0AA4078-00FF-4C00-81ED-1F048AC6C533}"/>
    <cellStyle name="40% - Accent1 11 2" xfId="35853" xr:uid="{FFD00E4E-4B7F-497D-BC1C-0581883396A2}"/>
    <cellStyle name="40% - Accent1 11 3" xfId="18082" xr:uid="{59FA3F4B-817F-40CE-9A26-733687C0E1F0}"/>
    <cellStyle name="40% - Accent1 12" xfId="27405" xr:uid="{A621659E-EFEF-43C7-A0D6-C38A627702EF}"/>
    <cellStyle name="40% - Accent1 13" xfId="18958" xr:uid="{028020CF-3DF7-4A9B-8928-A0913450E30E}"/>
    <cellStyle name="40% - Accent1 14" xfId="9661" xr:uid="{5BB6FB87-9370-4699-B20B-F93043415845}"/>
    <cellStyle name="40% - Accent1 2" xfId="50" xr:uid="{00000000-0005-0000-0000-0000C2030000}"/>
    <cellStyle name="40% - Accent1 2 10" xfId="8798" xr:uid="{82026451-631C-40CA-BC49-BE5DA2EA921A}"/>
    <cellStyle name="40% - Accent1 2 10 2" xfId="35854" xr:uid="{2B79D900-8650-4574-9EDF-BBF737B4A8DB}"/>
    <cellStyle name="40% - Accent1 2 10 3" xfId="18121" xr:uid="{81CA5C89-2BCC-4A3E-B211-DE682ED30D15}"/>
    <cellStyle name="40% - Accent1 2 11" xfId="27406" xr:uid="{BA646E8E-1A2C-465F-84D9-04C9EF1CD84C}"/>
    <cellStyle name="40% - Accent1 2 12" xfId="18959" xr:uid="{45B28C43-4590-4F4A-9AAD-9A33BA2CCA66}"/>
    <cellStyle name="40% - Accent1 2 13" xfId="9662" xr:uid="{6D324CBE-5CFB-4A2C-9F8B-511D60E018F3}"/>
    <cellStyle name="40% - Accent1 2 2" xfId="51" xr:uid="{00000000-0005-0000-0000-0000C3030000}"/>
    <cellStyle name="40% - Accent1 2 2 10" xfId="27407" xr:uid="{08A1455D-D8B2-4C0A-AE35-97E5F45B73C6}"/>
    <cellStyle name="40% - Accent1 2 2 11" xfId="18960" xr:uid="{4EDC3A81-DA3D-44D4-849C-A281C18FEC5B}"/>
    <cellStyle name="40% - Accent1 2 2 12" xfId="9663" xr:uid="{A3050C1A-3400-46C9-B554-3AC77DE6AEEB}"/>
    <cellStyle name="40% - Accent1 2 2 2" xfId="52" xr:uid="{00000000-0005-0000-0000-0000C4030000}"/>
    <cellStyle name="40% - Accent1 2 2 2 10" xfId="18961" xr:uid="{150EF8FA-0FAC-4E9C-B230-53FD25D25A0B}"/>
    <cellStyle name="40% - Accent1 2 2 2 11" xfId="9664" xr:uid="{CF09E9C6-D9DA-466A-A40E-2E9466EEF611}"/>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42632" xr:uid="{3DF92D51-8290-4251-B422-A5F1B17A5B55}"/>
    <cellStyle name="40% - Accent1 2 2 2 2 2 2 3" xfId="34185" xr:uid="{67D7B697-6A31-4D6D-B3D7-F70FC176FEBC}"/>
    <cellStyle name="40% - Accent1 2 2 2 2 2 2 4" xfId="25737" xr:uid="{3D172951-E03A-4636-9594-645847DC0087}"/>
    <cellStyle name="40% - Accent1 2 2 2 2 2 2 5" xfId="16440" xr:uid="{7C9BC75F-31C8-4983-B37D-90B9B7671374}"/>
    <cellStyle name="40% - Accent1 2 2 2 2 2 3" xfId="38415" xr:uid="{1472F5BE-FA2C-4F39-AC11-B02E85C40FB7}"/>
    <cellStyle name="40% - Accent1 2 2 2 2 2 4" xfId="29967" xr:uid="{89A2EE47-4A0C-4B22-9A20-F9BB992EEFA4}"/>
    <cellStyle name="40% - Accent1 2 2 2 2 2 5" xfId="21520" xr:uid="{309537EB-DADA-4F29-AB69-D318AE2A3CBE}"/>
    <cellStyle name="40% - Accent1 2 2 2 2 2 6" xfId="12223" xr:uid="{6F5200C1-1957-4C03-A82E-6BE5913EBBD5}"/>
    <cellStyle name="40% - Accent1 2 2 2 2 3" xfId="4969" xr:uid="{00000000-0005-0000-0000-0000C8030000}"/>
    <cellStyle name="40% - Accent1 2 2 2 2 3 2" xfId="40487" xr:uid="{406814DA-7BE8-4A35-80A8-19FF2EF7BFA1}"/>
    <cellStyle name="40% - Accent1 2 2 2 2 3 3" xfId="32040" xr:uid="{2B766601-A21D-4A61-B79E-6FC003ADC502}"/>
    <cellStyle name="40% - Accent1 2 2 2 2 3 4" xfId="23592" xr:uid="{93AF8D2F-3A29-44E0-84FA-6065CD6AC786}"/>
    <cellStyle name="40% - Accent1 2 2 2 2 3 5" xfId="14295" xr:uid="{8CF81DFA-B7F1-46CC-B126-26FFBAAC5E2D}"/>
    <cellStyle name="40% - Accent1 2 2 2 2 4" xfId="9533" xr:uid="{757B5AC4-115E-4B90-B4EA-505C31F9B178}"/>
    <cellStyle name="40% - Accent1 2 2 2 2 4 2" xfId="36270" xr:uid="{2170D10D-42D7-4955-BAF9-632F7E5C93DE}"/>
    <cellStyle name="40% - Accent1 2 2 2 2 4 3" xfId="18846" xr:uid="{73963A07-2ACF-44BA-ADD6-316E28E0D428}"/>
    <cellStyle name="40% - Accent1 2 2 2 2 5" xfId="27822" xr:uid="{303CAB67-1784-4D9B-9E78-54DB55280DA7}"/>
    <cellStyle name="40% - Accent1 2 2 2 2 6" xfId="19375" xr:uid="{9C01DE13-5BDC-4510-B689-2C9AA356B0C2}"/>
    <cellStyle name="40% - Accent1 2 2 2 2 7" xfId="10078" xr:uid="{36A66B10-30B0-44DB-9F69-10B44372E9A4}"/>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43045" xr:uid="{E04C9630-C75C-47D6-8B9D-77FF208A8A7B}"/>
    <cellStyle name="40% - Accent1 2 2 2 3 2 2 3" xfId="34598" xr:uid="{17CB47E8-DDF9-4F20-9A10-FF0E6C3E45FA}"/>
    <cellStyle name="40% - Accent1 2 2 2 3 2 2 4" xfId="26150" xr:uid="{12659EC7-94F6-40EB-ACDE-863AC1886032}"/>
    <cellStyle name="40% - Accent1 2 2 2 3 2 2 5" xfId="16853" xr:uid="{126355D1-4BDE-40C7-9808-47582E15D23A}"/>
    <cellStyle name="40% - Accent1 2 2 2 3 2 3" xfId="38828" xr:uid="{EA42E678-FD56-48AE-BEA5-66501D4A846A}"/>
    <cellStyle name="40% - Accent1 2 2 2 3 2 4" xfId="30380" xr:uid="{182FCAC0-1FB2-4484-A5BD-A36A945BB188}"/>
    <cellStyle name="40% - Accent1 2 2 2 3 2 5" xfId="21933" xr:uid="{E7537B23-51EF-4685-A6EA-B08BA6C64C8E}"/>
    <cellStyle name="40% - Accent1 2 2 2 3 2 6" xfId="12636" xr:uid="{317EA72C-1373-4603-9734-917B1E2D93DC}"/>
    <cellStyle name="40% - Accent1 2 2 2 3 3" xfId="5382" xr:uid="{00000000-0005-0000-0000-0000CC030000}"/>
    <cellStyle name="40% - Accent1 2 2 2 3 3 2" xfId="40900" xr:uid="{0697A783-E69D-49B3-89F0-A1295B9091AC}"/>
    <cellStyle name="40% - Accent1 2 2 2 3 3 3" xfId="32453" xr:uid="{13916AF8-608A-471A-8978-665B528CE7E3}"/>
    <cellStyle name="40% - Accent1 2 2 2 3 3 4" xfId="24005" xr:uid="{EB3409BE-FFB1-4A0F-AE7C-2ED18327EC52}"/>
    <cellStyle name="40% - Accent1 2 2 2 3 3 5" xfId="14708" xr:uid="{0146A0B1-0F5F-4208-AE0F-1FD3A2404B40}"/>
    <cellStyle name="40% - Accent1 2 2 2 3 4" xfId="36683" xr:uid="{C72ECF5C-6ADC-43E1-B9C2-76E2FA68CD5B}"/>
    <cellStyle name="40% - Accent1 2 2 2 3 5" xfId="28235" xr:uid="{50BBDF78-0417-488F-A554-3FFCA48D58A6}"/>
    <cellStyle name="40% - Accent1 2 2 2 3 6" xfId="19788" xr:uid="{ADFF0924-9B43-417A-B19D-7F38999350A8}"/>
    <cellStyle name="40% - Accent1 2 2 2 3 7" xfId="10491" xr:uid="{BF6D334D-1624-44E3-8FE8-9B48B96711F3}"/>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43458" xr:uid="{163361B9-604B-4C5F-9BC8-817C7BAF76F6}"/>
    <cellStyle name="40% - Accent1 2 2 2 4 2 2 3" xfId="35011" xr:uid="{86ACFBE9-26DA-4EC8-86FE-41528FB6D2A0}"/>
    <cellStyle name="40% - Accent1 2 2 2 4 2 2 4" xfId="26563" xr:uid="{6A0BEE17-59A8-4C2C-A360-162E9DD91BD8}"/>
    <cellStyle name="40% - Accent1 2 2 2 4 2 2 5" xfId="17266" xr:uid="{3C4C6730-3ACE-4ED0-8840-ADD20DAE5F03}"/>
    <cellStyle name="40% - Accent1 2 2 2 4 2 3" xfId="39241" xr:uid="{77663F90-DC46-49FA-98D9-C036D0F024D8}"/>
    <cellStyle name="40% - Accent1 2 2 2 4 2 4" xfId="30793" xr:uid="{60A956DB-F608-421F-83CB-7D2FCC90B6EC}"/>
    <cellStyle name="40% - Accent1 2 2 2 4 2 5" xfId="22346" xr:uid="{BE12F90B-E3E2-4A63-BF29-259D05FFD575}"/>
    <cellStyle name="40% - Accent1 2 2 2 4 2 6" xfId="13049" xr:uid="{78960E3C-2314-4533-BB86-BFE483A4A8CC}"/>
    <cellStyle name="40% - Accent1 2 2 2 4 3" xfId="5795" xr:uid="{00000000-0005-0000-0000-0000D0030000}"/>
    <cellStyle name="40% - Accent1 2 2 2 4 3 2" xfId="41313" xr:uid="{D2544719-7BE5-4283-9F19-B7076DC08271}"/>
    <cellStyle name="40% - Accent1 2 2 2 4 3 3" xfId="32866" xr:uid="{394324AA-855E-499F-A980-1A001D136763}"/>
    <cellStyle name="40% - Accent1 2 2 2 4 3 4" xfId="24418" xr:uid="{E3AD1538-A142-45C5-AED2-B77EBD7688E8}"/>
    <cellStyle name="40% - Accent1 2 2 2 4 3 5" xfId="15121" xr:uid="{E6F5F383-51F5-47D9-A72D-7B297DBCFCB1}"/>
    <cellStyle name="40% - Accent1 2 2 2 4 4" xfId="37096" xr:uid="{879816F8-B42A-47E9-9FD8-3411D9B5FB41}"/>
    <cellStyle name="40% - Accent1 2 2 2 4 5" xfId="28648" xr:uid="{E7E3CB4D-3CCE-423B-87F3-A061221EAE6F}"/>
    <cellStyle name="40% - Accent1 2 2 2 4 6" xfId="20201" xr:uid="{F10983A4-85C3-4956-83DC-D0F20D10F20A}"/>
    <cellStyle name="40% - Accent1 2 2 2 4 7" xfId="10904" xr:uid="{06C769FB-7BC4-4BD0-9A6C-E86E7B724FB5}"/>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43871" xr:uid="{764A67D8-7D66-4268-9EC5-442C22BCE956}"/>
    <cellStyle name="40% - Accent1 2 2 2 5 2 2 3" xfId="35424" xr:uid="{3A3E1C17-83BD-44F9-9D30-CB52EC33BB06}"/>
    <cellStyle name="40% - Accent1 2 2 2 5 2 2 4" xfId="26976" xr:uid="{6A244ADD-FE86-4186-947D-D887BE5449BE}"/>
    <cellStyle name="40% - Accent1 2 2 2 5 2 2 5" xfId="17679" xr:uid="{700BA1A7-F262-4BB6-8A04-EC21AAC8C05F}"/>
    <cellStyle name="40% - Accent1 2 2 2 5 2 3" xfId="39654" xr:uid="{322EF6BF-0803-4E97-9A08-4F97C0C3BC07}"/>
    <cellStyle name="40% - Accent1 2 2 2 5 2 4" xfId="31206" xr:uid="{034455DA-1E07-419B-A7FD-3B529A20C654}"/>
    <cellStyle name="40% - Accent1 2 2 2 5 2 5" xfId="22759" xr:uid="{3E6BFD39-36E6-4ED1-A6F4-F4A2CA3A625A}"/>
    <cellStyle name="40% - Accent1 2 2 2 5 2 6" xfId="13462" xr:uid="{20610C09-F0BD-4665-893E-B98028186639}"/>
    <cellStyle name="40% - Accent1 2 2 2 5 3" xfId="6208" xr:uid="{00000000-0005-0000-0000-0000D4030000}"/>
    <cellStyle name="40% - Accent1 2 2 2 5 3 2" xfId="41726" xr:uid="{68CB670D-47BC-4243-93AC-2F06471C5079}"/>
    <cellStyle name="40% - Accent1 2 2 2 5 3 3" xfId="33279" xr:uid="{50A60E1A-5E2A-4685-A9B8-D9F142DC4833}"/>
    <cellStyle name="40% - Accent1 2 2 2 5 3 4" xfId="24831" xr:uid="{38212BA0-F49C-4AE2-ABE8-D2DB5A169B48}"/>
    <cellStyle name="40% - Accent1 2 2 2 5 3 5" xfId="15534" xr:uid="{2EE7E153-7E54-440C-AEBA-F43DA4E78522}"/>
    <cellStyle name="40% - Accent1 2 2 2 5 4" xfId="37509" xr:uid="{C28E9FFF-DB39-433C-8F31-20E1AA6082CD}"/>
    <cellStyle name="40% - Accent1 2 2 2 5 5" xfId="29061" xr:uid="{E5F6317F-B844-4DE1-B6DE-7AA9CAAB2C5F}"/>
    <cellStyle name="40% - Accent1 2 2 2 5 6" xfId="20614" xr:uid="{92A4E44B-168C-4CD9-8FC7-06ECE4E44752}"/>
    <cellStyle name="40% - Accent1 2 2 2 5 7" xfId="11317" xr:uid="{ACCE0CC2-ED14-477D-82D1-202BDB4FF712}"/>
    <cellStyle name="40% - Accent1 2 2 2 6" xfId="2315" xr:uid="{00000000-0005-0000-0000-0000D5030000}"/>
    <cellStyle name="40% - Accent1 2 2 2 6 2" xfId="6621" xr:uid="{00000000-0005-0000-0000-0000D6030000}"/>
    <cellStyle name="40% - Accent1 2 2 2 6 2 2" xfId="42139" xr:uid="{EA6954C1-FFBE-4143-A93F-9FFEF8E0AC76}"/>
    <cellStyle name="40% - Accent1 2 2 2 6 2 3" xfId="33692" xr:uid="{DD7C150A-2655-49CC-A202-8DFB8D4D2557}"/>
    <cellStyle name="40% - Accent1 2 2 2 6 2 4" xfId="25244" xr:uid="{70A0F081-4CB0-4A54-8C30-9FD35BD3A1B4}"/>
    <cellStyle name="40% - Accent1 2 2 2 6 2 5" xfId="15947" xr:uid="{3E853FA5-213A-4BB0-B353-688CBBD5ADDA}"/>
    <cellStyle name="40% - Accent1 2 2 2 6 3" xfId="37922" xr:uid="{151E7184-E47C-4850-BDB9-2F26C86516AE}"/>
    <cellStyle name="40% - Accent1 2 2 2 6 4" xfId="29474" xr:uid="{B0913F22-87C6-4A41-9660-64D3451159F5}"/>
    <cellStyle name="40% - Accent1 2 2 2 6 5" xfId="21027" xr:uid="{C45BBEF5-524C-4EC8-A440-79812C8ABF3D}"/>
    <cellStyle name="40% - Accent1 2 2 2 6 6" xfId="11730" xr:uid="{7087ECCD-58B8-4ACF-ADA3-720731CC8C26}"/>
    <cellStyle name="40% - Accent1 2 2 2 7" xfId="4555" xr:uid="{00000000-0005-0000-0000-0000D7030000}"/>
    <cellStyle name="40% - Accent1 2 2 2 7 2" xfId="40073" xr:uid="{2D87FE9D-36F9-4152-A3BB-B89E273E8078}"/>
    <cellStyle name="40% - Accent1 2 2 2 7 3" xfId="31626" xr:uid="{B529F61A-38CA-4BFF-AA76-D702B3191ECE}"/>
    <cellStyle name="40% - Accent1 2 2 2 7 4" xfId="23178" xr:uid="{B2961A2F-1A1B-46D4-9DCB-A3036292BF99}"/>
    <cellStyle name="40% - Accent1 2 2 2 7 5" xfId="13881" xr:uid="{F425EB24-1574-4DDE-8E4B-A60E6AD87D39}"/>
    <cellStyle name="40% - Accent1 2 2 2 8" xfId="9108" xr:uid="{1189B5E8-DD3C-4F9A-ACD3-DB853C0AC60B}"/>
    <cellStyle name="40% - Accent1 2 2 2 8 2" xfId="35856" xr:uid="{ED593497-C810-4613-815A-B16C3F12D56C}"/>
    <cellStyle name="40% - Accent1 2 2 2 8 3" xfId="18431" xr:uid="{39D657DC-4D3C-438A-B600-2D44E1716262}"/>
    <cellStyle name="40% - Accent1 2 2 2 9" xfId="27408" xr:uid="{ADC83E24-8539-4F22-849D-6D8342FEDFC2}"/>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42631" xr:uid="{AC5AD20E-690B-4266-9E51-9CB251AECB8B}"/>
    <cellStyle name="40% - Accent1 2 2 3 2 2 3" xfId="34184" xr:uid="{7358ED66-7B1D-4EE7-A425-D305CF0977D2}"/>
    <cellStyle name="40% - Accent1 2 2 3 2 2 4" xfId="25736" xr:uid="{5688A147-1B62-4538-9FE4-0AABEB8B63A0}"/>
    <cellStyle name="40% - Accent1 2 2 3 2 2 5" xfId="16439" xr:uid="{7A5E717A-8854-40B2-8511-673EEAAD071C}"/>
    <cellStyle name="40% - Accent1 2 2 3 2 3" xfId="38414" xr:uid="{11F04BE5-2F26-4B3C-9D4E-993013EA1D20}"/>
    <cellStyle name="40% - Accent1 2 2 3 2 4" xfId="29966" xr:uid="{41DA39D4-022E-4C03-8A81-E37E4F58276C}"/>
    <cellStyle name="40% - Accent1 2 2 3 2 5" xfId="21519" xr:uid="{E821F616-C7A7-4CF8-828F-207019D21D53}"/>
    <cellStyle name="40% - Accent1 2 2 3 2 6" xfId="12222" xr:uid="{5FC264D5-6954-4CD9-9366-B39DA553F4AD}"/>
    <cellStyle name="40% - Accent1 2 2 3 3" xfId="4968" xr:uid="{00000000-0005-0000-0000-0000DB030000}"/>
    <cellStyle name="40% - Accent1 2 2 3 3 2" xfId="40486" xr:uid="{DAE6758A-0818-497B-9425-694071571505}"/>
    <cellStyle name="40% - Accent1 2 2 3 3 3" xfId="32039" xr:uid="{1BA342AB-210B-4838-8F59-9A9E2EDA5E9F}"/>
    <cellStyle name="40% - Accent1 2 2 3 3 4" xfId="23591" xr:uid="{5D9D3186-6AA4-4AE6-AA56-3DD2A2A5241F}"/>
    <cellStyle name="40% - Accent1 2 2 3 3 5" xfId="14294" xr:uid="{80B74D61-BA88-4A24-85B7-B66C0164E62C}"/>
    <cellStyle name="40% - Accent1 2 2 3 4" xfId="9326" xr:uid="{6D693950-F4D3-4A82-8C01-49E2379281D4}"/>
    <cellStyle name="40% - Accent1 2 2 3 4 2" xfId="36269" xr:uid="{99A38BC4-29D4-4DB9-97EC-971CAE1F459A}"/>
    <cellStyle name="40% - Accent1 2 2 3 4 3" xfId="18639" xr:uid="{5385639A-CAC0-42C4-9778-AFF2F80FB406}"/>
    <cellStyle name="40% - Accent1 2 2 3 5" xfId="27821" xr:uid="{199E91ED-ACDE-42B3-BC0F-D17A3E03002B}"/>
    <cellStyle name="40% - Accent1 2 2 3 6" xfId="19374" xr:uid="{1CA9F680-D3C0-47DC-B118-8C7916DD2E83}"/>
    <cellStyle name="40% - Accent1 2 2 3 7" xfId="10077" xr:uid="{B326BEF2-A646-4BFF-917B-7D8083FC7CF0}"/>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43044" xr:uid="{16C678C5-58A9-4D12-B18B-FC185644D8D9}"/>
    <cellStyle name="40% - Accent1 2 2 4 2 2 3" xfId="34597" xr:uid="{25123E81-5D07-4B62-94A6-F59D7DADAA0F}"/>
    <cellStyle name="40% - Accent1 2 2 4 2 2 4" xfId="26149" xr:uid="{4720DFBD-7B7C-47B5-8C0D-9379E50F4942}"/>
    <cellStyle name="40% - Accent1 2 2 4 2 2 5" xfId="16852" xr:uid="{74FC0F26-C41B-446D-B324-E4086A0BED68}"/>
    <cellStyle name="40% - Accent1 2 2 4 2 3" xfId="38827" xr:uid="{1CFDB961-99B5-4183-970D-6023549B994E}"/>
    <cellStyle name="40% - Accent1 2 2 4 2 4" xfId="30379" xr:uid="{753D99BF-46AD-4E43-B4F8-375EAE456041}"/>
    <cellStyle name="40% - Accent1 2 2 4 2 5" xfId="21932" xr:uid="{4BF60783-459F-4F11-9DD9-6D5C0DE5952C}"/>
    <cellStyle name="40% - Accent1 2 2 4 2 6" xfId="12635" xr:uid="{5C28170A-54A7-4B15-BBF6-5ACD744B592B}"/>
    <cellStyle name="40% - Accent1 2 2 4 3" xfId="5381" xr:uid="{00000000-0005-0000-0000-0000DF030000}"/>
    <cellStyle name="40% - Accent1 2 2 4 3 2" xfId="40899" xr:uid="{1E382580-8930-43E4-95AA-113DFFE824E2}"/>
    <cellStyle name="40% - Accent1 2 2 4 3 3" xfId="32452" xr:uid="{28807478-D642-42F0-B935-E8731C347E78}"/>
    <cellStyle name="40% - Accent1 2 2 4 3 4" xfId="24004" xr:uid="{393B049A-0CE4-4EA5-9A80-87D7EA176D3F}"/>
    <cellStyle name="40% - Accent1 2 2 4 3 5" xfId="14707" xr:uid="{20AF35BD-65D1-4F9F-AA87-B3B3E04E4023}"/>
    <cellStyle name="40% - Accent1 2 2 4 4" xfId="36682" xr:uid="{21D0E3B7-38EB-4F51-9795-77F678B865C4}"/>
    <cellStyle name="40% - Accent1 2 2 4 5" xfId="28234" xr:uid="{AADE2CC8-BFBF-460A-8C46-9B5C33A1AC53}"/>
    <cellStyle name="40% - Accent1 2 2 4 6" xfId="19787" xr:uid="{E09C28A8-7120-425F-B68B-A18D859770C0}"/>
    <cellStyle name="40% - Accent1 2 2 4 7" xfId="10490" xr:uid="{E718AC89-F9AE-4D06-B6B0-F5798DC30057}"/>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43457" xr:uid="{E0A98C3E-3929-4AE4-8979-780602AD426E}"/>
    <cellStyle name="40% - Accent1 2 2 5 2 2 3" xfId="35010" xr:uid="{D983F082-5D48-40F9-9B02-85FFBC35AD4A}"/>
    <cellStyle name="40% - Accent1 2 2 5 2 2 4" xfId="26562" xr:uid="{0B7BE4D1-B2F6-497A-ADA8-4ECD52ED5CBF}"/>
    <cellStyle name="40% - Accent1 2 2 5 2 2 5" xfId="17265" xr:uid="{4E11403F-B087-43D3-85D9-20B7AC1865FC}"/>
    <cellStyle name="40% - Accent1 2 2 5 2 3" xfId="39240" xr:uid="{01FF9424-D40D-485D-899A-15E58839D993}"/>
    <cellStyle name="40% - Accent1 2 2 5 2 4" xfId="30792" xr:uid="{31724EEC-2D0D-4204-996B-60AC9D5FE939}"/>
    <cellStyle name="40% - Accent1 2 2 5 2 5" xfId="22345" xr:uid="{572FEE01-92FE-4629-9C47-0F2872CABC94}"/>
    <cellStyle name="40% - Accent1 2 2 5 2 6" xfId="13048" xr:uid="{534898E2-98D7-4A67-9AE8-0A3C5325F759}"/>
    <cellStyle name="40% - Accent1 2 2 5 3" xfId="5794" xr:uid="{00000000-0005-0000-0000-0000E3030000}"/>
    <cellStyle name="40% - Accent1 2 2 5 3 2" xfId="41312" xr:uid="{274D6535-5B46-4ABC-A7EA-EDE2C8608499}"/>
    <cellStyle name="40% - Accent1 2 2 5 3 3" xfId="32865" xr:uid="{59745696-4C8E-461C-85A8-D96932D59E00}"/>
    <cellStyle name="40% - Accent1 2 2 5 3 4" xfId="24417" xr:uid="{107E8DE0-4CCD-43A7-A8E3-92A1123EF27F}"/>
    <cellStyle name="40% - Accent1 2 2 5 3 5" xfId="15120" xr:uid="{40AFF199-6EF4-4328-9B36-DB4DF03187AC}"/>
    <cellStyle name="40% - Accent1 2 2 5 4" xfId="37095" xr:uid="{416054CE-BFA9-4C5C-ACE1-B860F3A3BDB7}"/>
    <cellStyle name="40% - Accent1 2 2 5 5" xfId="28647" xr:uid="{5037DB11-3762-4AF5-B403-CFA77309393D}"/>
    <cellStyle name="40% - Accent1 2 2 5 6" xfId="20200" xr:uid="{DB8E5B65-678C-4C48-A87B-7187A90C3D9C}"/>
    <cellStyle name="40% - Accent1 2 2 5 7" xfId="10903" xr:uid="{8B1B3D58-BB26-4C59-820E-1A429C54E0EA}"/>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43870" xr:uid="{175E83E8-54D0-4135-986C-6DF0C93BF46C}"/>
    <cellStyle name="40% - Accent1 2 2 6 2 2 3" xfId="35423" xr:uid="{A6E7AEBB-409A-451B-94E5-76DF7CDF7248}"/>
    <cellStyle name="40% - Accent1 2 2 6 2 2 4" xfId="26975" xr:uid="{DE7DFDFF-9C02-43D7-A4DA-70205A920F9B}"/>
    <cellStyle name="40% - Accent1 2 2 6 2 2 5" xfId="17678" xr:uid="{8417A6DC-3050-4031-ACDD-9872E3E4D10E}"/>
    <cellStyle name="40% - Accent1 2 2 6 2 3" xfId="39653" xr:uid="{AB9DACDD-544B-4BF8-9D5C-D3F4BA2F55B5}"/>
    <cellStyle name="40% - Accent1 2 2 6 2 4" xfId="31205" xr:uid="{44FBB544-C1D4-4B97-BF35-70341DCD5070}"/>
    <cellStyle name="40% - Accent1 2 2 6 2 5" xfId="22758" xr:uid="{9A8CF0B5-31DE-4026-BEC1-7276366AF0B7}"/>
    <cellStyle name="40% - Accent1 2 2 6 2 6" xfId="13461" xr:uid="{DD9DAB73-C392-4684-8AD4-E9CAC25BB577}"/>
    <cellStyle name="40% - Accent1 2 2 6 3" xfId="6207" xr:uid="{00000000-0005-0000-0000-0000E7030000}"/>
    <cellStyle name="40% - Accent1 2 2 6 3 2" xfId="41725" xr:uid="{B0164B72-8960-4A49-8AE0-AC5B3F31C3A4}"/>
    <cellStyle name="40% - Accent1 2 2 6 3 3" xfId="33278" xr:uid="{B5E807BE-8A8E-4CFC-9DB6-342556FDD1C3}"/>
    <cellStyle name="40% - Accent1 2 2 6 3 4" xfId="24830" xr:uid="{6C4D99F7-8D12-4E34-A093-14B58459E4EB}"/>
    <cellStyle name="40% - Accent1 2 2 6 3 5" xfId="15533" xr:uid="{6382B344-15D4-489D-B73B-6B1D18750CB5}"/>
    <cellStyle name="40% - Accent1 2 2 6 4" xfId="37508" xr:uid="{564C65FC-1ECA-4F59-AF5D-8D9A6B56AAFF}"/>
    <cellStyle name="40% - Accent1 2 2 6 5" xfId="29060" xr:uid="{0C564C26-0D1A-4CFF-9360-DADF3312B3FC}"/>
    <cellStyle name="40% - Accent1 2 2 6 6" xfId="20613" xr:uid="{5ED225BA-5645-4D1E-BBFE-9DC3C5D2CF00}"/>
    <cellStyle name="40% - Accent1 2 2 6 7" xfId="11316" xr:uid="{63AAC357-4CEB-4AFA-9BAE-C4FEBB8BC94C}"/>
    <cellStyle name="40% - Accent1 2 2 7" xfId="2314" xr:uid="{00000000-0005-0000-0000-0000E8030000}"/>
    <cellStyle name="40% - Accent1 2 2 7 2" xfId="6620" xr:uid="{00000000-0005-0000-0000-0000E9030000}"/>
    <cellStyle name="40% - Accent1 2 2 7 2 2" xfId="42138" xr:uid="{5F1DBE7A-E93F-4B5E-B155-BF276639F1D2}"/>
    <cellStyle name="40% - Accent1 2 2 7 2 3" xfId="33691" xr:uid="{7615F254-5FD0-44B3-8813-6417C1C97849}"/>
    <cellStyle name="40% - Accent1 2 2 7 2 4" xfId="25243" xr:uid="{0D32B4DF-AC4B-4FE4-ABE2-998B6E1BD82A}"/>
    <cellStyle name="40% - Accent1 2 2 7 2 5" xfId="15946" xr:uid="{CDD149AD-D673-4156-ACAC-46E310BFEC29}"/>
    <cellStyle name="40% - Accent1 2 2 7 3" xfId="37921" xr:uid="{120C8883-2104-44C9-88DA-B67984C80B8C}"/>
    <cellStyle name="40% - Accent1 2 2 7 4" xfId="29473" xr:uid="{8D183243-5144-401B-91EE-0EA437254A39}"/>
    <cellStyle name="40% - Accent1 2 2 7 5" xfId="21026" xr:uid="{A02CB726-8B70-456F-8FD0-9679F51A75FA}"/>
    <cellStyle name="40% - Accent1 2 2 7 6" xfId="11729" xr:uid="{28E3F59C-5348-4A5C-BCF6-41D629F3ED8D}"/>
    <cellStyle name="40% - Accent1 2 2 8" xfId="4554" xr:uid="{00000000-0005-0000-0000-0000EA030000}"/>
    <cellStyle name="40% - Accent1 2 2 8 2" xfId="40072" xr:uid="{55ED281C-6D56-4005-ACEE-80B10FF6A266}"/>
    <cellStyle name="40% - Accent1 2 2 8 3" xfId="31625" xr:uid="{2572141D-C7CB-43EA-A651-2B6AE9E0197B}"/>
    <cellStyle name="40% - Accent1 2 2 8 4" xfId="23177" xr:uid="{9C24FAE5-5A19-4709-A639-869C8F819266}"/>
    <cellStyle name="40% - Accent1 2 2 8 5" xfId="13880" xr:uid="{03CC5B29-9110-410B-AA82-ECB0EE8F6F41}"/>
    <cellStyle name="40% - Accent1 2 2 9" xfId="8901" xr:uid="{10130317-AF31-4351-8201-FD8BD447EA3C}"/>
    <cellStyle name="40% - Accent1 2 2 9 2" xfId="35855" xr:uid="{E4D97CE2-3FB8-4FBF-AAB9-5026ED42E291}"/>
    <cellStyle name="40% - Accent1 2 2 9 3" xfId="18224" xr:uid="{B2AD82DD-55DD-4E6E-A115-F9853947439F}"/>
    <cellStyle name="40% - Accent1 2 3" xfId="53" xr:uid="{00000000-0005-0000-0000-0000EB030000}"/>
    <cellStyle name="40% - Accent1 2 3 10" xfId="18962" xr:uid="{E66B96D4-5F5C-4509-9E1A-EFF78CE0DBFF}"/>
    <cellStyle name="40% - Accent1 2 3 11" xfId="9665" xr:uid="{B5C85F45-CEE4-4F83-BE17-B33C3E2F8450}"/>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42633" xr:uid="{603D2770-4E90-40EA-BC93-4BFC970C513B}"/>
    <cellStyle name="40% - Accent1 2 3 2 2 2 3" xfId="34186" xr:uid="{C8EDA429-2BD1-4FAE-B4C3-FA39FA416F45}"/>
    <cellStyle name="40% - Accent1 2 3 2 2 2 4" xfId="25738" xr:uid="{19A19D69-6805-4514-B755-FF202BD956C2}"/>
    <cellStyle name="40% - Accent1 2 3 2 2 2 5" xfId="16441" xr:uid="{764407A2-9930-498F-B4CD-E96A12C0FE6C}"/>
    <cellStyle name="40% - Accent1 2 3 2 2 3" xfId="38416" xr:uid="{C2E0366F-82DC-42BC-B50A-A6AD7E1CB7E0}"/>
    <cellStyle name="40% - Accent1 2 3 2 2 4" xfId="29968" xr:uid="{06CA52DB-0FD2-4F7C-A04D-152F2B3AE419}"/>
    <cellStyle name="40% - Accent1 2 3 2 2 5" xfId="21521" xr:uid="{D516DA8F-881D-4555-ABA2-3C30AD8C6454}"/>
    <cellStyle name="40% - Accent1 2 3 2 2 6" xfId="12224" xr:uid="{F678BA96-D06D-41EA-9142-8C4B2EEE3A9E}"/>
    <cellStyle name="40% - Accent1 2 3 2 3" xfId="4970" xr:uid="{00000000-0005-0000-0000-0000EF030000}"/>
    <cellStyle name="40% - Accent1 2 3 2 3 2" xfId="40488" xr:uid="{4A9378BC-EAFE-4D17-B892-ED51977F4891}"/>
    <cellStyle name="40% - Accent1 2 3 2 3 3" xfId="32041" xr:uid="{47F9E515-E30C-48A2-BBC3-E2A52D55802E}"/>
    <cellStyle name="40% - Accent1 2 3 2 3 4" xfId="23593" xr:uid="{8B9D4886-A527-408D-AAEB-B6617C314DCD}"/>
    <cellStyle name="40% - Accent1 2 3 2 3 5" xfId="14296" xr:uid="{D2D1108D-8BDA-4934-8993-B8C8EA8A3A34}"/>
    <cellStyle name="40% - Accent1 2 3 2 4" xfId="9430" xr:uid="{C79D1FB2-141C-4301-8F37-B3B9643C0550}"/>
    <cellStyle name="40% - Accent1 2 3 2 4 2" xfId="36271" xr:uid="{A7D1AAB9-2942-467A-B515-9E872A4E778A}"/>
    <cellStyle name="40% - Accent1 2 3 2 4 3" xfId="18743" xr:uid="{5865D303-9FCF-47B2-96CA-33C5AA881F41}"/>
    <cellStyle name="40% - Accent1 2 3 2 5" xfId="27823" xr:uid="{E8AD56C6-0C16-4B71-91A4-8D11BE821A2B}"/>
    <cellStyle name="40% - Accent1 2 3 2 6" xfId="19376" xr:uid="{2505D191-CDDA-4B6D-9C18-EA6117AE159A}"/>
    <cellStyle name="40% - Accent1 2 3 2 7" xfId="10079" xr:uid="{ECA19DF1-E9CC-4746-BBB0-D94C09860D7D}"/>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43046" xr:uid="{3EC1780C-6961-4300-A7AF-2D7AE1F73527}"/>
    <cellStyle name="40% - Accent1 2 3 3 2 2 3" xfId="34599" xr:uid="{9C4AA426-45B1-4741-81B7-43C0B3AE28B2}"/>
    <cellStyle name="40% - Accent1 2 3 3 2 2 4" xfId="26151" xr:uid="{A0B409DA-B5CD-4613-A5EB-9070BA83AE63}"/>
    <cellStyle name="40% - Accent1 2 3 3 2 2 5" xfId="16854" xr:uid="{268BAF75-2606-4302-A5DF-EEFCAE9EF6BC}"/>
    <cellStyle name="40% - Accent1 2 3 3 2 3" xfId="38829" xr:uid="{4172EF56-DDF7-4641-842A-9CAC75BA78F9}"/>
    <cellStyle name="40% - Accent1 2 3 3 2 4" xfId="30381" xr:uid="{ED04B30B-0465-4F59-AF9C-EC22E2ED7A90}"/>
    <cellStyle name="40% - Accent1 2 3 3 2 5" xfId="21934" xr:uid="{24613C2A-CB65-44A5-8EB4-1D72105A354C}"/>
    <cellStyle name="40% - Accent1 2 3 3 2 6" xfId="12637" xr:uid="{CC082FA1-9609-49EA-B8C6-BCDAB62C0947}"/>
    <cellStyle name="40% - Accent1 2 3 3 3" xfId="5383" xr:uid="{00000000-0005-0000-0000-0000F3030000}"/>
    <cellStyle name="40% - Accent1 2 3 3 3 2" xfId="40901" xr:uid="{18A4942B-99CA-4908-8266-6E27571F5D1A}"/>
    <cellStyle name="40% - Accent1 2 3 3 3 3" xfId="32454" xr:uid="{B1AAD72B-1588-45ED-B970-90212E75D0A8}"/>
    <cellStyle name="40% - Accent1 2 3 3 3 4" xfId="24006" xr:uid="{C798193B-2F83-4756-B829-05483D7727D7}"/>
    <cellStyle name="40% - Accent1 2 3 3 3 5" xfId="14709" xr:uid="{E1889F53-6C71-4332-A861-817C8ABC63AD}"/>
    <cellStyle name="40% - Accent1 2 3 3 4" xfId="36684" xr:uid="{C58FE493-F009-4217-9BC9-131EB96DC3E0}"/>
    <cellStyle name="40% - Accent1 2 3 3 5" xfId="28236" xr:uid="{8768E95F-E54A-4C0D-9A91-EB0E5FBE1395}"/>
    <cellStyle name="40% - Accent1 2 3 3 6" xfId="19789" xr:uid="{9BB6E076-4E5C-4304-80FE-21DF2E5ABA88}"/>
    <cellStyle name="40% - Accent1 2 3 3 7" xfId="10492" xr:uid="{05C88AFE-C2B5-4C26-919B-2EFB54DF69FF}"/>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43459" xr:uid="{634D620C-6A48-4DF5-A2E0-00E4AF02E9D4}"/>
    <cellStyle name="40% - Accent1 2 3 4 2 2 3" xfId="35012" xr:uid="{FB0D252D-6F39-45AF-9EA5-AC8609A86E7B}"/>
    <cellStyle name="40% - Accent1 2 3 4 2 2 4" xfId="26564" xr:uid="{6B948FFE-6370-481E-B6C8-45D38D6C0A66}"/>
    <cellStyle name="40% - Accent1 2 3 4 2 2 5" xfId="17267" xr:uid="{EC0C5912-B2A0-481B-A5E8-86644681A6FD}"/>
    <cellStyle name="40% - Accent1 2 3 4 2 3" xfId="39242" xr:uid="{43E66FBC-4577-45DF-A03C-F6AF941283C2}"/>
    <cellStyle name="40% - Accent1 2 3 4 2 4" xfId="30794" xr:uid="{BAF30410-1CD0-4BE2-A7F1-15C3683C6C51}"/>
    <cellStyle name="40% - Accent1 2 3 4 2 5" xfId="22347" xr:uid="{17D9638C-2343-43E4-B391-A16B173B01B6}"/>
    <cellStyle name="40% - Accent1 2 3 4 2 6" xfId="13050" xr:uid="{63A73849-AE50-4E3A-BC52-0F2855E89912}"/>
    <cellStyle name="40% - Accent1 2 3 4 3" xfId="5796" xr:uid="{00000000-0005-0000-0000-0000F7030000}"/>
    <cellStyle name="40% - Accent1 2 3 4 3 2" xfId="41314" xr:uid="{50ABC8AC-CC26-4CB8-BE21-5923A872BA39}"/>
    <cellStyle name="40% - Accent1 2 3 4 3 3" xfId="32867" xr:uid="{74013F24-4C2D-4D8A-9B9B-E2C33386FB36}"/>
    <cellStyle name="40% - Accent1 2 3 4 3 4" xfId="24419" xr:uid="{55EE1546-620E-43C7-AC14-81886BB1B058}"/>
    <cellStyle name="40% - Accent1 2 3 4 3 5" xfId="15122" xr:uid="{3D52C61E-F75D-4BBE-A814-7BC316F03D2C}"/>
    <cellStyle name="40% - Accent1 2 3 4 4" xfId="37097" xr:uid="{21C33ED2-124E-470D-9834-135456D6A7F6}"/>
    <cellStyle name="40% - Accent1 2 3 4 5" xfId="28649" xr:uid="{E7F7B4F2-BB1F-4FB8-9744-6E9AC1D1DE6F}"/>
    <cellStyle name="40% - Accent1 2 3 4 6" xfId="20202" xr:uid="{E13DA852-BC4A-482D-8D36-3A344B84D94E}"/>
    <cellStyle name="40% - Accent1 2 3 4 7" xfId="10905" xr:uid="{76AFB39A-3CF4-4B9F-A5A5-73AF541FB0A3}"/>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43872" xr:uid="{A74BCC8C-E0BC-43BA-A462-91FFD929ADB8}"/>
    <cellStyle name="40% - Accent1 2 3 5 2 2 3" xfId="35425" xr:uid="{32567910-9BA2-4E33-B965-9D47EEFA12D2}"/>
    <cellStyle name="40% - Accent1 2 3 5 2 2 4" xfId="26977" xr:uid="{16C62932-B9BA-4A59-92BD-9B63E4281EE3}"/>
    <cellStyle name="40% - Accent1 2 3 5 2 2 5" xfId="17680" xr:uid="{C9283FF6-B2D7-4860-92EA-F2C7D16F810F}"/>
    <cellStyle name="40% - Accent1 2 3 5 2 3" xfId="39655" xr:uid="{9F1294F1-96B7-4840-B81A-05DC513462B0}"/>
    <cellStyle name="40% - Accent1 2 3 5 2 4" xfId="31207" xr:uid="{F62621D0-0960-4828-BA95-49761D421BFF}"/>
    <cellStyle name="40% - Accent1 2 3 5 2 5" xfId="22760" xr:uid="{87C1CF17-D899-4221-9872-51F3F1A373BD}"/>
    <cellStyle name="40% - Accent1 2 3 5 2 6" xfId="13463" xr:uid="{00596443-5091-4818-996A-65A2889860EA}"/>
    <cellStyle name="40% - Accent1 2 3 5 3" xfId="6209" xr:uid="{00000000-0005-0000-0000-0000FB030000}"/>
    <cellStyle name="40% - Accent1 2 3 5 3 2" xfId="41727" xr:uid="{80791513-87F8-471B-8BD1-04AC5247BD05}"/>
    <cellStyle name="40% - Accent1 2 3 5 3 3" xfId="33280" xr:uid="{81D1325E-DBF0-4527-90B5-5896347EB65B}"/>
    <cellStyle name="40% - Accent1 2 3 5 3 4" xfId="24832" xr:uid="{8FD53581-CEFF-471A-A26E-894CAC3C2EF1}"/>
    <cellStyle name="40% - Accent1 2 3 5 3 5" xfId="15535" xr:uid="{C05E04C2-A70E-48DE-A554-DF032C68E20A}"/>
    <cellStyle name="40% - Accent1 2 3 5 4" xfId="37510" xr:uid="{89D9375F-B0E4-46F3-92B3-557FCE4BEBF4}"/>
    <cellStyle name="40% - Accent1 2 3 5 5" xfId="29062" xr:uid="{376237AA-7C43-4563-AAED-3D46D699CD92}"/>
    <cellStyle name="40% - Accent1 2 3 5 6" xfId="20615" xr:uid="{2E1F5D02-6A0F-4A94-9567-BFD03F7C630E}"/>
    <cellStyle name="40% - Accent1 2 3 5 7" xfId="11318" xr:uid="{3AD7620B-6B5F-4941-9C66-C72B6768EB64}"/>
    <cellStyle name="40% - Accent1 2 3 6" xfId="2316" xr:uid="{00000000-0005-0000-0000-0000FC030000}"/>
    <cellStyle name="40% - Accent1 2 3 6 2" xfId="6622" xr:uid="{00000000-0005-0000-0000-0000FD030000}"/>
    <cellStyle name="40% - Accent1 2 3 6 2 2" xfId="42140" xr:uid="{E6B844C3-9E57-4B4D-BD42-2CDE2F9C3C04}"/>
    <cellStyle name="40% - Accent1 2 3 6 2 3" xfId="33693" xr:uid="{4B4C2136-D666-455A-BC09-B08C232DF82E}"/>
    <cellStyle name="40% - Accent1 2 3 6 2 4" xfId="25245" xr:uid="{1B07EB70-BCAA-4F04-8BC6-52E7E2CAF503}"/>
    <cellStyle name="40% - Accent1 2 3 6 2 5" xfId="15948" xr:uid="{30DA223F-CB88-4D90-BB4B-44DFC30F0B78}"/>
    <cellStyle name="40% - Accent1 2 3 6 3" xfId="37923" xr:uid="{77A47613-7571-4974-AAA1-0D72D3DF2D2F}"/>
    <cellStyle name="40% - Accent1 2 3 6 4" xfId="29475" xr:uid="{384EDD21-C820-4C82-9BBD-73AFEB8161CB}"/>
    <cellStyle name="40% - Accent1 2 3 6 5" xfId="21028" xr:uid="{390D013B-8728-47FC-B8FB-8D19643FF578}"/>
    <cellStyle name="40% - Accent1 2 3 6 6" xfId="11731" xr:uid="{D71AB107-663B-43D8-8D2B-5D7DF9822C1A}"/>
    <cellStyle name="40% - Accent1 2 3 7" xfId="4556" xr:uid="{00000000-0005-0000-0000-0000FE030000}"/>
    <cellStyle name="40% - Accent1 2 3 7 2" xfId="40074" xr:uid="{B88B99CD-75DF-420B-A26E-97E02DBEA999}"/>
    <cellStyle name="40% - Accent1 2 3 7 3" xfId="31627" xr:uid="{64EF9027-FC44-4A23-9665-F0802B52EB78}"/>
    <cellStyle name="40% - Accent1 2 3 7 4" xfId="23179" xr:uid="{C4975FDF-0080-4EB5-9390-4B2A30EB7151}"/>
    <cellStyle name="40% - Accent1 2 3 7 5" xfId="13882" xr:uid="{FC44B499-E830-44E6-B8E4-C3E1443FB086}"/>
    <cellStyle name="40% - Accent1 2 3 8" xfId="9005" xr:uid="{83AF69B9-664F-4E19-B721-7989C2FEBC0C}"/>
    <cellStyle name="40% - Accent1 2 3 8 2" xfId="35857" xr:uid="{2845EC0B-2B00-435F-9261-88E061031EE2}"/>
    <cellStyle name="40% - Accent1 2 3 8 3" xfId="18328" xr:uid="{6DB2509E-A071-490D-85E3-20A2BA9B0B09}"/>
    <cellStyle name="40% - Accent1 2 3 9" xfId="27409" xr:uid="{E6AFBF42-C220-4ED6-AFA4-C6823ABB6669}"/>
    <cellStyle name="40% - Accent1 2 4" xfId="619" xr:uid="{00000000-0005-0000-0000-0000FF030000}"/>
    <cellStyle name="40% - Accent1 2 4 2" xfId="2890" xr:uid="{00000000-0005-0000-0000-000000040000}"/>
    <cellStyle name="40% - Accent1 2 4 2 2" xfId="7112" xr:uid="{00000000-0005-0000-0000-000001040000}"/>
    <cellStyle name="40% - Accent1 2 4 2 2 2" xfId="42630" xr:uid="{53ACBC5A-2091-4206-B4D3-FD5B809FFC05}"/>
    <cellStyle name="40% - Accent1 2 4 2 2 3" xfId="34183" xr:uid="{D3A07BC4-F26A-4020-8AFF-87F507166F80}"/>
    <cellStyle name="40% - Accent1 2 4 2 2 4" xfId="25735" xr:uid="{AD11E9A3-2437-4554-A384-873B12A7914B}"/>
    <cellStyle name="40% - Accent1 2 4 2 2 5" xfId="16438" xr:uid="{84A0206B-C727-4207-9AB2-4A0211E8B35B}"/>
    <cellStyle name="40% - Accent1 2 4 2 3" xfId="38413" xr:uid="{2650534C-8573-41B4-8C62-1877037A0746}"/>
    <cellStyle name="40% - Accent1 2 4 2 4" xfId="29965" xr:uid="{7ECE6CE1-5A9D-44E1-B6E2-27CCEA791440}"/>
    <cellStyle name="40% - Accent1 2 4 2 5" xfId="21518" xr:uid="{35FE740E-A397-4767-920F-AD59FE0B1B7F}"/>
    <cellStyle name="40% - Accent1 2 4 2 6" xfId="12221" xr:uid="{DC42DA06-4DC5-4B63-B942-11417F924EE1}"/>
    <cellStyle name="40% - Accent1 2 4 3" xfId="4967" xr:uid="{00000000-0005-0000-0000-000002040000}"/>
    <cellStyle name="40% - Accent1 2 4 3 2" xfId="40485" xr:uid="{F7E8746A-1696-4323-9D24-297CF668860C}"/>
    <cellStyle name="40% - Accent1 2 4 3 3" xfId="32038" xr:uid="{35A2F55C-16CB-48B3-805A-3CF5CC24270C}"/>
    <cellStyle name="40% - Accent1 2 4 3 4" xfId="23590" xr:uid="{15149884-B9A3-498F-8E44-29E1803C2B3A}"/>
    <cellStyle name="40% - Accent1 2 4 3 5" xfId="14293" xr:uid="{2C81BAEF-6E77-4157-89E3-EF9181201FBE}"/>
    <cellStyle name="40% - Accent1 2 4 4" xfId="9222" xr:uid="{A6B83122-AC98-4E58-AA4D-EC5ECC38FC6B}"/>
    <cellStyle name="40% - Accent1 2 4 4 2" xfId="36268" xr:uid="{8D3284E3-0BF5-4D58-89D2-B6D4B9DB35BB}"/>
    <cellStyle name="40% - Accent1 2 4 4 3" xfId="18536" xr:uid="{15F7933F-2FB3-4EAF-A277-89358FAA41F5}"/>
    <cellStyle name="40% - Accent1 2 4 5" xfId="27820" xr:uid="{6F66FAFC-E72C-491B-A475-0D1D70BF0EF0}"/>
    <cellStyle name="40% - Accent1 2 4 6" xfId="19373" xr:uid="{AA04755E-CE65-4339-BC92-CB2EDFF70207}"/>
    <cellStyle name="40% - Accent1 2 4 7" xfId="10076" xr:uid="{A1BB113A-CBEC-4A9D-B686-432CB9C15A40}"/>
    <cellStyle name="40% - Accent1 2 5" xfId="1072" xr:uid="{00000000-0005-0000-0000-000003040000}"/>
    <cellStyle name="40% - Accent1 2 5 2" xfId="3303" xr:uid="{00000000-0005-0000-0000-000004040000}"/>
    <cellStyle name="40% - Accent1 2 5 2 2" xfId="7525" xr:uid="{00000000-0005-0000-0000-000005040000}"/>
    <cellStyle name="40% - Accent1 2 5 2 2 2" xfId="43043" xr:uid="{A84B99F6-317C-4882-A9D3-8598A17B3268}"/>
    <cellStyle name="40% - Accent1 2 5 2 2 3" xfId="34596" xr:uid="{2FDE6E35-9DDA-4E6A-AED6-A2D45802BDFD}"/>
    <cellStyle name="40% - Accent1 2 5 2 2 4" xfId="26148" xr:uid="{52136246-0155-48FD-A62E-E3E318750470}"/>
    <cellStyle name="40% - Accent1 2 5 2 2 5" xfId="16851" xr:uid="{710BD381-34F0-4838-8C78-17F6DD41ABE9}"/>
    <cellStyle name="40% - Accent1 2 5 2 3" xfId="38826" xr:uid="{145E667C-6FAC-4300-8E4A-D654FCAEA74A}"/>
    <cellStyle name="40% - Accent1 2 5 2 4" xfId="30378" xr:uid="{692B1297-34B6-4510-BF9C-B601DD638385}"/>
    <cellStyle name="40% - Accent1 2 5 2 5" xfId="21931" xr:uid="{10EC6280-2E44-443F-968A-416C26A586FC}"/>
    <cellStyle name="40% - Accent1 2 5 2 6" xfId="12634" xr:uid="{FFD7B85F-8E42-4F1F-B49C-64622E74C263}"/>
    <cellStyle name="40% - Accent1 2 5 3" xfId="5380" xr:uid="{00000000-0005-0000-0000-000006040000}"/>
    <cellStyle name="40% - Accent1 2 5 3 2" xfId="40898" xr:uid="{F6342C43-CDE6-47B8-9ADF-B952F5ED46D6}"/>
    <cellStyle name="40% - Accent1 2 5 3 3" xfId="32451" xr:uid="{7A02E6BF-673D-4E2B-BD96-86E9CDACF126}"/>
    <cellStyle name="40% - Accent1 2 5 3 4" xfId="24003" xr:uid="{DA7FC485-82CE-4E23-8100-E8F4B9F48491}"/>
    <cellStyle name="40% - Accent1 2 5 3 5" xfId="14706" xr:uid="{EF5B1B72-AA38-4B76-A8E5-EBCD7B19C570}"/>
    <cellStyle name="40% - Accent1 2 5 4" xfId="36681" xr:uid="{3B93ACE7-2CC7-478F-A7D9-D4C9D178C2FD}"/>
    <cellStyle name="40% - Accent1 2 5 5" xfId="28233" xr:uid="{B9AE2818-8780-4BA5-B692-6DABAC4B9D2C}"/>
    <cellStyle name="40% - Accent1 2 5 6" xfId="19786" xr:uid="{9B9CD0F5-FD23-4682-80B6-6244B601825C}"/>
    <cellStyle name="40% - Accent1 2 5 7" xfId="10489" xr:uid="{3CB5C181-B9BA-4541-A180-0837137C7ACE}"/>
    <cellStyle name="40% - Accent1 2 6" xfId="1486" xr:uid="{00000000-0005-0000-0000-000007040000}"/>
    <cellStyle name="40% - Accent1 2 6 2" xfId="3716" xr:uid="{00000000-0005-0000-0000-000008040000}"/>
    <cellStyle name="40% - Accent1 2 6 2 2" xfId="7938" xr:uid="{00000000-0005-0000-0000-000009040000}"/>
    <cellStyle name="40% - Accent1 2 6 2 2 2" xfId="43456" xr:uid="{34A926D7-D0AE-47EF-B1AF-F3C8314264BD}"/>
    <cellStyle name="40% - Accent1 2 6 2 2 3" xfId="35009" xr:uid="{9FB232B4-C659-4321-8EB6-5A12A34B6B36}"/>
    <cellStyle name="40% - Accent1 2 6 2 2 4" xfId="26561" xr:uid="{7DBEC343-AF5E-4A2D-94A1-B451195A1776}"/>
    <cellStyle name="40% - Accent1 2 6 2 2 5" xfId="17264" xr:uid="{2EA63569-6FF2-474F-845F-120E1575697F}"/>
    <cellStyle name="40% - Accent1 2 6 2 3" xfId="39239" xr:uid="{F48887D5-DE57-4151-A058-01EE6A6DA6D9}"/>
    <cellStyle name="40% - Accent1 2 6 2 4" xfId="30791" xr:uid="{7F0449D9-00D7-4F99-9EC7-60B630302AF9}"/>
    <cellStyle name="40% - Accent1 2 6 2 5" xfId="22344" xr:uid="{C94763CB-A3AD-423B-99BA-8D277222496B}"/>
    <cellStyle name="40% - Accent1 2 6 2 6" xfId="13047" xr:uid="{04E66AD7-2355-4110-8A23-6244FCC18EC1}"/>
    <cellStyle name="40% - Accent1 2 6 3" xfId="5793" xr:uid="{00000000-0005-0000-0000-00000A040000}"/>
    <cellStyle name="40% - Accent1 2 6 3 2" xfId="41311" xr:uid="{6FB9ACC5-3C3C-46FA-A3AD-EB9092E65270}"/>
    <cellStyle name="40% - Accent1 2 6 3 3" xfId="32864" xr:uid="{4EAF40F0-9E4E-47F9-B0C0-44831069A338}"/>
    <cellStyle name="40% - Accent1 2 6 3 4" xfId="24416" xr:uid="{AF0E1236-5CC3-4355-8071-BB04687CDF79}"/>
    <cellStyle name="40% - Accent1 2 6 3 5" xfId="15119" xr:uid="{B655051D-6344-460D-B658-039E261DC007}"/>
    <cellStyle name="40% - Accent1 2 6 4" xfId="37094" xr:uid="{0B5922D1-44FE-4F18-95B6-B3B3754E77FB}"/>
    <cellStyle name="40% - Accent1 2 6 5" xfId="28646" xr:uid="{5D031267-59EA-4C17-8440-C5675E83BC11}"/>
    <cellStyle name="40% - Accent1 2 6 6" xfId="20199" xr:uid="{3FC01A49-64C7-4FC9-BC9E-1EA177C1B38F}"/>
    <cellStyle name="40% - Accent1 2 6 7" xfId="10902" xr:uid="{A24199CD-AAB7-43BC-A9BF-19FAC65D8558}"/>
    <cellStyle name="40% - Accent1 2 7" xfId="1900" xr:uid="{00000000-0005-0000-0000-00000B040000}"/>
    <cellStyle name="40% - Accent1 2 7 2" xfId="4129" xr:uid="{00000000-0005-0000-0000-00000C040000}"/>
    <cellStyle name="40% - Accent1 2 7 2 2" xfId="8351" xr:uid="{00000000-0005-0000-0000-00000D040000}"/>
    <cellStyle name="40% - Accent1 2 7 2 2 2" xfId="43869" xr:uid="{9AF57B23-955B-4CF8-9893-7E07296C76A7}"/>
    <cellStyle name="40% - Accent1 2 7 2 2 3" xfId="35422" xr:uid="{0086C75E-18D2-4A5E-88C8-1DACB0DAD227}"/>
    <cellStyle name="40% - Accent1 2 7 2 2 4" xfId="26974" xr:uid="{09FA50FF-8354-4F17-9B68-AF013149D8B5}"/>
    <cellStyle name="40% - Accent1 2 7 2 2 5" xfId="17677" xr:uid="{BF570AAE-5F43-442C-9B7D-78192C36D247}"/>
    <cellStyle name="40% - Accent1 2 7 2 3" xfId="39652" xr:uid="{16763050-1595-496A-BF4A-9719B4BB1920}"/>
    <cellStyle name="40% - Accent1 2 7 2 4" xfId="31204" xr:uid="{60E3442D-B0D5-4852-9768-375A7DADF8E3}"/>
    <cellStyle name="40% - Accent1 2 7 2 5" xfId="22757" xr:uid="{ECCA4F3D-FBAC-408B-9DF2-C65C7299D106}"/>
    <cellStyle name="40% - Accent1 2 7 2 6" xfId="13460" xr:uid="{D69EE2CF-F45D-4C4A-B0FF-013400AA38E7}"/>
    <cellStyle name="40% - Accent1 2 7 3" xfId="6206" xr:uid="{00000000-0005-0000-0000-00000E040000}"/>
    <cellStyle name="40% - Accent1 2 7 3 2" xfId="41724" xr:uid="{F6D4E6C3-426E-44B6-9813-814452A0646E}"/>
    <cellStyle name="40% - Accent1 2 7 3 3" xfId="33277" xr:uid="{38677996-814F-4988-B6BE-FF5FA844FAD9}"/>
    <cellStyle name="40% - Accent1 2 7 3 4" xfId="24829" xr:uid="{B3A1E5FE-1F29-4996-8B9B-E7CB5B44D7DC}"/>
    <cellStyle name="40% - Accent1 2 7 3 5" xfId="15532" xr:uid="{0ED43049-95B8-4C40-911E-87A57D3F6C52}"/>
    <cellStyle name="40% - Accent1 2 7 4" xfId="37507" xr:uid="{7103E7B8-A676-4CAA-83C0-82FF2ADD91DE}"/>
    <cellStyle name="40% - Accent1 2 7 5" xfId="29059" xr:uid="{CC17EB12-5DA1-4274-AECE-0057143725BB}"/>
    <cellStyle name="40% - Accent1 2 7 6" xfId="20612" xr:uid="{BD2096E3-7991-4013-A531-E26378ADAFAD}"/>
    <cellStyle name="40% - Accent1 2 7 7" xfId="11315" xr:uid="{721AF63F-31F5-4E58-BC40-710FDFE61116}"/>
    <cellStyle name="40% - Accent1 2 8" xfId="2313" xr:uid="{00000000-0005-0000-0000-00000F040000}"/>
    <cellStyle name="40% - Accent1 2 8 2" xfId="6619" xr:uid="{00000000-0005-0000-0000-000010040000}"/>
    <cellStyle name="40% - Accent1 2 8 2 2" xfId="42137" xr:uid="{FC74B445-5597-4C1A-8335-D8451218E015}"/>
    <cellStyle name="40% - Accent1 2 8 2 3" xfId="33690" xr:uid="{28D95E3A-7D24-4E58-ABDA-FE8BCBC848DE}"/>
    <cellStyle name="40% - Accent1 2 8 2 4" xfId="25242" xr:uid="{5B0180D1-CB5D-483D-B4A9-D712FF63AFE1}"/>
    <cellStyle name="40% - Accent1 2 8 2 5" xfId="15945" xr:uid="{1DE98FC6-C7C6-4391-9920-D537407365DA}"/>
    <cellStyle name="40% - Accent1 2 8 3" xfId="37920" xr:uid="{07EA64F0-E2C0-45F8-8EE6-8A702C009997}"/>
    <cellStyle name="40% - Accent1 2 8 4" xfId="29472" xr:uid="{F7716103-23E9-4E96-9598-4F6C9AD285BC}"/>
    <cellStyle name="40% - Accent1 2 8 5" xfId="21025" xr:uid="{36F4AF1C-E041-480A-9B38-539B029E51EF}"/>
    <cellStyle name="40% - Accent1 2 8 6" xfId="11728" xr:uid="{8B63356E-E1CA-4773-99C4-15ED97D3FE24}"/>
    <cellStyle name="40% - Accent1 2 9" xfId="4553" xr:uid="{00000000-0005-0000-0000-000011040000}"/>
    <cellStyle name="40% - Accent1 2 9 2" xfId="40071" xr:uid="{CBAFDA39-F037-4733-9F31-5EE62E3CBED2}"/>
    <cellStyle name="40% - Accent1 2 9 3" xfId="31624" xr:uid="{05C0BFDC-50CA-4491-A6CE-9FB5357A104A}"/>
    <cellStyle name="40% - Accent1 2 9 4" xfId="23176" xr:uid="{9BA5EE0C-2617-4865-A1AC-C91D6266E404}"/>
    <cellStyle name="40% - Accent1 2 9 5" xfId="13879" xr:uid="{D2A6D24A-C57E-4087-9957-43CE1BE40EC2}"/>
    <cellStyle name="40% - Accent1 3" xfId="54" xr:uid="{00000000-0005-0000-0000-000012040000}"/>
    <cellStyle name="40% - Accent1 3 10" xfId="27410" xr:uid="{E8213B8D-A43D-4B44-9E5D-0083DE491138}"/>
    <cellStyle name="40% - Accent1 3 11" xfId="18963" xr:uid="{8AC7911C-5535-40D5-8922-A8A01AAEDEE5}"/>
    <cellStyle name="40% - Accent1 3 12" xfId="9666" xr:uid="{69E57121-DD64-42F0-92D5-2A778CD5E60A}"/>
    <cellStyle name="40% - Accent1 3 2" xfId="55" xr:uid="{00000000-0005-0000-0000-000013040000}"/>
    <cellStyle name="40% - Accent1 3 2 10" xfId="18964" xr:uid="{1364F8B6-8EE5-4DC2-87B3-E9D5E7D0110F}"/>
    <cellStyle name="40% - Accent1 3 2 11" xfId="9667" xr:uid="{9D089FCD-BEDB-4940-BED5-0C9B3978F75D}"/>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42635" xr:uid="{CBB1A748-6DFC-4299-B6D8-F53BA94CA52B}"/>
    <cellStyle name="40% - Accent1 3 2 2 2 2 3" xfId="34188" xr:uid="{229C067D-8E4A-4B5F-8988-0E9BB3F9CD86}"/>
    <cellStyle name="40% - Accent1 3 2 2 2 2 4" xfId="25740" xr:uid="{ECDB220C-B0E6-4053-8A26-B255CCD9991C}"/>
    <cellStyle name="40% - Accent1 3 2 2 2 2 5" xfId="16443" xr:uid="{030015CD-C8FC-4FF5-B7AE-A909CE70EA56}"/>
    <cellStyle name="40% - Accent1 3 2 2 2 3" xfId="38418" xr:uid="{501AE3EF-5B0F-4433-AC03-D85D0D292B30}"/>
    <cellStyle name="40% - Accent1 3 2 2 2 4" xfId="29970" xr:uid="{AAAD7C4C-6DE7-46A6-9654-AC3C69A7CF4F}"/>
    <cellStyle name="40% - Accent1 3 2 2 2 5" xfId="21523" xr:uid="{9713D694-EA9C-442D-8085-95878049F783}"/>
    <cellStyle name="40% - Accent1 3 2 2 2 6" xfId="12226" xr:uid="{002B29DD-883B-4247-AD80-F12AEB228937}"/>
    <cellStyle name="40% - Accent1 3 2 2 3" xfId="4972" xr:uid="{00000000-0005-0000-0000-000017040000}"/>
    <cellStyle name="40% - Accent1 3 2 2 3 2" xfId="40490" xr:uid="{8215A973-DB3E-4B6C-86A2-066049C2A25B}"/>
    <cellStyle name="40% - Accent1 3 2 2 3 3" xfId="32043" xr:uid="{9348AC11-FFDC-41DB-B4B0-80D1553DE8F8}"/>
    <cellStyle name="40% - Accent1 3 2 2 3 4" xfId="23595" xr:uid="{C9E8A82E-31A1-4102-9398-5868183F65D6}"/>
    <cellStyle name="40% - Accent1 3 2 2 3 5" xfId="14298" xr:uid="{4F959BF5-8CE7-4016-97D0-9609DA88383E}"/>
    <cellStyle name="40% - Accent1 3 2 2 4" xfId="9494" xr:uid="{49092FA9-F337-44E8-98C8-15711B1C1558}"/>
    <cellStyle name="40% - Accent1 3 2 2 4 2" xfId="36273" xr:uid="{8D3F43FA-290A-444B-9231-B2504DDFCBEB}"/>
    <cellStyle name="40% - Accent1 3 2 2 4 3" xfId="18807" xr:uid="{551AA0AE-2878-435E-BE01-591DB3D1BD30}"/>
    <cellStyle name="40% - Accent1 3 2 2 5" xfId="27825" xr:uid="{3EE57D98-4EC3-43BF-A186-64B51DF67BE1}"/>
    <cellStyle name="40% - Accent1 3 2 2 6" xfId="19378" xr:uid="{E670F242-B401-4F26-8AAC-9062BB5F4F0F}"/>
    <cellStyle name="40% - Accent1 3 2 2 7" xfId="10081" xr:uid="{CD67D8C0-F3A6-4F39-B069-F034D28982EF}"/>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43048" xr:uid="{0566910B-7D5A-4CB2-AF94-189BDBCA54EE}"/>
    <cellStyle name="40% - Accent1 3 2 3 2 2 3" xfId="34601" xr:uid="{1A353B00-A58C-4563-9785-2A7B14D73026}"/>
    <cellStyle name="40% - Accent1 3 2 3 2 2 4" xfId="26153" xr:uid="{C8A828DA-5F90-4D1B-BC9B-5AEDCF7CD429}"/>
    <cellStyle name="40% - Accent1 3 2 3 2 2 5" xfId="16856" xr:uid="{A404F053-0084-408C-A3B7-6C09012AB918}"/>
    <cellStyle name="40% - Accent1 3 2 3 2 3" xfId="38831" xr:uid="{34F95DC5-D726-45D0-A247-99B7E3A0688B}"/>
    <cellStyle name="40% - Accent1 3 2 3 2 4" xfId="30383" xr:uid="{30E0EBB0-4144-4A14-A205-6F25EC92BBFB}"/>
    <cellStyle name="40% - Accent1 3 2 3 2 5" xfId="21936" xr:uid="{7EF3685A-ACB9-4657-9BC9-6ED746D72256}"/>
    <cellStyle name="40% - Accent1 3 2 3 2 6" xfId="12639" xr:uid="{AA21B312-1CD0-4DBF-86C0-3902E3C5802C}"/>
    <cellStyle name="40% - Accent1 3 2 3 3" xfId="5385" xr:uid="{00000000-0005-0000-0000-00001B040000}"/>
    <cellStyle name="40% - Accent1 3 2 3 3 2" xfId="40903" xr:uid="{210C5A28-DC29-4AB4-9749-E500AAA99DB5}"/>
    <cellStyle name="40% - Accent1 3 2 3 3 3" xfId="32456" xr:uid="{C8AEADA9-D362-4404-B58A-BAA504B6ABA1}"/>
    <cellStyle name="40% - Accent1 3 2 3 3 4" xfId="24008" xr:uid="{7B5E1924-2B1A-4DF8-A0D5-1CB96123C971}"/>
    <cellStyle name="40% - Accent1 3 2 3 3 5" xfId="14711" xr:uid="{08494EFD-3208-45AE-BAFD-FEBBA6CE1798}"/>
    <cellStyle name="40% - Accent1 3 2 3 4" xfId="36686" xr:uid="{4418D7B1-2BEA-43BC-830C-8C872DAB9AB1}"/>
    <cellStyle name="40% - Accent1 3 2 3 5" xfId="28238" xr:uid="{B995D783-0467-4C79-B793-F8A03BE5C43D}"/>
    <cellStyle name="40% - Accent1 3 2 3 6" xfId="19791" xr:uid="{FA6F3FF3-1C27-41EE-A668-E9C41C39AC17}"/>
    <cellStyle name="40% - Accent1 3 2 3 7" xfId="10494" xr:uid="{0D18FFB7-C0F7-497C-A5C8-F6A4C08C097C}"/>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43461" xr:uid="{84444558-A9CA-4810-828B-6EA3173BD283}"/>
    <cellStyle name="40% - Accent1 3 2 4 2 2 3" xfId="35014" xr:uid="{CDA2ED0C-8826-48B7-A3CC-5FC09CD54B4A}"/>
    <cellStyle name="40% - Accent1 3 2 4 2 2 4" xfId="26566" xr:uid="{43FC0A02-1EF4-4BEB-9A44-740A732AF919}"/>
    <cellStyle name="40% - Accent1 3 2 4 2 2 5" xfId="17269" xr:uid="{C47FAA58-1A46-4650-8879-9798B157648E}"/>
    <cellStyle name="40% - Accent1 3 2 4 2 3" xfId="39244" xr:uid="{103275C9-7DBD-421C-A20D-9320B6FE6241}"/>
    <cellStyle name="40% - Accent1 3 2 4 2 4" xfId="30796" xr:uid="{64B946A5-8878-4CD0-AADC-FFE41A2D527E}"/>
    <cellStyle name="40% - Accent1 3 2 4 2 5" xfId="22349" xr:uid="{5D2B98AC-D61B-4703-8480-A5B0C800A7CE}"/>
    <cellStyle name="40% - Accent1 3 2 4 2 6" xfId="13052" xr:uid="{867946B0-A0A8-43E7-9F30-7453C3ED8E54}"/>
    <cellStyle name="40% - Accent1 3 2 4 3" xfId="5798" xr:uid="{00000000-0005-0000-0000-00001F040000}"/>
    <cellStyle name="40% - Accent1 3 2 4 3 2" xfId="41316" xr:uid="{8A670DEC-685A-4BB1-A413-4AAC11BC4C2F}"/>
    <cellStyle name="40% - Accent1 3 2 4 3 3" xfId="32869" xr:uid="{C6917621-EA87-4D3A-98C8-F4BCA05E2F98}"/>
    <cellStyle name="40% - Accent1 3 2 4 3 4" xfId="24421" xr:uid="{E6406D27-050C-4E24-80D5-D17D2F060614}"/>
    <cellStyle name="40% - Accent1 3 2 4 3 5" xfId="15124" xr:uid="{051784C1-EA80-4CAA-8E7F-4F0DAD5953B3}"/>
    <cellStyle name="40% - Accent1 3 2 4 4" xfId="37099" xr:uid="{0E4C7A61-E24F-4C50-A5E0-B63AA746EBB8}"/>
    <cellStyle name="40% - Accent1 3 2 4 5" xfId="28651" xr:uid="{4EDA6914-CA13-4560-A753-C7764665DC0D}"/>
    <cellStyle name="40% - Accent1 3 2 4 6" xfId="20204" xr:uid="{2761A73A-79EE-442C-AC90-5626153ABBAB}"/>
    <cellStyle name="40% - Accent1 3 2 4 7" xfId="10907" xr:uid="{CF897B7F-C538-4976-A011-9FA1BD28E839}"/>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43874" xr:uid="{B5AA38DE-AA35-464D-8312-B7D6740C9B7F}"/>
    <cellStyle name="40% - Accent1 3 2 5 2 2 3" xfId="35427" xr:uid="{843CEBF3-B52A-49D9-BCE0-91E38A262B92}"/>
    <cellStyle name="40% - Accent1 3 2 5 2 2 4" xfId="26979" xr:uid="{239D1F2E-854F-4739-9C9E-78B9DBC2A500}"/>
    <cellStyle name="40% - Accent1 3 2 5 2 2 5" xfId="17682" xr:uid="{2E7D5F1F-0169-443E-85FC-EEDFCB805661}"/>
    <cellStyle name="40% - Accent1 3 2 5 2 3" xfId="39657" xr:uid="{F86FAB61-C6CA-4D3E-9E5F-600D022B804F}"/>
    <cellStyle name="40% - Accent1 3 2 5 2 4" xfId="31209" xr:uid="{F5F51F59-8EFE-419F-8976-98F34D50AF19}"/>
    <cellStyle name="40% - Accent1 3 2 5 2 5" xfId="22762" xr:uid="{5F0D45AF-D957-4A31-B62A-ED7C05347E8C}"/>
    <cellStyle name="40% - Accent1 3 2 5 2 6" xfId="13465" xr:uid="{827EE24A-2119-4777-A0D4-8ED26293C16B}"/>
    <cellStyle name="40% - Accent1 3 2 5 3" xfId="6211" xr:uid="{00000000-0005-0000-0000-000023040000}"/>
    <cellStyle name="40% - Accent1 3 2 5 3 2" xfId="41729" xr:uid="{BC323C21-1E05-41F5-9616-1A3A2CB6AB52}"/>
    <cellStyle name="40% - Accent1 3 2 5 3 3" xfId="33282" xr:uid="{99E83A1C-E7CA-4FC7-AC77-8DE0DF55659D}"/>
    <cellStyle name="40% - Accent1 3 2 5 3 4" xfId="24834" xr:uid="{AEFD6046-C0C6-40D2-99E3-06705EA9826F}"/>
    <cellStyle name="40% - Accent1 3 2 5 3 5" xfId="15537" xr:uid="{4CFF895C-5E5C-47C9-A9F1-C62A89791494}"/>
    <cellStyle name="40% - Accent1 3 2 5 4" xfId="37512" xr:uid="{3A6D02E4-6170-43CB-839F-F8C528537604}"/>
    <cellStyle name="40% - Accent1 3 2 5 5" xfId="29064" xr:uid="{AE483718-5ACC-4CC6-90EC-882CA0FFB650}"/>
    <cellStyle name="40% - Accent1 3 2 5 6" xfId="20617" xr:uid="{2DEAA72B-09ED-4DA3-807A-52CB8F5AF158}"/>
    <cellStyle name="40% - Accent1 3 2 5 7" xfId="11320" xr:uid="{71C60844-FFF0-4113-816F-CF19F1490073}"/>
    <cellStyle name="40% - Accent1 3 2 6" xfId="2318" xr:uid="{00000000-0005-0000-0000-000024040000}"/>
    <cellStyle name="40% - Accent1 3 2 6 2" xfId="6624" xr:uid="{00000000-0005-0000-0000-000025040000}"/>
    <cellStyle name="40% - Accent1 3 2 6 2 2" xfId="42142" xr:uid="{6E48E78E-BD52-40BD-BAF6-BC54E5352B62}"/>
    <cellStyle name="40% - Accent1 3 2 6 2 3" xfId="33695" xr:uid="{669E21A6-7534-4552-8C65-80ABD7CDB95C}"/>
    <cellStyle name="40% - Accent1 3 2 6 2 4" xfId="25247" xr:uid="{3524B86F-0078-4D3C-84B4-A60179BA0718}"/>
    <cellStyle name="40% - Accent1 3 2 6 2 5" xfId="15950" xr:uid="{B63A070F-9D81-49E9-8715-2E2B7C2C7C4E}"/>
    <cellStyle name="40% - Accent1 3 2 6 3" xfId="37925" xr:uid="{E5D027B7-7121-4634-BD8F-9B8CB0BEB07C}"/>
    <cellStyle name="40% - Accent1 3 2 6 4" xfId="29477" xr:uid="{8788567B-C1FF-4AA8-868C-80076EFFB529}"/>
    <cellStyle name="40% - Accent1 3 2 6 5" xfId="21030" xr:uid="{60EABBEA-89E6-44D0-9870-877A352E130B}"/>
    <cellStyle name="40% - Accent1 3 2 6 6" xfId="11733" xr:uid="{1C0D0D8B-12C4-489B-A634-E788926F4788}"/>
    <cellStyle name="40% - Accent1 3 2 7" xfId="4558" xr:uid="{00000000-0005-0000-0000-000026040000}"/>
    <cellStyle name="40% - Accent1 3 2 7 2" xfId="40076" xr:uid="{5D5A6846-D5ED-4D17-8097-AFBAB3A6B6A2}"/>
    <cellStyle name="40% - Accent1 3 2 7 3" xfId="31629" xr:uid="{C16C40CF-7B8B-4FE7-A19A-25D5D0961B75}"/>
    <cellStyle name="40% - Accent1 3 2 7 4" xfId="23181" xr:uid="{59ACF656-B0E4-4CA5-80BC-3B30DC92D0D3}"/>
    <cellStyle name="40% - Accent1 3 2 7 5" xfId="13884" xr:uid="{875E7F16-507B-45AF-AF5F-39B9CBC1FDE7}"/>
    <cellStyle name="40% - Accent1 3 2 8" xfId="9069" xr:uid="{F3D9FD63-8946-4492-B81A-42936E8B246D}"/>
    <cellStyle name="40% - Accent1 3 2 8 2" xfId="35859" xr:uid="{2CD6E4C3-55B6-4167-95C2-946A7D62F572}"/>
    <cellStyle name="40% - Accent1 3 2 8 3" xfId="18392" xr:uid="{4F0692F4-D5F6-414E-95DC-B21C04C7458A}"/>
    <cellStyle name="40% - Accent1 3 2 9" xfId="27411" xr:uid="{C7E47E30-F9F9-4243-8CC5-E3F738056CAC}"/>
    <cellStyle name="40% - Accent1 3 3" xfId="623" xr:uid="{00000000-0005-0000-0000-000027040000}"/>
    <cellStyle name="40% - Accent1 3 3 2" xfId="2894" xr:uid="{00000000-0005-0000-0000-000028040000}"/>
    <cellStyle name="40% - Accent1 3 3 2 2" xfId="7116" xr:uid="{00000000-0005-0000-0000-000029040000}"/>
    <cellStyle name="40% - Accent1 3 3 2 2 2" xfId="42634" xr:uid="{5AD19AED-6F03-41EA-A400-6EA36AEF0761}"/>
    <cellStyle name="40% - Accent1 3 3 2 2 3" xfId="34187" xr:uid="{20975859-E9AC-4E6E-ADD3-9DA797A013CF}"/>
    <cellStyle name="40% - Accent1 3 3 2 2 4" xfId="25739" xr:uid="{D58BFB2A-7C7D-4791-BFFE-2010478CFC8E}"/>
    <cellStyle name="40% - Accent1 3 3 2 2 5" xfId="16442" xr:uid="{B1700D2F-C45E-4695-903E-20AE1F1C5CA2}"/>
    <cellStyle name="40% - Accent1 3 3 2 3" xfId="38417" xr:uid="{45534331-F12F-4433-865A-4AF2E9BFF760}"/>
    <cellStyle name="40% - Accent1 3 3 2 4" xfId="29969" xr:uid="{4EF6FEA9-4950-4415-9D2A-0AB719ADC450}"/>
    <cellStyle name="40% - Accent1 3 3 2 5" xfId="21522" xr:uid="{3C8EA3A0-51DE-4C2B-A3CE-C47329ECD178}"/>
    <cellStyle name="40% - Accent1 3 3 2 6" xfId="12225" xr:uid="{08FB1EE7-E3C4-41F4-B90B-FE987AB34C9D}"/>
    <cellStyle name="40% - Accent1 3 3 3" xfId="4971" xr:uid="{00000000-0005-0000-0000-00002A040000}"/>
    <cellStyle name="40% - Accent1 3 3 3 2" xfId="40489" xr:uid="{2F21A710-34C6-4144-8727-3ABFC831FF1E}"/>
    <cellStyle name="40% - Accent1 3 3 3 3" xfId="32042" xr:uid="{B4868805-67C6-48ED-9552-947F518B4995}"/>
    <cellStyle name="40% - Accent1 3 3 3 4" xfId="23594" xr:uid="{F89DDB65-5B3E-43F3-96B5-5C8712FE8F5E}"/>
    <cellStyle name="40% - Accent1 3 3 3 5" xfId="14297" xr:uid="{B0DA35E5-D3C9-4BD0-91B0-6D2068A25D04}"/>
    <cellStyle name="40% - Accent1 3 3 4" xfId="9287" xr:uid="{8C21B573-3D31-49DA-ACD8-D3EC7CC3A858}"/>
    <cellStyle name="40% - Accent1 3 3 4 2" xfId="36272" xr:uid="{10C6F2C3-44B2-4260-8595-3551F1C7B587}"/>
    <cellStyle name="40% - Accent1 3 3 4 3" xfId="18600" xr:uid="{04B1521F-FF18-472A-9342-9665D3D2E9E7}"/>
    <cellStyle name="40% - Accent1 3 3 5" xfId="27824" xr:uid="{8F7FB979-6A05-4CC2-A7CF-8165BDB69F22}"/>
    <cellStyle name="40% - Accent1 3 3 6" xfId="19377" xr:uid="{C10C87A4-6177-4CE7-B6A2-8DDC61FD70E0}"/>
    <cellStyle name="40% - Accent1 3 3 7" xfId="10080" xr:uid="{06F6ED33-6B8B-4682-9DBA-0DDD93D7593B}"/>
    <cellStyle name="40% - Accent1 3 4" xfId="1076" xr:uid="{00000000-0005-0000-0000-00002B040000}"/>
    <cellStyle name="40% - Accent1 3 4 2" xfId="3307" xr:uid="{00000000-0005-0000-0000-00002C040000}"/>
    <cellStyle name="40% - Accent1 3 4 2 2" xfId="7529" xr:uid="{00000000-0005-0000-0000-00002D040000}"/>
    <cellStyle name="40% - Accent1 3 4 2 2 2" xfId="43047" xr:uid="{9CD94206-7D89-47D9-8FD6-B51E815D0767}"/>
    <cellStyle name="40% - Accent1 3 4 2 2 3" xfId="34600" xr:uid="{403DBD99-10FB-4B08-B29F-54B5A03DECB7}"/>
    <cellStyle name="40% - Accent1 3 4 2 2 4" xfId="26152" xr:uid="{3D81F92C-D771-44DE-B3E5-F495EBB65455}"/>
    <cellStyle name="40% - Accent1 3 4 2 2 5" xfId="16855" xr:uid="{D2FA8AA4-6783-4D22-8566-E7274BF38D28}"/>
    <cellStyle name="40% - Accent1 3 4 2 3" xfId="38830" xr:uid="{74B1BBEC-AAC0-4AB5-A306-1A2CA727421B}"/>
    <cellStyle name="40% - Accent1 3 4 2 4" xfId="30382" xr:uid="{9BEFE4A3-078D-4D8F-9B0F-4F4DB03FADD4}"/>
    <cellStyle name="40% - Accent1 3 4 2 5" xfId="21935" xr:uid="{FB1F40E7-6EE8-45F4-BDEB-61E62DEE7704}"/>
    <cellStyle name="40% - Accent1 3 4 2 6" xfId="12638" xr:uid="{6FDF1ADE-8C75-4875-8D43-C662BFA38C6D}"/>
    <cellStyle name="40% - Accent1 3 4 3" xfId="5384" xr:uid="{00000000-0005-0000-0000-00002E040000}"/>
    <cellStyle name="40% - Accent1 3 4 3 2" xfId="40902" xr:uid="{E47DA6C0-1085-4DF8-97A2-CC10D21C3BFE}"/>
    <cellStyle name="40% - Accent1 3 4 3 3" xfId="32455" xr:uid="{01D86D0D-803C-40D5-883E-7B4912FE2669}"/>
    <cellStyle name="40% - Accent1 3 4 3 4" xfId="24007" xr:uid="{3E30F19A-F37A-4481-855F-213FEC93FFF7}"/>
    <cellStyle name="40% - Accent1 3 4 3 5" xfId="14710" xr:uid="{7460B053-AA25-49B0-9C99-3A3F0D6CFEFA}"/>
    <cellStyle name="40% - Accent1 3 4 4" xfId="36685" xr:uid="{655EDADF-D741-469E-941E-8126D1424FC4}"/>
    <cellStyle name="40% - Accent1 3 4 5" xfId="28237" xr:uid="{BC93CB08-0723-42C1-AF43-9FE4D2CBE229}"/>
    <cellStyle name="40% - Accent1 3 4 6" xfId="19790" xr:uid="{82E1DE60-6F70-4172-B37D-E311F8415E2E}"/>
    <cellStyle name="40% - Accent1 3 4 7" xfId="10493" xr:uid="{23537A2C-A295-45E7-A516-5AFEF936B9BC}"/>
    <cellStyle name="40% - Accent1 3 5" xfId="1490" xr:uid="{00000000-0005-0000-0000-00002F040000}"/>
    <cellStyle name="40% - Accent1 3 5 2" xfId="3720" xr:uid="{00000000-0005-0000-0000-000030040000}"/>
    <cellStyle name="40% - Accent1 3 5 2 2" xfId="7942" xr:uid="{00000000-0005-0000-0000-000031040000}"/>
    <cellStyle name="40% - Accent1 3 5 2 2 2" xfId="43460" xr:uid="{387C1B07-2C27-4322-AF0C-2C638EFF5283}"/>
    <cellStyle name="40% - Accent1 3 5 2 2 3" xfId="35013" xr:uid="{8C937FA8-D274-42D7-87DD-A941B07B7151}"/>
    <cellStyle name="40% - Accent1 3 5 2 2 4" xfId="26565" xr:uid="{6515CEF7-30D7-4923-9C03-CA4686EBB578}"/>
    <cellStyle name="40% - Accent1 3 5 2 2 5" xfId="17268" xr:uid="{153DD8AA-574D-4544-A59C-58E3E9A25B92}"/>
    <cellStyle name="40% - Accent1 3 5 2 3" xfId="39243" xr:uid="{724111FA-564F-49E2-BBBA-79E0E7B3BF1D}"/>
    <cellStyle name="40% - Accent1 3 5 2 4" xfId="30795" xr:uid="{8A9809AA-CA79-43A6-9832-3E759D8B7EBD}"/>
    <cellStyle name="40% - Accent1 3 5 2 5" xfId="22348" xr:uid="{368FD7E6-BC6E-4DA0-9FEA-85C82268FDE8}"/>
    <cellStyle name="40% - Accent1 3 5 2 6" xfId="13051" xr:uid="{58FF27C3-2B46-4605-8B1E-BB8BE92336F2}"/>
    <cellStyle name="40% - Accent1 3 5 3" xfId="5797" xr:uid="{00000000-0005-0000-0000-000032040000}"/>
    <cellStyle name="40% - Accent1 3 5 3 2" xfId="41315" xr:uid="{68118BFD-D674-4EB1-95D9-23F70BDCB58D}"/>
    <cellStyle name="40% - Accent1 3 5 3 3" xfId="32868" xr:uid="{9CEE6832-07DE-4883-9CC8-1EBB25FB03EC}"/>
    <cellStyle name="40% - Accent1 3 5 3 4" xfId="24420" xr:uid="{ED2033F1-934A-4411-8C98-BF88D941D61B}"/>
    <cellStyle name="40% - Accent1 3 5 3 5" xfId="15123" xr:uid="{F7909812-9C73-435B-BCCD-663F7D522C2C}"/>
    <cellStyle name="40% - Accent1 3 5 4" xfId="37098" xr:uid="{4BDE9784-8176-4317-BDF4-1B4CB220D976}"/>
    <cellStyle name="40% - Accent1 3 5 5" xfId="28650" xr:uid="{315A41F9-0671-447D-BBE2-23269C90FBC6}"/>
    <cellStyle name="40% - Accent1 3 5 6" xfId="20203" xr:uid="{E7540F98-D8F2-46DE-BC27-9FD0B7F1ECEA}"/>
    <cellStyle name="40% - Accent1 3 5 7" xfId="10906" xr:uid="{041801CA-F683-4E61-AB1A-19DEC1D0B092}"/>
    <cellStyle name="40% - Accent1 3 6" xfId="1904" xr:uid="{00000000-0005-0000-0000-000033040000}"/>
    <cellStyle name="40% - Accent1 3 6 2" xfId="4133" xr:uid="{00000000-0005-0000-0000-000034040000}"/>
    <cellStyle name="40% - Accent1 3 6 2 2" xfId="8355" xr:uid="{00000000-0005-0000-0000-000035040000}"/>
    <cellStyle name="40% - Accent1 3 6 2 2 2" xfId="43873" xr:uid="{0744064E-F1BE-4CD4-A1DB-D2EADB99ED11}"/>
    <cellStyle name="40% - Accent1 3 6 2 2 3" xfId="35426" xr:uid="{86757127-EBFB-421E-AF81-F938E889D66D}"/>
    <cellStyle name="40% - Accent1 3 6 2 2 4" xfId="26978" xr:uid="{F5532B1F-B1BB-41E3-8156-AE346DA06390}"/>
    <cellStyle name="40% - Accent1 3 6 2 2 5" xfId="17681" xr:uid="{09146F2D-084B-45FD-AD81-FF8458B77605}"/>
    <cellStyle name="40% - Accent1 3 6 2 3" xfId="39656" xr:uid="{176A2E75-6CC5-4738-B511-64A62A8F9A70}"/>
    <cellStyle name="40% - Accent1 3 6 2 4" xfId="31208" xr:uid="{F8C6BB6D-8F6E-4967-BFD1-45ACE3AEEAAF}"/>
    <cellStyle name="40% - Accent1 3 6 2 5" xfId="22761" xr:uid="{7EC2E844-4576-4C63-BA85-972D377AE400}"/>
    <cellStyle name="40% - Accent1 3 6 2 6" xfId="13464" xr:uid="{38544536-84A7-4E11-91C9-B9173D017001}"/>
    <cellStyle name="40% - Accent1 3 6 3" xfId="6210" xr:uid="{00000000-0005-0000-0000-000036040000}"/>
    <cellStyle name="40% - Accent1 3 6 3 2" xfId="41728" xr:uid="{1CF60A35-9D01-4D9D-ABD7-8BC439BE095B}"/>
    <cellStyle name="40% - Accent1 3 6 3 3" xfId="33281" xr:uid="{6460BEF1-35CD-4AAF-98D0-19A2CCD3A287}"/>
    <cellStyle name="40% - Accent1 3 6 3 4" xfId="24833" xr:uid="{156AEA28-7419-4339-827A-0565ED1537D2}"/>
    <cellStyle name="40% - Accent1 3 6 3 5" xfId="15536" xr:uid="{3B0D7F80-3C2D-46B2-B508-638922D3BB21}"/>
    <cellStyle name="40% - Accent1 3 6 4" xfId="37511" xr:uid="{2604D996-DFD0-4143-95B5-B7005BDFAAC5}"/>
    <cellStyle name="40% - Accent1 3 6 5" xfId="29063" xr:uid="{47F2C1CE-FFF2-4CA4-8081-4624AA1D3FD7}"/>
    <cellStyle name="40% - Accent1 3 6 6" xfId="20616" xr:uid="{FBB20826-B00E-40AB-97CA-D4D32DC87C06}"/>
    <cellStyle name="40% - Accent1 3 6 7" xfId="11319" xr:uid="{87BCC8C4-5CE8-4780-831E-4A24DE1E9F84}"/>
    <cellStyle name="40% - Accent1 3 7" xfId="2317" xr:uid="{00000000-0005-0000-0000-000037040000}"/>
    <cellStyle name="40% - Accent1 3 7 2" xfId="6623" xr:uid="{00000000-0005-0000-0000-000038040000}"/>
    <cellStyle name="40% - Accent1 3 7 2 2" xfId="42141" xr:uid="{6B5BB7A1-0545-44CB-A4EF-409027524F6E}"/>
    <cellStyle name="40% - Accent1 3 7 2 3" xfId="33694" xr:uid="{5461F162-A159-4172-AA88-0E113CED2BFE}"/>
    <cellStyle name="40% - Accent1 3 7 2 4" xfId="25246" xr:uid="{28AC3007-F481-43C9-BDFB-38F1474D0C21}"/>
    <cellStyle name="40% - Accent1 3 7 2 5" xfId="15949" xr:uid="{7494BB04-DDAC-4ADB-A50C-2A96732A2042}"/>
    <cellStyle name="40% - Accent1 3 7 3" xfId="37924" xr:uid="{CB1B50A7-60B8-4F58-A153-481DB05154FB}"/>
    <cellStyle name="40% - Accent1 3 7 4" xfId="29476" xr:uid="{714A6F4E-6E4F-455A-AFA2-BD0A7C0E399D}"/>
    <cellStyle name="40% - Accent1 3 7 5" xfId="21029" xr:uid="{2BE8D7E0-E727-4CD2-9BE6-059D0A9AEF4D}"/>
    <cellStyle name="40% - Accent1 3 7 6" xfId="11732" xr:uid="{024E24F1-DD25-43B9-B94D-9517B368E274}"/>
    <cellStyle name="40% - Accent1 3 8" xfId="4557" xr:uid="{00000000-0005-0000-0000-000039040000}"/>
    <cellStyle name="40% - Accent1 3 8 2" xfId="40075" xr:uid="{FC5BE55A-2DF0-41D7-8DDE-6F30303FC908}"/>
    <cellStyle name="40% - Accent1 3 8 3" xfId="31628" xr:uid="{0530AA53-1574-4AB3-9792-957E26606978}"/>
    <cellStyle name="40% - Accent1 3 8 4" xfId="23180" xr:uid="{D938267C-4ED4-44C2-BCC7-4378D81169C1}"/>
    <cellStyle name="40% - Accent1 3 8 5" xfId="13883" xr:uid="{F23C0D52-ABE2-47EE-B4D4-F23C1828FEF7}"/>
    <cellStyle name="40% - Accent1 3 9" xfId="8862" xr:uid="{2CC30516-31CA-485E-88BE-FCC7F9756A95}"/>
    <cellStyle name="40% - Accent1 3 9 2" xfId="35858" xr:uid="{85C85C43-E022-4535-9D72-8C20CD6C58AB}"/>
    <cellStyle name="40% - Accent1 3 9 3" xfId="18185" xr:uid="{5DD54E7F-286C-4696-B6B9-90566971926A}"/>
    <cellStyle name="40% - Accent1 4" xfId="56" xr:uid="{00000000-0005-0000-0000-00003A040000}"/>
    <cellStyle name="40% - Accent1 4 10" xfId="18965" xr:uid="{71FBFEA8-667C-4FFB-A2C6-8B9D9C45E0E4}"/>
    <cellStyle name="40% - Accent1 4 11" xfId="9668" xr:uid="{D835FAE9-4C44-4E2E-B2F8-961098200E56}"/>
    <cellStyle name="40% - Accent1 4 2" xfId="625" xr:uid="{00000000-0005-0000-0000-00003B040000}"/>
    <cellStyle name="40% - Accent1 4 2 2" xfId="2896" xr:uid="{00000000-0005-0000-0000-00003C040000}"/>
    <cellStyle name="40% - Accent1 4 2 2 2" xfId="7118" xr:uid="{00000000-0005-0000-0000-00003D040000}"/>
    <cellStyle name="40% - Accent1 4 2 2 2 2" xfId="42636" xr:uid="{D285DD68-FA9A-4FAA-A8E7-0E1649A318B7}"/>
    <cellStyle name="40% - Accent1 4 2 2 2 3" xfId="34189" xr:uid="{AD76B360-6A6A-4BC0-9F15-0C43A973872D}"/>
    <cellStyle name="40% - Accent1 4 2 2 2 4" xfId="25741" xr:uid="{8AE823EC-B9F5-4692-BF6B-8B7159927B80}"/>
    <cellStyle name="40% - Accent1 4 2 2 2 5" xfId="16444" xr:uid="{5AD821A8-ACCA-4869-B339-7F90D8B9D35A}"/>
    <cellStyle name="40% - Accent1 4 2 2 3" xfId="38419" xr:uid="{428CD729-8529-40C7-A8FF-2B331B7250CA}"/>
    <cellStyle name="40% - Accent1 4 2 2 4" xfId="29971" xr:uid="{DE343207-4F63-49D0-997F-3E1DA0D02938}"/>
    <cellStyle name="40% - Accent1 4 2 2 5" xfId="21524" xr:uid="{79231DA5-323A-40CE-9CA1-44BFCD473B4B}"/>
    <cellStyle name="40% - Accent1 4 2 2 6" xfId="12227" xr:uid="{4D8780B7-3639-421A-8CDD-FFBD90B1BCCC}"/>
    <cellStyle name="40% - Accent1 4 2 3" xfId="4973" xr:uid="{00000000-0005-0000-0000-00003E040000}"/>
    <cellStyle name="40% - Accent1 4 2 3 2" xfId="40491" xr:uid="{8771D73F-550E-42E6-844A-E7E472BCBE72}"/>
    <cellStyle name="40% - Accent1 4 2 3 3" xfId="32044" xr:uid="{C2AF0D85-BBE8-4EA5-AA88-5400D41A32F4}"/>
    <cellStyle name="40% - Accent1 4 2 3 4" xfId="23596" xr:uid="{402F4260-AF30-48C6-9A83-34145483652A}"/>
    <cellStyle name="40% - Accent1 4 2 3 5" xfId="14299" xr:uid="{BDC64A44-D8B2-4B06-9CB6-C99E92E09F40}"/>
    <cellStyle name="40% - Accent1 4 2 4" xfId="9373" xr:uid="{3BC949C7-8F86-44EA-9F10-CF277586B131}"/>
    <cellStyle name="40% - Accent1 4 2 4 2" xfId="36274" xr:uid="{4E65D22B-3EF1-4799-83D5-679999F97B42}"/>
    <cellStyle name="40% - Accent1 4 2 4 3" xfId="18686" xr:uid="{CD45717C-5546-4510-8689-C7719FFD09D4}"/>
    <cellStyle name="40% - Accent1 4 2 5" xfId="27826" xr:uid="{C56777F1-0DF3-427E-8D83-0196BADD1B16}"/>
    <cellStyle name="40% - Accent1 4 2 6" xfId="19379" xr:uid="{072160E0-F6D4-47F3-B6C2-84E4D8A49F5F}"/>
    <cellStyle name="40% - Accent1 4 2 7" xfId="10082" xr:uid="{22589BC7-A197-4FCF-A89D-0BCE20F38BC4}"/>
    <cellStyle name="40% - Accent1 4 3" xfId="1078" xr:uid="{00000000-0005-0000-0000-00003F040000}"/>
    <cellStyle name="40% - Accent1 4 3 2" xfId="3309" xr:uid="{00000000-0005-0000-0000-000040040000}"/>
    <cellStyle name="40% - Accent1 4 3 2 2" xfId="7531" xr:uid="{00000000-0005-0000-0000-000041040000}"/>
    <cellStyle name="40% - Accent1 4 3 2 2 2" xfId="43049" xr:uid="{69133001-BD37-48CC-ACA6-5A605B200746}"/>
    <cellStyle name="40% - Accent1 4 3 2 2 3" xfId="34602" xr:uid="{5B00C253-8F4F-4052-97B6-1DE0760A4277}"/>
    <cellStyle name="40% - Accent1 4 3 2 2 4" xfId="26154" xr:uid="{7B0E29B7-ECC4-4680-8131-C5F0AA6133B0}"/>
    <cellStyle name="40% - Accent1 4 3 2 2 5" xfId="16857" xr:uid="{C4B1F4F5-FA8B-4D1F-9E83-B05B3FEC90A7}"/>
    <cellStyle name="40% - Accent1 4 3 2 3" xfId="38832" xr:uid="{54B66E69-AB84-43E1-BEB4-034C46CB7429}"/>
    <cellStyle name="40% - Accent1 4 3 2 4" xfId="30384" xr:uid="{A81E1948-CA37-46C0-8FC0-68C00EC03989}"/>
    <cellStyle name="40% - Accent1 4 3 2 5" xfId="21937" xr:uid="{85E66579-A3FE-47B1-A252-A8E7A8197E5F}"/>
    <cellStyle name="40% - Accent1 4 3 2 6" xfId="12640" xr:uid="{C64E689B-2D10-4574-9366-8AB933AA1359}"/>
    <cellStyle name="40% - Accent1 4 3 3" xfId="5386" xr:uid="{00000000-0005-0000-0000-000042040000}"/>
    <cellStyle name="40% - Accent1 4 3 3 2" xfId="40904" xr:uid="{3DC92092-D439-4B01-A805-131FFBABEA17}"/>
    <cellStyle name="40% - Accent1 4 3 3 3" xfId="32457" xr:uid="{E0378A13-4CE9-4E2D-95C4-5D970AF3C91F}"/>
    <cellStyle name="40% - Accent1 4 3 3 4" xfId="24009" xr:uid="{66231207-9003-43FF-830C-4D7D395AB3DB}"/>
    <cellStyle name="40% - Accent1 4 3 3 5" xfId="14712" xr:uid="{AE96FD51-56BB-4F22-AF52-5CB095243178}"/>
    <cellStyle name="40% - Accent1 4 3 4" xfId="36687" xr:uid="{160DCF8A-E33B-42A6-90E0-270ABCAC98D3}"/>
    <cellStyle name="40% - Accent1 4 3 5" xfId="28239" xr:uid="{BAD2C93E-DBDB-4B91-9CDA-17DECCF1A043}"/>
    <cellStyle name="40% - Accent1 4 3 6" xfId="19792" xr:uid="{CAFE3713-9120-401C-94A5-C4660DD60826}"/>
    <cellStyle name="40% - Accent1 4 3 7" xfId="10495" xr:uid="{23649751-EE9D-4C30-B340-5167003F4959}"/>
    <cellStyle name="40% - Accent1 4 4" xfId="1492" xr:uid="{00000000-0005-0000-0000-000043040000}"/>
    <cellStyle name="40% - Accent1 4 4 2" xfId="3722" xr:uid="{00000000-0005-0000-0000-000044040000}"/>
    <cellStyle name="40% - Accent1 4 4 2 2" xfId="7944" xr:uid="{00000000-0005-0000-0000-000045040000}"/>
    <cellStyle name="40% - Accent1 4 4 2 2 2" xfId="43462" xr:uid="{A7D064D9-ADBF-4788-AD6D-B8A247E8DE16}"/>
    <cellStyle name="40% - Accent1 4 4 2 2 3" xfId="35015" xr:uid="{E3F82E97-6941-45CA-86D4-35BDC2B58BEA}"/>
    <cellStyle name="40% - Accent1 4 4 2 2 4" xfId="26567" xr:uid="{E006F551-645B-4961-B69B-2C3862789A60}"/>
    <cellStyle name="40% - Accent1 4 4 2 2 5" xfId="17270" xr:uid="{FC624E01-1F5A-4828-9219-7911D4E25430}"/>
    <cellStyle name="40% - Accent1 4 4 2 3" xfId="39245" xr:uid="{149E5B26-9A34-4A2A-8DAD-8C5E637913B2}"/>
    <cellStyle name="40% - Accent1 4 4 2 4" xfId="30797" xr:uid="{4FF0B472-C66E-41D6-BB8A-B243B437A1A7}"/>
    <cellStyle name="40% - Accent1 4 4 2 5" xfId="22350" xr:uid="{D087C8F5-F185-4164-B3ED-28E5886A32FC}"/>
    <cellStyle name="40% - Accent1 4 4 2 6" xfId="13053" xr:uid="{3530E288-9451-42F1-A97C-5120BB20EEA2}"/>
    <cellStyle name="40% - Accent1 4 4 3" xfId="5799" xr:uid="{00000000-0005-0000-0000-000046040000}"/>
    <cellStyle name="40% - Accent1 4 4 3 2" xfId="41317" xr:uid="{86282FB1-74F4-4770-A72D-288FBCF6C256}"/>
    <cellStyle name="40% - Accent1 4 4 3 3" xfId="32870" xr:uid="{767D9E59-130F-4B4D-8BB7-92D56F49B5FF}"/>
    <cellStyle name="40% - Accent1 4 4 3 4" xfId="24422" xr:uid="{6D9E8AE7-7D77-453B-9473-24F2256439E1}"/>
    <cellStyle name="40% - Accent1 4 4 3 5" xfId="15125" xr:uid="{D4E2D894-8B8E-46AC-8811-2064B8756A25}"/>
    <cellStyle name="40% - Accent1 4 4 4" xfId="37100" xr:uid="{17438CAA-D994-4BF3-89D1-26E0FDB096BB}"/>
    <cellStyle name="40% - Accent1 4 4 5" xfId="28652" xr:uid="{7A45782F-2ED3-4484-A260-D04AB258132C}"/>
    <cellStyle name="40% - Accent1 4 4 6" xfId="20205" xr:uid="{F24DCCBE-62DC-43EB-AB8B-5A41FB39A0C5}"/>
    <cellStyle name="40% - Accent1 4 4 7" xfId="10908" xr:uid="{59934B58-A900-43EA-9597-7AB29F3828DE}"/>
    <cellStyle name="40% - Accent1 4 5" xfId="1906" xr:uid="{00000000-0005-0000-0000-000047040000}"/>
    <cellStyle name="40% - Accent1 4 5 2" xfId="4135" xr:uid="{00000000-0005-0000-0000-000048040000}"/>
    <cellStyle name="40% - Accent1 4 5 2 2" xfId="8357" xr:uid="{00000000-0005-0000-0000-000049040000}"/>
    <cellStyle name="40% - Accent1 4 5 2 2 2" xfId="43875" xr:uid="{EEE2C755-3CCE-4D68-A211-533948B2AF75}"/>
    <cellStyle name="40% - Accent1 4 5 2 2 3" xfId="35428" xr:uid="{831FB251-D69A-43CC-92D4-C87564BBFFF7}"/>
    <cellStyle name="40% - Accent1 4 5 2 2 4" xfId="26980" xr:uid="{B90A4EDD-112D-4225-9919-8DEFDB41893E}"/>
    <cellStyle name="40% - Accent1 4 5 2 2 5" xfId="17683" xr:uid="{7239F314-925B-4402-8110-5A32C5D4B525}"/>
    <cellStyle name="40% - Accent1 4 5 2 3" xfId="39658" xr:uid="{9CCF5B30-686F-48AB-86E0-C892258A9B6F}"/>
    <cellStyle name="40% - Accent1 4 5 2 4" xfId="31210" xr:uid="{A06B75E9-8DAE-4AAF-B7B9-789EEDDFB416}"/>
    <cellStyle name="40% - Accent1 4 5 2 5" xfId="22763" xr:uid="{0E4C516A-204B-4DDE-88B6-421DD267EA75}"/>
    <cellStyle name="40% - Accent1 4 5 2 6" xfId="13466" xr:uid="{25BCDC86-E35C-47C0-939F-06EC2AD223ED}"/>
    <cellStyle name="40% - Accent1 4 5 3" xfId="6212" xr:uid="{00000000-0005-0000-0000-00004A040000}"/>
    <cellStyle name="40% - Accent1 4 5 3 2" xfId="41730" xr:uid="{A3C0A8ED-B7CD-4D7F-AA95-147E9EFC1D43}"/>
    <cellStyle name="40% - Accent1 4 5 3 3" xfId="33283" xr:uid="{AF9E9F03-F7A3-4521-BD83-2D51F76AD2E2}"/>
    <cellStyle name="40% - Accent1 4 5 3 4" xfId="24835" xr:uid="{E8AE43E7-9067-4A69-A96F-3A9856B8D776}"/>
    <cellStyle name="40% - Accent1 4 5 3 5" xfId="15538" xr:uid="{5C9E8E54-D212-465F-98A3-3370A83A9BEE}"/>
    <cellStyle name="40% - Accent1 4 5 4" xfId="37513" xr:uid="{B2B4DA3B-DCFE-430E-B240-14B9BF832663}"/>
    <cellStyle name="40% - Accent1 4 5 5" xfId="29065" xr:uid="{4D360689-091C-46FB-B977-8A93B05F7E5C}"/>
    <cellStyle name="40% - Accent1 4 5 6" xfId="20618" xr:uid="{DD80A855-6A93-4C70-96AE-002F317F1254}"/>
    <cellStyle name="40% - Accent1 4 5 7" xfId="11321" xr:uid="{4FB939B9-1C05-4D12-A414-137C04054E03}"/>
    <cellStyle name="40% - Accent1 4 6" xfId="2319" xr:uid="{00000000-0005-0000-0000-00004B040000}"/>
    <cellStyle name="40% - Accent1 4 6 2" xfId="6625" xr:uid="{00000000-0005-0000-0000-00004C040000}"/>
    <cellStyle name="40% - Accent1 4 6 2 2" xfId="42143" xr:uid="{51326B37-FEFC-417F-A552-054ABA1BA273}"/>
    <cellStyle name="40% - Accent1 4 6 2 3" xfId="33696" xr:uid="{94982FFC-F0CA-41CE-B248-357089102F40}"/>
    <cellStyle name="40% - Accent1 4 6 2 4" xfId="25248" xr:uid="{4570D4A4-E0DD-4049-9955-EFD05290804B}"/>
    <cellStyle name="40% - Accent1 4 6 2 5" xfId="15951" xr:uid="{65AF1D8A-AA58-4FA7-95D7-1BAC1D49EF75}"/>
    <cellStyle name="40% - Accent1 4 6 3" xfId="37926" xr:uid="{54C22FBA-FB64-4646-8B91-43F63257BFAC}"/>
    <cellStyle name="40% - Accent1 4 6 4" xfId="29478" xr:uid="{FBD43B76-3BE7-4029-B17E-D7AEACB51D4B}"/>
    <cellStyle name="40% - Accent1 4 6 5" xfId="21031" xr:uid="{D453B1B2-EB62-43D0-9B3B-967E580591F6}"/>
    <cellStyle name="40% - Accent1 4 6 6" xfId="11734" xr:uid="{D9CCCC79-4258-4B01-BA46-7CF1AB80E48F}"/>
    <cellStyle name="40% - Accent1 4 7" xfId="4559" xr:uid="{00000000-0005-0000-0000-00004D040000}"/>
    <cellStyle name="40% - Accent1 4 7 2" xfId="40077" xr:uid="{E9674AE0-5462-4533-857D-ABCD5F2F6A12}"/>
    <cellStyle name="40% - Accent1 4 7 3" xfId="31630" xr:uid="{18D88F5A-D281-4301-937C-ED5179324A39}"/>
    <cellStyle name="40% - Accent1 4 7 4" xfId="23182" xr:uid="{0E07193D-43E1-4A3E-82A2-3BF0548ABD2B}"/>
    <cellStyle name="40% - Accent1 4 7 5" xfId="13885" xr:uid="{D7E3D17C-230B-41F7-9F3F-AB7699F29E29}"/>
    <cellStyle name="40% - Accent1 4 8" xfId="8948" xr:uid="{7BCBB449-71B8-4468-A700-0125C7659C3D}"/>
    <cellStyle name="40% - Accent1 4 8 2" xfId="35860" xr:uid="{87E68057-0698-48B8-A7D3-68225BE37275}"/>
    <cellStyle name="40% - Accent1 4 8 3" xfId="18271" xr:uid="{1040C2F5-EA0B-42B0-9527-B947ED9CD0A0}"/>
    <cellStyle name="40% - Accent1 4 9" xfId="27412" xr:uid="{F68556B6-7219-4ABD-B5A7-DEE0E22D5514}"/>
    <cellStyle name="40% - Accent1 5" xfId="618" xr:uid="{00000000-0005-0000-0000-00004E040000}"/>
    <cellStyle name="40% - Accent1 5 2" xfId="2889" xr:uid="{00000000-0005-0000-0000-00004F040000}"/>
    <cellStyle name="40% - Accent1 5 2 2" xfId="7111" xr:uid="{00000000-0005-0000-0000-000050040000}"/>
    <cellStyle name="40% - Accent1 5 2 2 2" xfId="42629" xr:uid="{ED17A6AC-F69D-4503-B14C-C2AD75714692}"/>
    <cellStyle name="40% - Accent1 5 2 2 3" xfId="34182" xr:uid="{4CB1C5BA-8810-4975-8FEC-3640B2614148}"/>
    <cellStyle name="40% - Accent1 5 2 2 4" xfId="25734" xr:uid="{B91ED520-D41B-4476-8DBC-FB094D6E3763}"/>
    <cellStyle name="40% - Accent1 5 2 2 5" xfId="16437" xr:uid="{71AE45FC-C47F-4611-B3FA-2C925F02ADCB}"/>
    <cellStyle name="40% - Accent1 5 2 3" xfId="38412" xr:uid="{B7B8753A-CEE3-4B36-91F1-4D4EC80A19DC}"/>
    <cellStyle name="40% - Accent1 5 2 4" xfId="29964" xr:uid="{3905DE8D-1364-497E-9DB8-EF9CC2E3CE4A}"/>
    <cellStyle name="40% - Accent1 5 2 5" xfId="21517" xr:uid="{84E57B83-EE50-4CFD-B811-7753700B2A12}"/>
    <cellStyle name="40% - Accent1 5 2 6" xfId="12220" xr:uid="{133F5EC8-A19A-463C-AD0A-FA6DE60E989B}"/>
    <cellStyle name="40% - Accent1 5 3" xfId="4966" xr:uid="{00000000-0005-0000-0000-000051040000}"/>
    <cellStyle name="40% - Accent1 5 3 2" xfId="40484" xr:uid="{BB1080E2-2592-4B62-9514-9669A52526B8}"/>
    <cellStyle name="40% - Accent1 5 3 3" xfId="32037" xr:uid="{ED65871D-5F5C-4FCD-9D48-1C370CCBA6CB}"/>
    <cellStyle name="40% - Accent1 5 3 4" xfId="23589" xr:uid="{BA5C1AD7-51C6-420D-B13D-B52975FC1191}"/>
    <cellStyle name="40% - Accent1 5 3 5" xfId="14292" xr:uid="{141A36EF-B90F-4867-933B-46B24C913B2C}"/>
    <cellStyle name="40% - Accent1 5 4" xfId="9181" xr:uid="{332DA761-F1AA-4FF3-9BBB-9ECEE19D2DFF}"/>
    <cellStyle name="40% - Accent1 5 4 2" xfId="36267" xr:uid="{F8081E2C-BAE6-4B13-AF3E-3FECA3DF9DE1}"/>
    <cellStyle name="40% - Accent1 5 4 3" xfId="18497" xr:uid="{477381DA-819A-426D-BC63-8BD8C01F5857}"/>
    <cellStyle name="40% - Accent1 5 5" xfId="27819" xr:uid="{C7E7D005-3D2C-4F18-AC68-8BF6FA244720}"/>
    <cellStyle name="40% - Accent1 5 6" xfId="19372" xr:uid="{B74330AE-5E44-4781-9808-32644FD9B44D}"/>
    <cellStyle name="40% - Accent1 5 7" xfId="10075" xr:uid="{116FE9E6-2170-4684-92E2-F49A5A419C1A}"/>
    <cellStyle name="40% - Accent1 6" xfId="1071" xr:uid="{00000000-0005-0000-0000-000052040000}"/>
    <cellStyle name="40% - Accent1 6 2" xfId="3302" xr:uid="{00000000-0005-0000-0000-000053040000}"/>
    <cellStyle name="40% - Accent1 6 2 2" xfId="7524" xr:uid="{00000000-0005-0000-0000-000054040000}"/>
    <cellStyle name="40% - Accent1 6 2 2 2" xfId="43042" xr:uid="{044D9236-B394-4B2E-B70E-2CFFF396A53F}"/>
    <cellStyle name="40% - Accent1 6 2 2 3" xfId="34595" xr:uid="{2F1C8291-C75A-4237-8DEE-ED9D98712EDF}"/>
    <cellStyle name="40% - Accent1 6 2 2 4" xfId="26147" xr:uid="{90379435-BEED-4E85-9E9E-5CBA414EC14B}"/>
    <cellStyle name="40% - Accent1 6 2 2 5" xfId="16850" xr:uid="{DC05AAB9-F9D7-4DD8-BF2B-999E36649925}"/>
    <cellStyle name="40% - Accent1 6 2 3" xfId="38825" xr:uid="{DBB0564C-72FE-4570-B3E1-00888660FFC2}"/>
    <cellStyle name="40% - Accent1 6 2 4" xfId="30377" xr:uid="{6FD02FA3-3890-43E4-BE5F-9A4852701BA9}"/>
    <cellStyle name="40% - Accent1 6 2 5" xfId="21930" xr:uid="{8ADF953E-5A9B-447C-9B4E-47F308B7A1E3}"/>
    <cellStyle name="40% - Accent1 6 2 6" xfId="12633" xr:uid="{1C8EDC04-CB7A-4BFB-90FE-CB8E69EB816D}"/>
    <cellStyle name="40% - Accent1 6 3" xfId="5379" xr:uid="{00000000-0005-0000-0000-000055040000}"/>
    <cellStyle name="40% - Accent1 6 3 2" xfId="40897" xr:uid="{AAD3852C-3734-4794-A666-BE3275047AC0}"/>
    <cellStyle name="40% - Accent1 6 3 3" xfId="32450" xr:uid="{018E1388-AFA6-4172-A8CC-2180B0D9AEC5}"/>
    <cellStyle name="40% - Accent1 6 3 4" xfId="24002" xr:uid="{FE5C3679-A9E6-4089-9D9B-DBF00EED89B1}"/>
    <cellStyle name="40% - Accent1 6 3 5" xfId="14705" xr:uid="{15EBEEDD-C609-461A-AD5D-E03CAC4F83DC}"/>
    <cellStyle name="40% - Accent1 6 4" xfId="36680" xr:uid="{BCE0A5DF-A73D-4BA1-8A83-6F3D92598D3D}"/>
    <cellStyle name="40% - Accent1 6 5" xfId="28232" xr:uid="{D309C5D5-8425-4E87-907D-31785BE0C8DF}"/>
    <cellStyle name="40% - Accent1 6 6" xfId="19785" xr:uid="{88283E01-9B7B-4BD2-9888-C3262F6FE4D2}"/>
    <cellStyle name="40% - Accent1 6 7" xfId="10488" xr:uid="{B7A73319-0AC4-46D2-8A40-143203E72C1E}"/>
    <cellStyle name="40% - Accent1 7" xfId="1485" xr:uid="{00000000-0005-0000-0000-000056040000}"/>
    <cellStyle name="40% - Accent1 7 2" xfId="3715" xr:uid="{00000000-0005-0000-0000-000057040000}"/>
    <cellStyle name="40% - Accent1 7 2 2" xfId="7937" xr:uid="{00000000-0005-0000-0000-000058040000}"/>
    <cellStyle name="40% - Accent1 7 2 2 2" xfId="43455" xr:uid="{3F030E82-3931-4D1B-8E01-43FEF306B7D6}"/>
    <cellStyle name="40% - Accent1 7 2 2 3" xfId="35008" xr:uid="{3498C63F-5F23-4BF0-BB1F-33D0041D09D8}"/>
    <cellStyle name="40% - Accent1 7 2 2 4" xfId="26560" xr:uid="{50D12C0A-D011-468B-BC18-A0E22FB8DD16}"/>
    <cellStyle name="40% - Accent1 7 2 2 5" xfId="17263" xr:uid="{F52EC1DB-31C0-43B4-9FCC-949CFD566661}"/>
    <cellStyle name="40% - Accent1 7 2 3" xfId="39238" xr:uid="{5F630211-9652-41CB-BB1E-2D0F573197A3}"/>
    <cellStyle name="40% - Accent1 7 2 4" xfId="30790" xr:uid="{FC619C1F-118C-4D2D-A45C-FEE7FBE49FED}"/>
    <cellStyle name="40% - Accent1 7 2 5" xfId="22343" xr:uid="{2EE52E14-9BB9-4CAD-BD34-11396728F416}"/>
    <cellStyle name="40% - Accent1 7 2 6" xfId="13046" xr:uid="{C9AAD15C-B9AE-4273-BDA5-EFF9A38275F2}"/>
    <cellStyle name="40% - Accent1 7 3" xfId="5792" xr:uid="{00000000-0005-0000-0000-000059040000}"/>
    <cellStyle name="40% - Accent1 7 3 2" xfId="41310" xr:uid="{F986888F-66CE-4C99-A645-67E8FC88A0EF}"/>
    <cellStyle name="40% - Accent1 7 3 3" xfId="32863" xr:uid="{371F4061-8588-402E-8AA9-0739D0C10652}"/>
    <cellStyle name="40% - Accent1 7 3 4" xfId="24415" xr:uid="{92695A09-693F-44D4-BE1F-48FB59E4D979}"/>
    <cellStyle name="40% - Accent1 7 3 5" xfId="15118" xr:uid="{CD16B511-EE92-4397-BC3A-E759545AAC10}"/>
    <cellStyle name="40% - Accent1 7 4" xfId="37093" xr:uid="{F629D0CF-4284-4318-AF0A-D059B89C410A}"/>
    <cellStyle name="40% - Accent1 7 5" xfId="28645" xr:uid="{1286D1E9-B53E-4C70-A118-0DC410FCC381}"/>
    <cellStyle name="40% - Accent1 7 6" xfId="20198" xr:uid="{10A47969-F2C2-40FD-9F4A-3DA8FF706A45}"/>
    <cellStyle name="40% - Accent1 7 7" xfId="10901" xr:uid="{90A6A395-EFC7-4378-B964-D8D23C27AB37}"/>
    <cellStyle name="40% - Accent1 8" xfId="1899" xr:uid="{00000000-0005-0000-0000-00005A040000}"/>
    <cellStyle name="40% - Accent1 8 2" xfId="4128" xr:uid="{00000000-0005-0000-0000-00005B040000}"/>
    <cellStyle name="40% - Accent1 8 2 2" xfId="8350" xr:uid="{00000000-0005-0000-0000-00005C040000}"/>
    <cellStyle name="40% - Accent1 8 2 2 2" xfId="43868" xr:uid="{3A8E5060-C5EA-47FE-BE6C-EEC5E3861C1B}"/>
    <cellStyle name="40% - Accent1 8 2 2 3" xfId="35421" xr:uid="{A640BA50-9D91-42BE-B0CF-08B8562B5001}"/>
    <cellStyle name="40% - Accent1 8 2 2 4" xfId="26973" xr:uid="{7DFA791B-B4B4-413E-953B-6EAC668374F7}"/>
    <cellStyle name="40% - Accent1 8 2 2 5" xfId="17676" xr:uid="{62AFA740-ACA1-4C88-9E24-A5CF03619B68}"/>
    <cellStyle name="40% - Accent1 8 2 3" xfId="39651" xr:uid="{D5D8B82F-E44E-4DA3-97AB-61134F605FD0}"/>
    <cellStyle name="40% - Accent1 8 2 4" xfId="31203" xr:uid="{BBB03479-9F0A-4603-8E25-ED23354B8F42}"/>
    <cellStyle name="40% - Accent1 8 2 5" xfId="22756" xr:uid="{D44AC354-6522-4175-B736-230277247AF6}"/>
    <cellStyle name="40% - Accent1 8 2 6" xfId="13459" xr:uid="{A5515A33-15F1-4CED-89BC-D972F87C5C31}"/>
    <cellStyle name="40% - Accent1 8 3" xfId="6205" xr:uid="{00000000-0005-0000-0000-00005D040000}"/>
    <cellStyle name="40% - Accent1 8 3 2" xfId="41723" xr:uid="{8A368989-D5B4-4D2B-AD46-6BBD1FAD92D5}"/>
    <cellStyle name="40% - Accent1 8 3 3" xfId="33276" xr:uid="{387F35A4-46A0-4E8A-ADDE-35677B8D83C9}"/>
    <cellStyle name="40% - Accent1 8 3 4" xfId="24828" xr:uid="{8CADEC3C-66F4-4917-B04E-9788893C2B1D}"/>
    <cellStyle name="40% - Accent1 8 3 5" xfId="15531" xr:uid="{25527921-4F94-4157-9935-0708B37C575E}"/>
    <cellStyle name="40% - Accent1 8 4" xfId="37506" xr:uid="{F0B066D4-D5A9-408D-B90D-8B4F9FBFDFE9}"/>
    <cellStyle name="40% - Accent1 8 5" xfId="29058" xr:uid="{AF852B26-4FCE-44BC-8EC4-005DBFF664A1}"/>
    <cellStyle name="40% - Accent1 8 6" xfId="20611" xr:uid="{DB778429-BEF8-4F2A-B211-DE393BD76F92}"/>
    <cellStyle name="40% - Accent1 8 7" xfId="11314" xr:uid="{670AF66A-251D-41C0-A757-650D3060B75C}"/>
    <cellStyle name="40% - Accent1 9" xfId="2312" xr:uid="{00000000-0005-0000-0000-00005E040000}"/>
    <cellStyle name="40% - Accent1 9 2" xfId="6618" xr:uid="{00000000-0005-0000-0000-00005F040000}"/>
    <cellStyle name="40% - Accent1 9 2 2" xfId="42136" xr:uid="{C788366C-3034-4D80-866D-456E75CDF9D2}"/>
    <cellStyle name="40% - Accent1 9 2 3" xfId="33689" xr:uid="{CB294B35-E056-44E3-9B1F-321C3012088B}"/>
    <cellStyle name="40% - Accent1 9 2 4" xfId="25241" xr:uid="{6F71FF72-2F94-461B-A15A-47184985B772}"/>
    <cellStyle name="40% - Accent1 9 2 5" xfId="15944" xr:uid="{8C50DD93-CA25-4F17-A58A-37C2FEBC058B}"/>
    <cellStyle name="40% - Accent1 9 3" xfId="37919" xr:uid="{F87753E2-E506-4B1E-95F0-90EBEA0C9186}"/>
    <cellStyle name="40% - Accent1 9 4" xfId="29471" xr:uid="{8D3D3005-AA22-4A85-9A36-2733D11F3F01}"/>
    <cellStyle name="40% - Accent1 9 5" xfId="21024" xr:uid="{1DCE1F32-E9A5-4ECE-BEC3-DC9B1E5087A4}"/>
    <cellStyle name="40% - Accent1 9 6" xfId="11727" xr:uid="{F1DA90F5-C79F-45C6-A7E6-7FD335279238}"/>
    <cellStyle name="40% - Accent2" xfId="57" builtinId="35" customBuiltin="1"/>
    <cellStyle name="40% - Accent2 10" xfId="4560" xr:uid="{00000000-0005-0000-0000-000061040000}"/>
    <cellStyle name="40% - Accent2 10 2" xfId="40078" xr:uid="{A3155F35-357B-4EB5-ACAC-B7B7BE30C384}"/>
    <cellStyle name="40% - Accent2 10 3" xfId="31631" xr:uid="{337BB8B8-9D64-48B4-B095-60866952FE07}"/>
    <cellStyle name="40% - Accent2 10 4" xfId="23183" xr:uid="{C245E89C-E40B-4AB3-AF0B-E04CF87D6925}"/>
    <cellStyle name="40% - Accent2 10 5" xfId="13886" xr:uid="{20F0AC11-6743-4F76-BFC3-3D3D12460DA4}"/>
    <cellStyle name="40% - Accent2 11" xfId="8761" xr:uid="{8631D9D1-53DA-4958-8F7C-AD68B7B91D61}"/>
    <cellStyle name="40% - Accent2 11 2" xfId="35861" xr:uid="{93CC3FE1-A003-4E5D-B7BB-159FE6510617}"/>
    <cellStyle name="40% - Accent2 11 3" xfId="18084" xr:uid="{5B81B165-FE86-457A-AF73-2F23F4FE1DBA}"/>
    <cellStyle name="40% - Accent2 12" xfId="27413" xr:uid="{7F6AB9E6-A615-4908-8046-695AF482DF43}"/>
    <cellStyle name="40% - Accent2 13" xfId="18966" xr:uid="{8DC234E4-F08E-4620-B5CA-7FBF80A15F7E}"/>
    <cellStyle name="40% - Accent2 14" xfId="9669" xr:uid="{0DBAC280-6929-4AE7-A5EA-DBBAF6AEBA50}"/>
    <cellStyle name="40% - Accent2 2" xfId="58" xr:uid="{00000000-0005-0000-0000-000062040000}"/>
    <cellStyle name="40% - Accent2 2 10" xfId="8799" xr:uid="{E3EEC046-6E76-44A5-8D1B-64621A8F0AC5}"/>
    <cellStyle name="40% - Accent2 2 10 2" xfId="35862" xr:uid="{47F0973B-E74B-4C19-A41A-F9F588F61BE1}"/>
    <cellStyle name="40% - Accent2 2 10 3" xfId="18122" xr:uid="{4A346676-F2DC-4487-A361-CBBB8CA60F2A}"/>
    <cellStyle name="40% - Accent2 2 11" xfId="27414" xr:uid="{621EA59F-26FE-4C1C-85F9-FB13147BCB1C}"/>
    <cellStyle name="40% - Accent2 2 12" xfId="18967" xr:uid="{F4E7C8B3-F85D-4454-B098-97102CC58924}"/>
    <cellStyle name="40% - Accent2 2 13" xfId="9670" xr:uid="{17CD1A8C-74DC-455D-84C0-C2DE19C77AC6}"/>
    <cellStyle name="40% - Accent2 2 2" xfId="59" xr:uid="{00000000-0005-0000-0000-000063040000}"/>
    <cellStyle name="40% - Accent2 2 2 10" xfId="27415" xr:uid="{5810BCF3-F7D4-4C43-BBC3-35603B236053}"/>
    <cellStyle name="40% - Accent2 2 2 11" xfId="18968" xr:uid="{A28DF532-BF32-4305-9189-52FB02B246A6}"/>
    <cellStyle name="40% - Accent2 2 2 12" xfId="9671" xr:uid="{00330676-02BD-4398-A856-FEB68C8F84B6}"/>
    <cellStyle name="40% - Accent2 2 2 2" xfId="60" xr:uid="{00000000-0005-0000-0000-000064040000}"/>
    <cellStyle name="40% - Accent2 2 2 2 10" xfId="18969" xr:uid="{C28DD724-146D-4C4A-A954-D7ABB260A52C}"/>
    <cellStyle name="40% - Accent2 2 2 2 11" xfId="9672" xr:uid="{B1CFB8CB-B1AB-4F7F-A73B-357AD93B3E96}"/>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42640" xr:uid="{C332A3E7-25FB-4338-9A13-E0BE8DBE94CD}"/>
    <cellStyle name="40% - Accent2 2 2 2 2 2 2 3" xfId="34193" xr:uid="{9D296CBB-4A06-478B-96D0-738DDD052471}"/>
    <cellStyle name="40% - Accent2 2 2 2 2 2 2 4" xfId="25745" xr:uid="{6DCF200B-40E7-46FB-BABD-AB728A332E4C}"/>
    <cellStyle name="40% - Accent2 2 2 2 2 2 2 5" xfId="16448" xr:uid="{B055175D-80D5-4981-A382-45C4317961B3}"/>
    <cellStyle name="40% - Accent2 2 2 2 2 2 3" xfId="38423" xr:uid="{B5C67253-22DE-4E3F-8817-DC16AE1558D4}"/>
    <cellStyle name="40% - Accent2 2 2 2 2 2 4" xfId="29975" xr:uid="{58D19C39-67FD-48A0-BBBE-F345506F6CDE}"/>
    <cellStyle name="40% - Accent2 2 2 2 2 2 5" xfId="21528" xr:uid="{766F8565-65F8-4FE0-8E18-B07BAFB0FAAB}"/>
    <cellStyle name="40% - Accent2 2 2 2 2 2 6" xfId="12231" xr:uid="{09FC73DA-2F9A-4287-A1F7-76BEBF028A04}"/>
    <cellStyle name="40% - Accent2 2 2 2 2 3" xfId="4977" xr:uid="{00000000-0005-0000-0000-000068040000}"/>
    <cellStyle name="40% - Accent2 2 2 2 2 3 2" xfId="40495" xr:uid="{478A9056-9090-4D63-9F77-70623D8D270B}"/>
    <cellStyle name="40% - Accent2 2 2 2 2 3 3" xfId="32048" xr:uid="{C5B407CB-65E1-4B5F-887E-5F031E094153}"/>
    <cellStyle name="40% - Accent2 2 2 2 2 3 4" xfId="23600" xr:uid="{E8DC18EF-9139-4309-AFAA-26DD29B305F2}"/>
    <cellStyle name="40% - Accent2 2 2 2 2 3 5" xfId="14303" xr:uid="{B053FB51-3B49-43E2-A1C5-483C214D08A4}"/>
    <cellStyle name="40% - Accent2 2 2 2 2 4" xfId="9534" xr:uid="{9F53A086-33FC-422E-9DFF-72D04AC43949}"/>
    <cellStyle name="40% - Accent2 2 2 2 2 4 2" xfId="36278" xr:uid="{0C0B2066-883C-4C21-9897-7DB9D28D10B6}"/>
    <cellStyle name="40% - Accent2 2 2 2 2 4 3" xfId="18847" xr:uid="{3121D53B-EF2F-4DFC-AFE8-64196878CB4C}"/>
    <cellStyle name="40% - Accent2 2 2 2 2 5" xfId="27830" xr:uid="{F7DB4AEC-829F-499B-84AA-FE3F842E4DF3}"/>
    <cellStyle name="40% - Accent2 2 2 2 2 6" xfId="19383" xr:uid="{599DBBF3-DA6A-4BCF-B669-FB2749979279}"/>
    <cellStyle name="40% - Accent2 2 2 2 2 7" xfId="10086" xr:uid="{904FB719-2C27-48EE-8068-6C3F7FF614DB}"/>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43053" xr:uid="{A8B399E2-793C-4359-AE7E-1E7FD2A1E331}"/>
    <cellStyle name="40% - Accent2 2 2 2 3 2 2 3" xfId="34606" xr:uid="{2E916CC8-570D-4A65-B25A-1E1B999E8769}"/>
    <cellStyle name="40% - Accent2 2 2 2 3 2 2 4" xfId="26158" xr:uid="{DA3E4BBA-84BA-4404-B6A5-7331EA10C526}"/>
    <cellStyle name="40% - Accent2 2 2 2 3 2 2 5" xfId="16861" xr:uid="{2E206D88-6537-4142-B21B-BD7FA2AE6271}"/>
    <cellStyle name="40% - Accent2 2 2 2 3 2 3" xfId="38836" xr:uid="{05B71ABF-934F-4BA4-9018-9B6828C094D8}"/>
    <cellStyle name="40% - Accent2 2 2 2 3 2 4" xfId="30388" xr:uid="{A5522493-D46D-4F08-B09D-7C23CBBC1D92}"/>
    <cellStyle name="40% - Accent2 2 2 2 3 2 5" xfId="21941" xr:uid="{F1A83C6B-C8F8-47E7-935F-55739A19A593}"/>
    <cellStyle name="40% - Accent2 2 2 2 3 2 6" xfId="12644" xr:uid="{D51282E2-2354-42F8-917D-E7C9F00CA5EB}"/>
    <cellStyle name="40% - Accent2 2 2 2 3 3" xfId="5390" xr:uid="{00000000-0005-0000-0000-00006C040000}"/>
    <cellStyle name="40% - Accent2 2 2 2 3 3 2" xfId="40908" xr:uid="{31D501EE-BEA1-4AC1-ABD0-6DBE9F638271}"/>
    <cellStyle name="40% - Accent2 2 2 2 3 3 3" xfId="32461" xr:uid="{F1CE8DCA-ED40-4E50-8645-03A15C03E79C}"/>
    <cellStyle name="40% - Accent2 2 2 2 3 3 4" xfId="24013" xr:uid="{F92B58AB-7510-49A6-AABE-9F501E00EF2B}"/>
    <cellStyle name="40% - Accent2 2 2 2 3 3 5" xfId="14716" xr:uid="{B891477E-BC19-4E1C-931B-611473E1E346}"/>
    <cellStyle name="40% - Accent2 2 2 2 3 4" xfId="36691" xr:uid="{735C93AE-0943-4280-9140-62F9664CBE3C}"/>
    <cellStyle name="40% - Accent2 2 2 2 3 5" xfId="28243" xr:uid="{8CFC76EE-70CF-4FAC-B684-D92BBC9748D9}"/>
    <cellStyle name="40% - Accent2 2 2 2 3 6" xfId="19796" xr:uid="{D58AE509-9B4D-4CF2-B0FB-149404FFFE26}"/>
    <cellStyle name="40% - Accent2 2 2 2 3 7" xfId="10499" xr:uid="{D067C997-881F-4B0F-8B06-E27517B643FF}"/>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43466" xr:uid="{7FB2FE47-F143-4BDC-90DD-B5CE694A3C62}"/>
    <cellStyle name="40% - Accent2 2 2 2 4 2 2 3" xfId="35019" xr:uid="{8936F167-A9E4-4A2F-9C12-29C49D3B6CF7}"/>
    <cellStyle name="40% - Accent2 2 2 2 4 2 2 4" xfId="26571" xr:uid="{6D9F04B0-1547-45FB-B869-AD6EB6D80B5D}"/>
    <cellStyle name="40% - Accent2 2 2 2 4 2 2 5" xfId="17274" xr:uid="{E5518175-3A4A-45A7-A41D-AD04535E6BFC}"/>
    <cellStyle name="40% - Accent2 2 2 2 4 2 3" xfId="39249" xr:uid="{1B7C857C-A910-452C-B088-768835D5EC33}"/>
    <cellStyle name="40% - Accent2 2 2 2 4 2 4" xfId="30801" xr:uid="{2EB6BA46-AD71-48F6-A610-AA9D5268F558}"/>
    <cellStyle name="40% - Accent2 2 2 2 4 2 5" xfId="22354" xr:uid="{E400FF7F-0656-4F5A-90F3-404F69156870}"/>
    <cellStyle name="40% - Accent2 2 2 2 4 2 6" xfId="13057" xr:uid="{471934EF-B04E-43A4-A2C1-6853D4421284}"/>
    <cellStyle name="40% - Accent2 2 2 2 4 3" xfId="5803" xr:uid="{00000000-0005-0000-0000-000070040000}"/>
    <cellStyle name="40% - Accent2 2 2 2 4 3 2" xfId="41321" xr:uid="{1394C6DE-C5E9-4B77-9E68-ECE27B75E2E0}"/>
    <cellStyle name="40% - Accent2 2 2 2 4 3 3" xfId="32874" xr:uid="{9B75B15E-7FF2-40B4-8FAE-9F23B84C1A12}"/>
    <cellStyle name="40% - Accent2 2 2 2 4 3 4" xfId="24426" xr:uid="{10E33811-2843-4A00-8205-C00C68DB8C64}"/>
    <cellStyle name="40% - Accent2 2 2 2 4 3 5" xfId="15129" xr:uid="{ABCC2F7A-BF26-4E74-9933-0A4BDCF051DE}"/>
    <cellStyle name="40% - Accent2 2 2 2 4 4" xfId="37104" xr:uid="{858BC112-C6A3-4FA0-A406-E16E2C53354A}"/>
    <cellStyle name="40% - Accent2 2 2 2 4 5" xfId="28656" xr:uid="{FB776978-7AEC-43DB-AA50-A4C533BE0556}"/>
    <cellStyle name="40% - Accent2 2 2 2 4 6" xfId="20209" xr:uid="{68A845CB-BFD6-4053-A5FC-5541A02C139D}"/>
    <cellStyle name="40% - Accent2 2 2 2 4 7" xfId="10912" xr:uid="{D1253D40-070A-451C-9783-80E89E6C9878}"/>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43879" xr:uid="{D9F56FD3-1FFE-42FB-B02E-778A649DF2AD}"/>
    <cellStyle name="40% - Accent2 2 2 2 5 2 2 3" xfId="35432" xr:uid="{F02D9E4E-C847-4CBC-9149-DB6B454A476A}"/>
    <cellStyle name="40% - Accent2 2 2 2 5 2 2 4" xfId="26984" xr:uid="{728B85E2-3658-4AB4-9AC0-B0C1844622F6}"/>
    <cellStyle name="40% - Accent2 2 2 2 5 2 2 5" xfId="17687" xr:uid="{2A4737A6-0B1B-49A8-910C-160F37874600}"/>
    <cellStyle name="40% - Accent2 2 2 2 5 2 3" xfId="39662" xr:uid="{4A6AFB80-316D-47D6-826D-11E8F8486B47}"/>
    <cellStyle name="40% - Accent2 2 2 2 5 2 4" xfId="31214" xr:uid="{E6300E31-FD82-4709-9951-BF5FC01D6866}"/>
    <cellStyle name="40% - Accent2 2 2 2 5 2 5" xfId="22767" xr:uid="{2425428F-74BE-41C3-BA4E-318525D8522F}"/>
    <cellStyle name="40% - Accent2 2 2 2 5 2 6" xfId="13470" xr:uid="{8C95FA60-92E0-4609-AB86-4661817566D6}"/>
    <cellStyle name="40% - Accent2 2 2 2 5 3" xfId="6216" xr:uid="{00000000-0005-0000-0000-000074040000}"/>
    <cellStyle name="40% - Accent2 2 2 2 5 3 2" xfId="41734" xr:uid="{E2007F7F-2EF4-4AA1-A415-3DB270DF64F5}"/>
    <cellStyle name="40% - Accent2 2 2 2 5 3 3" xfId="33287" xr:uid="{2B02E254-3907-4943-BBD7-1E6AEE2B85C8}"/>
    <cellStyle name="40% - Accent2 2 2 2 5 3 4" xfId="24839" xr:uid="{146A21B9-569F-4793-A640-E58B0DC26A5C}"/>
    <cellStyle name="40% - Accent2 2 2 2 5 3 5" xfId="15542" xr:uid="{4BDE4B36-8A4A-4FBD-9175-E9B2439E595A}"/>
    <cellStyle name="40% - Accent2 2 2 2 5 4" xfId="37517" xr:uid="{563B177F-CC70-4589-A8AA-2AA048DE6EAD}"/>
    <cellStyle name="40% - Accent2 2 2 2 5 5" xfId="29069" xr:uid="{D576338E-E6EE-483B-A504-81240DE98D77}"/>
    <cellStyle name="40% - Accent2 2 2 2 5 6" xfId="20622" xr:uid="{1F15B069-A619-4E44-BBB0-CCDAAA92BDD7}"/>
    <cellStyle name="40% - Accent2 2 2 2 5 7" xfId="11325" xr:uid="{EC47D9ED-A445-4F8C-886E-0989D94E9AE3}"/>
    <cellStyle name="40% - Accent2 2 2 2 6" xfId="2323" xr:uid="{00000000-0005-0000-0000-000075040000}"/>
    <cellStyle name="40% - Accent2 2 2 2 6 2" xfId="6629" xr:uid="{00000000-0005-0000-0000-000076040000}"/>
    <cellStyle name="40% - Accent2 2 2 2 6 2 2" xfId="42147" xr:uid="{D097DDB0-B3F3-4CB2-BEF5-5FBE03FCC85D}"/>
    <cellStyle name="40% - Accent2 2 2 2 6 2 3" xfId="33700" xr:uid="{9521E80E-84DB-4F92-9956-048F4198BA2F}"/>
    <cellStyle name="40% - Accent2 2 2 2 6 2 4" xfId="25252" xr:uid="{8B3E3875-E484-49F0-A652-583E6E0E8986}"/>
    <cellStyle name="40% - Accent2 2 2 2 6 2 5" xfId="15955" xr:uid="{4770B057-BEEF-4EB7-80C9-DD59559090A6}"/>
    <cellStyle name="40% - Accent2 2 2 2 6 3" xfId="37930" xr:uid="{B3096A0A-B98A-4F2F-998F-FE118BC160BF}"/>
    <cellStyle name="40% - Accent2 2 2 2 6 4" xfId="29482" xr:uid="{EE45C734-BD28-4752-8AE5-37A42B646361}"/>
    <cellStyle name="40% - Accent2 2 2 2 6 5" xfId="21035" xr:uid="{1470BAAE-F34B-4A32-B6C0-BBAA43C4E43D}"/>
    <cellStyle name="40% - Accent2 2 2 2 6 6" xfId="11738" xr:uid="{2A850CF9-D897-4B2E-89E9-836883FD6A5D}"/>
    <cellStyle name="40% - Accent2 2 2 2 7" xfId="4563" xr:uid="{00000000-0005-0000-0000-000077040000}"/>
    <cellStyle name="40% - Accent2 2 2 2 7 2" xfId="40081" xr:uid="{5A47CC09-2559-4369-A600-B6488BA95769}"/>
    <cellStyle name="40% - Accent2 2 2 2 7 3" xfId="31634" xr:uid="{C7AC9E97-1B5F-43A8-8AB7-08B2BD2A7EBB}"/>
    <cellStyle name="40% - Accent2 2 2 2 7 4" xfId="23186" xr:uid="{A04243C6-CE45-4055-ADC9-7B58442E2FD3}"/>
    <cellStyle name="40% - Accent2 2 2 2 7 5" xfId="13889" xr:uid="{03A148B2-3D9A-4D86-B80A-6471B6E12B4F}"/>
    <cellStyle name="40% - Accent2 2 2 2 8" xfId="9109" xr:uid="{73F0012D-4386-4224-BFB0-7DB1C0E98822}"/>
    <cellStyle name="40% - Accent2 2 2 2 8 2" xfId="35864" xr:uid="{7EA31718-0584-4127-9A8D-6B91AECF5926}"/>
    <cellStyle name="40% - Accent2 2 2 2 8 3" xfId="18432" xr:uid="{C90508F6-1DC4-422B-8F5B-52CB05D46393}"/>
    <cellStyle name="40% - Accent2 2 2 2 9" xfId="27416" xr:uid="{9BB12AD4-7533-4C10-B055-3EFC3F3301D6}"/>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42639" xr:uid="{DF1CB8BE-0DD4-426B-8529-EFBC742D4063}"/>
    <cellStyle name="40% - Accent2 2 2 3 2 2 3" xfId="34192" xr:uid="{0D5DABA9-AFB3-4865-8771-CF39497AD2B4}"/>
    <cellStyle name="40% - Accent2 2 2 3 2 2 4" xfId="25744" xr:uid="{459F14DC-C169-4969-96CB-C8B13AC406EB}"/>
    <cellStyle name="40% - Accent2 2 2 3 2 2 5" xfId="16447" xr:uid="{8A04F26A-8ADB-4ED6-9FDB-B364A579EF73}"/>
    <cellStyle name="40% - Accent2 2 2 3 2 3" xfId="38422" xr:uid="{32714ABA-3B0C-4FED-B14A-684EBDD47CCD}"/>
    <cellStyle name="40% - Accent2 2 2 3 2 4" xfId="29974" xr:uid="{83EB52FA-B0C3-4D8D-8CD4-C4DB5E388083}"/>
    <cellStyle name="40% - Accent2 2 2 3 2 5" xfId="21527" xr:uid="{ADDFD276-1685-4FBB-B54E-781F37AF551E}"/>
    <cellStyle name="40% - Accent2 2 2 3 2 6" xfId="12230" xr:uid="{B16AC7BC-698A-47D2-80DB-28B165C8DD17}"/>
    <cellStyle name="40% - Accent2 2 2 3 3" xfId="4976" xr:uid="{00000000-0005-0000-0000-00007B040000}"/>
    <cellStyle name="40% - Accent2 2 2 3 3 2" xfId="40494" xr:uid="{D482E463-2940-4D10-8689-06149776C22F}"/>
    <cellStyle name="40% - Accent2 2 2 3 3 3" xfId="32047" xr:uid="{E6E137F8-E17B-4F31-AB64-FA4099CCFE1E}"/>
    <cellStyle name="40% - Accent2 2 2 3 3 4" xfId="23599" xr:uid="{319E4342-6FED-4E12-8B4C-1196B385C709}"/>
    <cellStyle name="40% - Accent2 2 2 3 3 5" xfId="14302" xr:uid="{C393C0F3-40C0-43F5-9709-9713D551EECE}"/>
    <cellStyle name="40% - Accent2 2 2 3 4" xfId="9327" xr:uid="{F2BC9A12-B689-4B73-B71E-77A9F0BC7FE4}"/>
    <cellStyle name="40% - Accent2 2 2 3 4 2" xfId="36277" xr:uid="{00015856-F226-4F44-89A8-227104A05DB3}"/>
    <cellStyle name="40% - Accent2 2 2 3 4 3" xfId="18640" xr:uid="{94ABDEB8-43A6-44C9-B383-1990577823B9}"/>
    <cellStyle name="40% - Accent2 2 2 3 5" xfId="27829" xr:uid="{021C0BF6-E924-4123-AFDD-CB046F11E32F}"/>
    <cellStyle name="40% - Accent2 2 2 3 6" xfId="19382" xr:uid="{4671FD4C-A6C0-4E1D-AD8D-1B465705F3CD}"/>
    <cellStyle name="40% - Accent2 2 2 3 7" xfId="10085" xr:uid="{DF718E41-8287-436D-BD85-9264A899FE34}"/>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43052" xr:uid="{DAE6FDA6-3F59-4BF0-80CB-618789BA369E}"/>
    <cellStyle name="40% - Accent2 2 2 4 2 2 3" xfId="34605" xr:uid="{FDF051F7-7CC0-43A1-8444-2BF199F8454E}"/>
    <cellStyle name="40% - Accent2 2 2 4 2 2 4" xfId="26157" xr:uid="{90546046-8601-46BB-8C70-4C8BBE77DDC1}"/>
    <cellStyle name="40% - Accent2 2 2 4 2 2 5" xfId="16860" xr:uid="{475B3FF3-56BD-4C06-B50B-93E6D5C5438D}"/>
    <cellStyle name="40% - Accent2 2 2 4 2 3" xfId="38835" xr:uid="{EA97871F-1F86-4C8E-B175-0C209767D541}"/>
    <cellStyle name="40% - Accent2 2 2 4 2 4" xfId="30387" xr:uid="{F6FBDF3B-6B16-4829-B966-C904E724EEA3}"/>
    <cellStyle name="40% - Accent2 2 2 4 2 5" xfId="21940" xr:uid="{E73BB66D-46C4-4D03-A4EF-45D654D473F5}"/>
    <cellStyle name="40% - Accent2 2 2 4 2 6" xfId="12643" xr:uid="{3D3874CA-3E17-41C0-8FC4-C58626F5F4F5}"/>
    <cellStyle name="40% - Accent2 2 2 4 3" xfId="5389" xr:uid="{00000000-0005-0000-0000-00007F040000}"/>
    <cellStyle name="40% - Accent2 2 2 4 3 2" xfId="40907" xr:uid="{EBE44747-1D54-43C0-8CB1-44EB42B02B27}"/>
    <cellStyle name="40% - Accent2 2 2 4 3 3" xfId="32460" xr:uid="{825A09EA-4406-4845-A134-FFC63E93654E}"/>
    <cellStyle name="40% - Accent2 2 2 4 3 4" xfId="24012" xr:uid="{6B1959EB-06A6-4539-A26F-268F8EE20A48}"/>
    <cellStyle name="40% - Accent2 2 2 4 3 5" xfId="14715" xr:uid="{0E4189D8-5725-45FC-8098-DD686BB48755}"/>
    <cellStyle name="40% - Accent2 2 2 4 4" xfId="36690" xr:uid="{C38799DD-2FE8-4A8B-8E57-26959B763A81}"/>
    <cellStyle name="40% - Accent2 2 2 4 5" xfId="28242" xr:uid="{5673C3F2-7E6C-4347-B396-B7E5180F6ED9}"/>
    <cellStyle name="40% - Accent2 2 2 4 6" xfId="19795" xr:uid="{C4C0040D-8910-46FD-A984-F8E8BC2F44C9}"/>
    <cellStyle name="40% - Accent2 2 2 4 7" xfId="10498" xr:uid="{5C6F6CE8-CDC1-483E-B415-3DA7CCE4A2B9}"/>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43465" xr:uid="{2D5D4AA9-8175-4499-A948-72EE68200160}"/>
    <cellStyle name="40% - Accent2 2 2 5 2 2 3" xfId="35018" xr:uid="{D7F554E3-EDC8-4A6A-ACF5-465C2014221F}"/>
    <cellStyle name="40% - Accent2 2 2 5 2 2 4" xfId="26570" xr:uid="{E1DB6B76-8B2A-4B2A-9E2B-DB501F986244}"/>
    <cellStyle name="40% - Accent2 2 2 5 2 2 5" xfId="17273" xr:uid="{D0BA1D70-5570-4833-866F-9C5BEEF3DF84}"/>
    <cellStyle name="40% - Accent2 2 2 5 2 3" xfId="39248" xr:uid="{E3B54D04-E043-4BCA-8548-17D9A0B14F59}"/>
    <cellStyle name="40% - Accent2 2 2 5 2 4" xfId="30800" xr:uid="{B984130A-BBC4-46A2-965A-9E4905433C17}"/>
    <cellStyle name="40% - Accent2 2 2 5 2 5" xfId="22353" xr:uid="{AEAA3CFB-4852-45E3-813D-EFEC0E7500C8}"/>
    <cellStyle name="40% - Accent2 2 2 5 2 6" xfId="13056" xr:uid="{16FC9D0F-BB97-45CD-A85B-EDA41D178C4D}"/>
    <cellStyle name="40% - Accent2 2 2 5 3" xfId="5802" xr:uid="{00000000-0005-0000-0000-000083040000}"/>
    <cellStyle name="40% - Accent2 2 2 5 3 2" xfId="41320" xr:uid="{164BCE32-C938-4674-9E2D-E577C6F8439D}"/>
    <cellStyle name="40% - Accent2 2 2 5 3 3" xfId="32873" xr:uid="{FE17D296-2586-4169-9701-E3F9BF1DB1BE}"/>
    <cellStyle name="40% - Accent2 2 2 5 3 4" xfId="24425" xr:uid="{131423CE-04AB-4570-BB9E-84F093193291}"/>
    <cellStyle name="40% - Accent2 2 2 5 3 5" xfId="15128" xr:uid="{B093EBEF-A552-4341-ABED-7C47B2866ABE}"/>
    <cellStyle name="40% - Accent2 2 2 5 4" xfId="37103" xr:uid="{E1060B0F-93A8-425A-B773-D1D6B21F6CD8}"/>
    <cellStyle name="40% - Accent2 2 2 5 5" xfId="28655" xr:uid="{7591E4E0-6706-4F67-8157-C23017626F56}"/>
    <cellStyle name="40% - Accent2 2 2 5 6" xfId="20208" xr:uid="{F4F8489D-5BEA-41F0-9135-E4FC4EF46AF8}"/>
    <cellStyle name="40% - Accent2 2 2 5 7" xfId="10911" xr:uid="{711468FB-1969-4F22-9B1B-38A8D4956D2E}"/>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43878" xr:uid="{2D3AEFBB-CEF5-4013-BBF7-13F9CC921FD8}"/>
    <cellStyle name="40% - Accent2 2 2 6 2 2 3" xfId="35431" xr:uid="{9C358ED6-90C6-4225-91DE-A449B94C5213}"/>
    <cellStyle name="40% - Accent2 2 2 6 2 2 4" xfId="26983" xr:uid="{D1C4ACFB-4776-4387-96DD-8CE20D01BB58}"/>
    <cellStyle name="40% - Accent2 2 2 6 2 2 5" xfId="17686" xr:uid="{FEDA69B5-DBD1-4E62-AAB8-15FE7CE5F9BA}"/>
    <cellStyle name="40% - Accent2 2 2 6 2 3" xfId="39661" xr:uid="{A5B88CA7-EFE4-4667-BFA6-E5170389B8C1}"/>
    <cellStyle name="40% - Accent2 2 2 6 2 4" xfId="31213" xr:uid="{4F52AB2B-07E5-4D75-BD6D-42C8720EDDF6}"/>
    <cellStyle name="40% - Accent2 2 2 6 2 5" xfId="22766" xr:uid="{154CB06E-0265-4975-BE41-AB8D2450DED3}"/>
    <cellStyle name="40% - Accent2 2 2 6 2 6" xfId="13469" xr:uid="{31D31BB3-81F2-4324-8ED5-418AA27DBA00}"/>
    <cellStyle name="40% - Accent2 2 2 6 3" xfId="6215" xr:uid="{00000000-0005-0000-0000-000087040000}"/>
    <cellStyle name="40% - Accent2 2 2 6 3 2" xfId="41733" xr:uid="{6A4ACC26-FE92-43E2-BF04-5ECD223BCBC8}"/>
    <cellStyle name="40% - Accent2 2 2 6 3 3" xfId="33286" xr:uid="{C53D0712-F36E-4C69-A999-71A7DEF6D006}"/>
    <cellStyle name="40% - Accent2 2 2 6 3 4" xfId="24838" xr:uid="{05778E28-4B43-4D16-B613-26B89C72C3FA}"/>
    <cellStyle name="40% - Accent2 2 2 6 3 5" xfId="15541" xr:uid="{F08BC979-5267-4F0F-86B6-B44E47A26566}"/>
    <cellStyle name="40% - Accent2 2 2 6 4" xfId="37516" xr:uid="{8ED09D7F-F7C7-4D30-8A56-2F3034F81BA8}"/>
    <cellStyle name="40% - Accent2 2 2 6 5" xfId="29068" xr:uid="{7E09BD15-981D-4C49-8204-D1952E1B691C}"/>
    <cellStyle name="40% - Accent2 2 2 6 6" xfId="20621" xr:uid="{4AD19AB6-436A-4873-BC05-AE1186D25DDC}"/>
    <cellStyle name="40% - Accent2 2 2 6 7" xfId="11324" xr:uid="{57AF3D6F-FAB6-4A63-AAD6-B23F8B53BF08}"/>
    <cellStyle name="40% - Accent2 2 2 7" xfId="2322" xr:uid="{00000000-0005-0000-0000-000088040000}"/>
    <cellStyle name="40% - Accent2 2 2 7 2" xfId="6628" xr:uid="{00000000-0005-0000-0000-000089040000}"/>
    <cellStyle name="40% - Accent2 2 2 7 2 2" xfId="42146" xr:uid="{B6EFFB29-5865-4C65-94A9-9F0F0F835A61}"/>
    <cellStyle name="40% - Accent2 2 2 7 2 3" xfId="33699" xr:uid="{EB33F6C5-53CC-46C3-AEC4-7B3B7E2ACEBC}"/>
    <cellStyle name="40% - Accent2 2 2 7 2 4" xfId="25251" xr:uid="{38145537-2D0D-4633-86F9-6B1CE5C40DE4}"/>
    <cellStyle name="40% - Accent2 2 2 7 2 5" xfId="15954" xr:uid="{53FDB8AB-10BF-4F06-986E-A42DFE053860}"/>
    <cellStyle name="40% - Accent2 2 2 7 3" xfId="37929" xr:uid="{177DE607-B848-4CC7-ADB2-B0B0BB7A61D8}"/>
    <cellStyle name="40% - Accent2 2 2 7 4" xfId="29481" xr:uid="{441AE49F-C3B0-43F1-8B00-464AA09FD972}"/>
    <cellStyle name="40% - Accent2 2 2 7 5" xfId="21034" xr:uid="{AA34D841-3D31-42EA-8749-6DE02CFC617A}"/>
    <cellStyle name="40% - Accent2 2 2 7 6" xfId="11737" xr:uid="{C9B6F31B-20C6-4432-BC66-A44C23B2B711}"/>
    <cellStyle name="40% - Accent2 2 2 8" xfId="4562" xr:uid="{00000000-0005-0000-0000-00008A040000}"/>
    <cellStyle name="40% - Accent2 2 2 8 2" xfId="40080" xr:uid="{B9AA7A80-42B9-4DD7-95C8-2A8AC725FCCD}"/>
    <cellStyle name="40% - Accent2 2 2 8 3" xfId="31633" xr:uid="{A3EAE0EC-0357-4B38-9D0A-A8AD5E98FB9C}"/>
    <cellStyle name="40% - Accent2 2 2 8 4" xfId="23185" xr:uid="{FAEC115E-AA7F-4BCE-B066-64E050292374}"/>
    <cellStyle name="40% - Accent2 2 2 8 5" xfId="13888" xr:uid="{17E321DB-1BBF-4D0F-A1B0-C8B1A6D89A9B}"/>
    <cellStyle name="40% - Accent2 2 2 9" xfId="8902" xr:uid="{5D0C2022-B7A4-4DE2-895F-9E4BE510A7B9}"/>
    <cellStyle name="40% - Accent2 2 2 9 2" xfId="35863" xr:uid="{E779A5D0-4026-4657-A8A4-D0E9E9D14D98}"/>
    <cellStyle name="40% - Accent2 2 2 9 3" xfId="18225" xr:uid="{01B548A9-ED93-4157-AC53-8496478558EB}"/>
    <cellStyle name="40% - Accent2 2 3" xfId="61" xr:uid="{00000000-0005-0000-0000-00008B040000}"/>
    <cellStyle name="40% - Accent2 2 3 10" xfId="18970" xr:uid="{CBC9C5B1-2F39-4E56-9D68-7306A7D6E68A}"/>
    <cellStyle name="40% - Accent2 2 3 11" xfId="9673" xr:uid="{95D39AA7-55AD-459F-BB44-EDE056964A99}"/>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42641" xr:uid="{400C3566-9270-4458-8BBB-096554E50038}"/>
    <cellStyle name="40% - Accent2 2 3 2 2 2 3" xfId="34194" xr:uid="{642C40C7-EC46-419C-A748-4600B95E01C7}"/>
    <cellStyle name="40% - Accent2 2 3 2 2 2 4" xfId="25746" xr:uid="{29AD4BA1-6D71-4F98-93F8-05D281639114}"/>
    <cellStyle name="40% - Accent2 2 3 2 2 2 5" xfId="16449" xr:uid="{4B8206BB-7AD9-4858-97C7-522154752B58}"/>
    <cellStyle name="40% - Accent2 2 3 2 2 3" xfId="38424" xr:uid="{13BC0F58-62E1-4329-B373-2CF268EE13CC}"/>
    <cellStyle name="40% - Accent2 2 3 2 2 4" xfId="29976" xr:uid="{ECB5ACE9-993C-47F6-BA21-E6FE730FDFDF}"/>
    <cellStyle name="40% - Accent2 2 3 2 2 5" xfId="21529" xr:uid="{0EDD76D4-BCC8-4F7A-94D3-865BB6B763D2}"/>
    <cellStyle name="40% - Accent2 2 3 2 2 6" xfId="12232" xr:uid="{BF242A71-7B7B-4FEC-B483-D100113195CD}"/>
    <cellStyle name="40% - Accent2 2 3 2 3" xfId="4978" xr:uid="{00000000-0005-0000-0000-00008F040000}"/>
    <cellStyle name="40% - Accent2 2 3 2 3 2" xfId="40496" xr:uid="{6B3F8FE1-B5F6-42C5-A01A-622777547B55}"/>
    <cellStyle name="40% - Accent2 2 3 2 3 3" xfId="32049" xr:uid="{E1F6CE46-ACE5-4F70-A69B-BD2C6A08B781}"/>
    <cellStyle name="40% - Accent2 2 3 2 3 4" xfId="23601" xr:uid="{941FC284-E9EE-481C-96C4-ED8978907FD1}"/>
    <cellStyle name="40% - Accent2 2 3 2 3 5" xfId="14304" xr:uid="{ED71B0C2-E5D1-4451-843A-3B030C1CE848}"/>
    <cellStyle name="40% - Accent2 2 3 2 4" xfId="9431" xr:uid="{BD4E3561-302E-4359-AAF3-4F2E007BC697}"/>
    <cellStyle name="40% - Accent2 2 3 2 4 2" xfId="36279" xr:uid="{FBC00D21-FB84-4EA3-8AD6-4534FEAEA266}"/>
    <cellStyle name="40% - Accent2 2 3 2 4 3" xfId="18744" xr:uid="{1F446014-E9D4-4580-ADCA-7937E658DAA2}"/>
    <cellStyle name="40% - Accent2 2 3 2 5" xfId="27831" xr:uid="{539C0AAD-C3C9-42E0-86D8-963F9DDC857E}"/>
    <cellStyle name="40% - Accent2 2 3 2 6" xfId="19384" xr:uid="{250C709F-ACC0-4428-8588-F233A6F5C2F1}"/>
    <cellStyle name="40% - Accent2 2 3 2 7" xfId="10087" xr:uid="{1BD003D4-9021-47E3-80FF-3C1858F44F31}"/>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43054" xr:uid="{36CE1213-9006-4CA9-8BDD-05630B3378DD}"/>
    <cellStyle name="40% - Accent2 2 3 3 2 2 3" xfId="34607" xr:uid="{8272BF39-EEA7-475C-B913-408D539D1F93}"/>
    <cellStyle name="40% - Accent2 2 3 3 2 2 4" xfId="26159" xr:uid="{64A900CE-3B3D-4C66-A328-DFFCD02D216D}"/>
    <cellStyle name="40% - Accent2 2 3 3 2 2 5" xfId="16862" xr:uid="{1D2C3736-BF4B-4FD0-A299-4A6318A917FB}"/>
    <cellStyle name="40% - Accent2 2 3 3 2 3" xfId="38837" xr:uid="{1CDEA77A-882E-4774-841A-131F254DF1FC}"/>
    <cellStyle name="40% - Accent2 2 3 3 2 4" xfId="30389" xr:uid="{3622586B-6E62-4F29-BB86-C181AAD406B3}"/>
    <cellStyle name="40% - Accent2 2 3 3 2 5" xfId="21942" xr:uid="{457D61E8-2F87-4014-9509-AF8CB21E4052}"/>
    <cellStyle name="40% - Accent2 2 3 3 2 6" xfId="12645" xr:uid="{36569064-3653-409C-AC03-CF81D3C3AE08}"/>
    <cellStyle name="40% - Accent2 2 3 3 3" xfId="5391" xr:uid="{00000000-0005-0000-0000-000093040000}"/>
    <cellStyle name="40% - Accent2 2 3 3 3 2" xfId="40909" xr:uid="{29AB3A1E-CBF3-4E1F-982D-D7DA82BA9A83}"/>
    <cellStyle name="40% - Accent2 2 3 3 3 3" xfId="32462" xr:uid="{1B496F01-1521-40F1-850A-1DAF7905B8DF}"/>
    <cellStyle name="40% - Accent2 2 3 3 3 4" xfId="24014" xr:uid="{AC15FC1A-C92F-45A2-9EC4-149F13248FBD}"/>
    <cellStyle name="40% - Accent2 2 3 3 3 5" xfId="14717" xr:uid="{8D0BCA56-CFB5-475D-B4A5-1E2E8D4DD597}"/>
    <cellStyle name="40% - Accent2 2 3 3 4" xfId="36692" xr:uid="{D67B4816-1F0A-4BD7-B76C-96E9CE53A779}"/>
    <cellStyle name="40% - Accent2 2 3 3 5" xfId="28244" xr:uid="{78B967C7-AE7E-460C-B117-2ADBDA1CB62C}"/>
    <cellStyle name="40% - Accent2 2 3 3 6" xfId="19797" xr:uid="{CF145168-4284-475E-B804-852B1E975D4C}"/>
    <cellStyle name="40% - Accent2 2 3 3 7" xfId="10500" xr:uid="{2527B5FD-547D-467C-A825-B424BA67FC71}"/>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43467" xr:uid="{46ABD13B-7F4E-467D-BE34-DCB29768F1A3}"/>
    <cellStyle name="40% - Accent2 2 3 4 2 2 3" xfId="35020" xr:uid="{188B6AD8-AB0A-4E42-B402-6F0C981FEE01}"/>
    <cellStyle name="40% - Accent2 2 3 4 2 2 4" xfId="26572" xr:uid="{97732370-7E6A-455D-8E99-715BBDBCD169}"/>
    <cellStyle name="40% - Accent2 2 3 4 2 2 5" xfId="17275" xr:uid="{1521D7BC-0A4E-4A55-970E-7E42346F1E25}"/>
    <cellStyle name="40% - Accent2 2 3 4 2 3" xfId="39250" xr:uid="{B1E30299-E2BA-4BEB-83BE-D6E8ACB75FC3}"/>
    <cellStyle name="40% - Accent2 2 3 4 2 4" xfId="30802" xr:uid="{7F610249-8198-4EFE-8A51-4DF81E7C80E6}"/>
    <cellStyle name="40% - Accent2 2 3 4 2 5" xfId="22355" xr:uid="{EBEAE5F2-27CF-4C1A-8637-283C25AD0366}"/>
    <cellStyle name="40% - Accent2 2 3 4 2 6" xfId="13058" xr:uid="{244384CF-6AC4-4294-8B4E-0BC2754D79E0}"/>
    <cellStyle name="40% - Accent2 2 3 4 3" xfId="5804" xr:uid="{00000000-0005-0000-0000-000097040000}"/>
    <cellStyle name="40% - Accent2 2 3 4 3 2" xfId="41322" xr:uid="{C67E2BB6-D599-4ABC-8C90-60EFDF5218C2}"/>
    <cellStyle name="40% - Accent2 2 3 4 3 3" xfId="32875" xr:uid="{85637EB7-73BD-42A7-9B5B-E435A459A9EF}"/>
    <cellStyle name="40% - Accent2 2 3 4 3 4" xfId="24427" xr:uid="{D4797B53-CD7F-4403-B606-B864B45652F1}"/>
    <cellStyle name="40% - Accent2 2 3 4 3 5" xfId="15130" xr:uid="{1DB84EC1-D9DD-47F9-9757-04034B7D1C6E}"/>
    <cellStyle name="40% - Accent2 2 3 4 4" xfId="37105" xr:uid="{370E05EE-8BBA-4CDE-B673-99FF7A827060}"/>
    <cellStyle name="40% - Accent2 2 3 4 5" xfId="28657" xr:uid="{C904E264-5FC8-4AAB-8382-4F5F00C1D02F}"/>
    <cellStyle name="40% - Accent2 2 3 4 6" xfId="20210" xr:uid="{678142CE-9095-4505-9F68-EEB9E1502CC6}"/>
    <cellStyle name="40% - Accent2 2 3 4 7" xfId="10913" xr:uid="{D3376E69-57A8-4025-9B51-D8880FA185D6}"/>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43880" xr:uid="{3BB0974F-6965-45C3-BBCD-E1B7C6B2DD55}"/>
    <cellStyle name="40% - Accent2 2 3 5 2 2 3" xfId="35433" xr:uid="{987FB9B7-D1A2-43E6-9BAC-E967A3ED1900}"/>
    <cellStyle name="40% - Accent2 2 3 5 2 2 4" xfId="26985" xr:uid="{C5375F55-2879-4BC7-9993-7B97E9B836D1}"/>
    <cellStyle name="40% - Accent2 2 3 5 2 2 5" xfId="17688" xr:uid="{FBDA2755-BE9C-4A1A-A4B2-89B4436C4AE8}"/>
    <cellStyle name="40% - Accent2 2 3 5 2 3" xfId="39663" xr:uid="{034AFB92-1286-4EDD-A6CF-C81623CC6587}"/>
    <cellStyle name="40% - Accent2 2 3 5 2 4" xfId="31215" xr:uid="{CB216472-771C-4C52-8BA3-CCEAA2230EFA}"/>
    <cellStyle name="40% - Accent2 2 3 5 2 5" xfId="22768" xr:uid="{51DA5BF9-C3B7-43EF-BEEB-704F9DAD85E6}"/>
    <cellStyle name="40% - Accent2 2 3 5 2 6" xfId="13471" xr:uid="{70CC3A79-8884-45F6-94EF-7201666F126F}"/>
    <cellStyle name="40% - Accent2 2 3 5 3" xfId="6217" xr:uid="{00000000-0005-0000-0000-00009B040000}"/>
    <cellStyle name="40% - Accent2 2 3 5 3 2" xfId="41735" xr:uid="{D3458EBA-9C68-4088-94B8-327E958A1DA7}"/>
    <cellStyle name="40% - Accent2 2 3 5 3 3" xfId="33288" xr:uid="{D3A72A4C-B49B-45D2-8BC5-C367762AD197}"/>
    <cellStyle name="40% - Accent2 2 3 5 3 4" xfId="24840" xr:uid="{BD197A98-3125-4902-AD0A-1149412F8BB7}"/>
    <cellStyle name="40% - Accent2 2 3 5 3 5" xfId="15543" xr:uid="{FFD44ECE-177B-41B5-905D-CC1782F11729}"/>
    <cellStyle name="40% - Accent2 2 3 5 4" xfId="37518" xr:uid="{49ED916E-9043-4994-8A67-7F41FC25F9C0}"/>
    <cellStyle name="40% - Accent2 2 3 5 5" xfId="29070" xr:uid="{FAFAD2E9-F104-400B-B416-59D2677C784D}"/>
    <cellStyle name="40% - Accent2 2 3 5 6" xfId="20623" xr:uid="{F78F50F8-EDBC-4804-9D24-ED0C8CA6B56C}"/>
    <cellStyle name="40% - Accent2 2 3 5 7" xfId="11326" xr:uid="{AE5B6462-F556-4983-B1D4-1A69C683251F}"/>
    <cellStyle name="40% - Accent2 2 3 6" xfId="2324" xr:uid="{00000000-0005-0000-0000-00009C040000}"/>
    <cellStyle name="40% - Accent2 2 3 6 2" xfId="6630" xr:uid="{00000000-0005-0000-0000-00009D040000}"/>
    <cellStyle name="40% - Accent2 2 3 6 2 2" xfId="42148" xr:uid="{5984EAAE-914F-4A9B-8A7D-446E1903ED87}"/>
    <cellStyle name="40% - Accent2 2 3 6 2 3" xfId="33701" xr:uid="{21D90B80-300F-4591-91BB-14966EEC37F1}"/>
    <cellStyle name="40% - Accent2 2 3 6 2 4" xfId="25253" xr:uid="{B3F35035-4868-422C-ACEE-5987B9DA611D}"/>
    <cellStyle name="40% - Accent2 2 3 6 2 5" xfId="15956" xr:uid="{5D410E29-AD90-4BAB-ACD9-D7F5C36E0D0D}"/>
    <cellStyle name="40% - Accent2 2 3 6 3" xfId="37931" xr:uid="{6F941B8B-D8A3-489E-B5B2-6552EC1EA728}"/>
    <cellStyle name="40% - Accent2 2 3 6 4" xfId="29483" xr:uid="{548692EA-D354-4923-8C5E-4AEC7E93D528}"/>
    <cellStyle name="40% - Accent2 2 3 6 5" xfId="21036" xr:uid="{73A1513D-4E17-4F20-A77A-7448539C281C}"/>
    <cellStyle name="40% - Accent2 2 3 6 6" xfId="11739" xr:uid="{86AF9355-103A-4FD5-BE2A-36A09838BAEA}"/>
    <cellStyle name="40% - Accent2 2 3 7" xfId="4564" xr:uid="{00000000-0005-0000-0000-00009E040000}"/>
    <cellStyle name="40% - Accent2 2 3 7 2" xfId="40082" xr:uid="{AF92B392-8483-4131-BE6C-F91CAD45433D}"/>
    <cellStyle name="40% - Accent2 2 3 7 3" xfId="31635" xr:uid="{7219EE56-B1BB-4B8B-AC77-B645984B5CC6}"/>
    <cellStyle name="40% - Accent2 2 3 7 4" xfId="23187" xr:uid="{C33C6619-6C10-4BBB-9654-DEA720EECF9E}"/>
    <cellStyle name="40% - Accent2 2 3 7 5" xfId="13890" xr:uid="{C43E2E70-1750-4E25-8571-DD4697460CA5}"/>
    <cellStyle name="40% - Accent2 2 3 8" xfId="9006" xr:uid="{E6E89EA5-B76F-4FCC-89B9-DD4135B6364B}"/>
    <cellStyle name="40% - Accent2 2 3 8 2" xfId="35865" xr:uid="{3450595B-28B8-4196-9150-EC81A1071493}"/>
    <cellStyle name="40% - Accent2 2 3 8 3" xfId="18329" xr:uid="{ED994FE8-D818-4154-9210-9C01A594ADB4}"/>
    <cellStyle name="40% - Accent2 2 3 9" xfId="27417" xr:uid="{DFB46BD1-328A-41CE-97ED-524C15F76B6E}"/>
    <cellStyle name="40% - Accent2 2 4" xfId="627" xr:uid="{00000000-0005-0000-0000-00009F040000}"/>
    <cellStyle name="40% - Accent2 2 4 2" xfId="2898" xr:uid="{00000000-0005-0000-0000-0000A0040000}"/>
    <cellStyle name="40% - Accent2 2 4 2 2" xfId="7120" xr:uid="{00000000-0005-0000-0000-0000A1040000}"/>
    <cellStyle name="40% - Accent2 2 4 2 2 2" xfId="42638" xr:uid="{60A71FF8-FE38-41E4-9368-FBA4FBB6DBF9}"/>
    <cellStyle name="40% - Accent2 2 4 2 2 3" xfId="34191" xr:uid="{C12D59D2-9DAE-40A3-AB97-E0ACAAECDB8E}"/>
    <cellStyle name="40% - Accent2 2 4 2 2 4" xfId="25743" xr:uid="{FEE80F31-025F-4F38-9453-C0D1BF985657}"/>
    <cellStyle name="40% - Accent2 2 4 2 2 5" xfId="16446" xr:uid="{07234858-868A-46AE-8389-06AB0C17CD3C}"/>
    <cellStyle name="40% - Accent2 2 4 2 3" xfId="38421" xr:uid="{312BFDB7-2553-4774-833F-096133537E6C}"/>
    <cellStyle name="40% - Accent2 2 4 2 4" xfId="29973" xr:uid="{7586599E-031C-4F0A-8CF2-72B839449BCA}"/>
    <cellStyle name="40% - Accent2 2 4 2 5" xfId="21526" xr:uid="{D65B9D96-7FF2-49CF-86D6-7BF0D9AE1133}"/>
    <cellStyle name="40% - Accent2 2 4 2 6" xfId="12229" xr:uid="{F4A26804-CC15-4EC7-97C8-72D82898F845}"/>
    <cellStyle name="40% - Accent2 2 4 3" xfId="4975" xr:uid="{00000000-0005-0000-0000-0000A2040000}"/>
    <cellStyle name="40% - Accent2 2 4 3 2" xfId="40493" xr:uid="{B2F08554-544C-4371-A2C3-24C996BF6DCE}"/>
    <cellStyle name="40% - Accent2 2 4 3 3" xfId="32046" xr:uid="{DD85ACF5-BD5C-4719-8B18-D51E2362E84D}"/>
    <cellStyle name="40% - Accent2 2 4 3 4" xfId="23598" xr:uid="{AF0E19B2-76CA-4958-A0EF-E426B597AF71}"/>
    <cellStyle name="40% - Accent2 2 4 3 5" xfId="14301" xr:uid="{C84DF44E-98B0-478A-9095-9DFC1C81A935}"/>
    <cellStyle name="40% - Accent2 2 4 4" xfId="9223" xr:uid="{FA9890B4-781A-4E4C-81EE-BC7448559828}"/>
    <cellStyle name="40% - Accent2 2 4 4 2" xfId="36276" xr:uid="{883A9336-7AF1-4C7D-B56B-8156A77E7368}"/>
    <cellStyle name="40% - Accent2 2 4 4 3" xfId="18537" xr:uid="{F579F8EA-AF0B-4B1B-B4F2-90014CA11C32}"/>
    <cellStyle name="40% - Accent2 2 4 5" xfId="27828" xr:uid="{7AAF3EA1-38F8-4704-B247-513E43F49ACD}"/>
    <cellStyle name="40% - Accent2 2 4 6" xfId="19381" xr:uid="{D34AEC8D-7AB2-4918-BBDC-7CA72B73B705}"/>
    <cellStyle name="40% - Accent2 2 4 7" xfId="10084" xr:uid="{0088EAC9-6A68-4F9D-A17C-E5BAA1299AAA}"/>
    <cellStyle name="40% - Accent2 2 5" xfId="1080" xr:uid="{00000000-0005-0000-0000-0000A3040000}"/>
    <cellStyle name="40% - Accent2 2 5 2" xfId="3311" xr:uid="{00000000-0005-0000-0000-0000A4040000}"/>
    <cellStyle name="40% - Accent2 2 5 2 2" xfId="7533" xr:uid="{00000000-0005-0000-0000-0000A5040000}"/>
    <cellStyle name="40% - Accent2 2 5 2 2 2" xfId="43051" xr:uid="{455F89A5-6C69-4AD5-9882-40C9731C305E}"/>
    <cellStyle name="40% - Accent2 2 5 2 2 3" xfId="34604" xr:uid="{C9B8E471-2CF5-445C-BCF1-FE0BF14BF611}"/>
    <cellStyle name="40% - Accent2 2 5 2 2 4" xfId="26156" xr:uid="{FBB26FD8-0F25-417C-A08D-928C707B650F}"/>
    <cellStyle name="40% - Accent2 2 5 2 2 5" xfId="16859" xr:uid="{F3751BB6-EF53-4C30-9D4A-F5EECCC2C08A}"/>
    <cellStyle name="40% - Accent2 2 5 2 3" xfId="38834" xr:uid="{F64D0057-25A5-4FFC-86AD-497DF33BD847}"/>
    <cellStyle name="40% - Accent2 2 5 2 4" xfId="30386" xr:uid="{389D477B-9BE4-47D6-877F-26CF551AF0F2}"/>
    <cellStyle name="40% - Accent2 2 5 2 5" xfId="21939" xr:uid="{38B8EC33-CB34-483B-9453-5C07E8D1C6AF}"/>
    <cellStyle name="40% - Accent2 2 5 2 6" xfId="12642" xr:uid="{1A0D4CDC-D48F-4F61-B3C9-8E3E22659801}"/>
    <cellStyle name="40% - Accent2 2 5 3" xfId="5388" xr:uid="{00000000-0005-0000-0000-0000A6040000}"/>
    <cellStyle name="40% - Accent2 2 5 3 2" xfId="40906" xr:uid="{ECBB68B8-6735-496F-80A0-7DBAA601FF52}"/>
    <cellStyle name="40% - Accent2 2 5 3 3" xfId="32459" xr:uid="{0ECA3979-C0B8-4B04-8790-4584E2305678}"/>
    <cellStyle name="40% - Accent2 2 5 3 4" xfId="24011" xr:uid="{8B6B7066-5BE1-4767-82C5-8F0BF4F0B3E3}"/>
    <cellStyle name="40% - Accent2 2 5 3 5" xfId="14714" xr:uid="{9FF4215D-4627-40B8-9CF0-F108502263F6}"/>
    <cellStyle name="40% - Accent2 2 5 4" xfId="36689" xr:uid="{5CC6914C-D335-41D8-A68F-DFF422F824B4}"/>
    <cellStyle name="40% - Accent2 2 5 5" xfId="28241" xr:uid="{A59F3638-8252-48FB-A0C5-C21A0A9708CE}"/>
    <cellStyle name="40% - Accent2 2 5 6" xfId="19794" xr:uid="{A8127A5C-5744-4F82-B4A3-CE3CF8642B53}"/>
    <cellStyle name="40% - Accent2 2 5 7" xfId="10497" xr:uid="{63CA2C96-CB9D-45E9-93DF-A700B390A20B}"/>
    <cellStyle name="40% - Accent2 2 6" xfId="1494" xr:uid="{00000000-0005-0000-0000-0000A7040000}"/>
    <cellStyle name="40% - Accent2 2 6 2" xfId="3724" xr:uid="{00000000-0005-0000-0000-0000A8040000}"/>
    <cellStyle name="40% - Accent2 2 6 2 2" xfId="7946" xr:uid="{00000000-0005-0000-0000-0000A9040000}"/>
    <cellStyle name="40% - Accent2 2 6 2 2 2" xfId="43464" xr:uid="{6E5AFC9D-4B2A-4555-9257-868A171EAF93}"/>
    <cellStyle name="40% - Accent2 2 6 2 2 3" xfId="35017" xr:uid="{6534AA32-9AD1-4429-A18F-F3E73E0D4198}"/>
    <cellStyle name="40% - Accent2 2 6 2 2 4" xfId="26569" xr:uid="{F8F78498-4952-49EF-A80E-844CE8132469}"/>
    <cellStyle name="40% - Accent2 2 6 2 2 5" xfId="17272" xr:uid="{3EFD5E6A-EFAC-446B-822C-345888DB1252}"/>
    <cellStyle name="40% - Accent2 2 6 2 3" xfId="39247" xr:uid="{0E850C49-2722-44C4-A49D-70A9C27539B2}"/>
    <cellStyle name="40% - Accent2 2 6 2 4" xfId="30799" xr:uid="{5CC1BCF3-FFD6-41F5-A94D-31AD39629D14}"/>
    <cellStyle name="40% - Accent2 2 6 2 5" xfId="22352" xr:uid="{DC6B2643-4CAE-4B90-A9ED-9F7EBB94D79A}"/>
    <cellStyle name="40% - Accent2 2 6 2 6" xfId="13055" xr:uid="{E84C7C86-C9FD-4AC6-A062-168368F1B4E4}"/>
    <cellStyle name="40% - Accent2 2 6 3" xfId="5801" xr:uid="{00000000-0005-0000-0000-0000AA040000}"/>
    <cellStyle name="40% - Accent2 2 6 3 2" xfId="41319" xr:uid="{B174EB35-705A-49E8-A2D9-46813083D4A7}"/>
    <cellStyle name="40% - Accent2 2 6 3 3" xfId="32872" xr:uid="{A18DDB35-9CB4-4E06-8B0F-FF8F1C3BF4B2}"/>
    <cellStyle name="40% - Accent2 2 6 3 4" xfId="24424" xr:uid="{1113DD6B-9B81-46EE-87FC-5DAACEAC17A1}"/>
    <cellStyle name="40% - Accent2 2 6 3 5" xfId="15127" xr:uid="{D09CE3B4-6B26-40A1-AF61-C374AD52A003}"/>
    <cellStyle name="40% - Accent2 2 6 4" xfId="37102" xr:uid="{8AB2BBDD-F7B4-4701-8E77-BDB00FD07B40}"/>
    <cellStyle name="40% - Accent2 2 6 5" xfId="28654" xr:uid="{F658A0A1-2C90-4034-8A49-524CB3F716B6}"/>
    <cellStyle name="40% - Accent2 2 6 6" xfId="20207" xr:uid="{80C87E38-A853-4D39-917C-903488B0CF80}"/>
    <cellStyle name="40% - Accent2 2 6 7" xfId="10910" xr:uid="{C210B13B-5C79-452F-AB26-55A0E02FE1FE}"/>
    <cellStyle name="40% - Accent2 2 7" xfId="1908" xr:uid="{00000000-0005-0000-0000-0000AB040000}"/>
    <cellStyle name="40% - Accent2 2 7 2" xfId="4137" xr:uid="{00000000-0005-0000-0000-0000AC040000}"/>
    <cellStyle name="40% - Accent2 2 7 2 2" xfId="8359" xr:uid="{00000000-0005-0000-0000-0000AD040000}"/>
    <cellStyle name="40% - Accent2 2 7 2 2 2" xfId="43877" xr:uid="{0C40D069-43EB-4D27-B246-CDA129D433CD}"/>
    <cellStyle name="40% - Accent2 2 7 2 2 3" xfId="35430" xr:uid="{19FA851A-6785-48CF-AD31-792F6D7CE828}"/>
    <cellStyle name="40% - Accent2 2 7 2 2 4" xfId="26982" xr:uid="{1033C907-31AC-4FC3-8F7F-5C6927DEBD12}"/>
    <cellStyle name="40% - Accent2 2 7 2 2 5" xfId="17685" xr:uid="{6DEEE754-336E-407D-B5D3-F0E224B8B9CB}"/>
    <cellStyle name="40% - Accent2 2 7 2 3" xfId="39660" xr:uid="{3324D7BC-C263-468D-AFA7-143EC85685DC}"/>
    <cellStyle name="40% - Accent2 2 7 2 4" xfId="31212" xr:uid="{2E253775-FE25-4E38-BD5F-80E72A2B8FED}"/>
    <cellStyle name="40% - Accent2 2 7 2 5" xfId="22765" xr:uid="{DE7D575D-8A84-4695-A178-85D863C45169}"/>
    <cellStyle name="40% - Accent2 2 7 2 6" xfId="13468" xr:uid="{6BD57DA3-FC93-4C9D-AEB6-42C01E27B744}"/>
    <cellStyle name="40% - Accent2 2 7 3" xfId="6214" xr:uid="{00000000-0005-0000-0000-0000AE040000}"/>
    <cellStyle name="40% - Accent2 2 7 3 2" xfId="41732" xr:uid="{C0340061-A62C-4CA0-9581-D1514BEDD491}"/>
    <cellStyle name="40% - Accent2 2 7 3 3" xfId="33285" xr:uid="{43FC3D2A-1B0A-469D-AD79-907CE57C0C4D}"/>
    <cellStyle name="40% - Accent2 2 7 3 4" xfId="24837" xr:uid="{4DCB1408-7DA0-4FDA-BF14-4D3BB89D6825}"/>
    <cellStyle name="40% - Accent2 2 7 3 5" xfId="15540" xr:uid="{CA787612-C8CE-4223-A86E-9F39F77255C8}"/>
    <cellStyle name="40% - Accent2 2 7 4" xfId="37515" xr:uid="{988975F6-5E80-4FFE-8D98-9FDB6152EAFF}"/>
    <cellStyle name="40% - Accent2 2 7 5" xfId="29067" xr:uid="{1C3E895F-BD6B-4787-AD39-304EA3014E82}"/>
    <cellStyle name="40% - Accent2 2 7 6" xfId="20620" xr:uid="{AE6AFEB0-0487-4766-B54E-8067946F1600}"/>
    <cellStyle name="40% - Accent2 2 7 7" xfId="11323" xr:uid="{7247A0A2-8F81-4D96-8E4C-D9FE586FE401}"/>
    <cellStyle name="40% - Accent2 2 8" xfId="2321" xr:uid="{00000000-0005-0000-0000-0000AF040000}"/>
    <cellStyle name="40% - Accent2 2 8 2" xfId="6627" xr:uid="{00000000-0005-0000-0000-0000B0040000}"/>
    <cellStyle name="40% - Accent2 2 8 2 2" xfId="42145" xr:uid="{DAB76A30-3197-4DD9-8D7C-A2D2BBBDC545}"/>
    <cellStyle name="40% - Accent2 2 8 2 3" xfId="33698" xr:uid="{93CC55AC-A96F-4379-8128-020B804C3AA4}"/>
    <cellStyle name="40% - Accent2 2 8 2 4" xfId="25250" xr:uid="{BDF6B4AD-2ED6-481C-A1BF-FB03B53AECA8}"/>
    <cellStyle name="40% - Accent2 2 8 2 5" xfId="15953" xr:uid="{B8034BDF-338A-4123-A9B4-93077B065546}"/>
    <cellStyle name="40% - Accent2 2 8 3" xfId="37928" xr:uid="{7D912ACF-E08F-4A03-B52F-C856D3B37D19}"/>
    <cellStyle name="40% - Accent2 2 8 4" xfId="29480" xr:uid="{FB06AB43-CAD0-438F-AF76-1CB79CA946D2}"/>
    <cellStyle name="40% - Accent2 2 8 5" xfId="21033" xr:uid="{6977EFC9-8E25-44A4-B256-46E46AEC5280}"/>
    <cellStyle name="40% - Accent2 2 8 6" xfId="11736" xr:uid="{6F5511EE-7390-46D4-BC39-7B8D60AC7437}"/>
    <cellStyle name="40% - Accent2 2 9" xfId="4561" xr:uid="{00000000-0005-0000-0000-0000B1040000}"/>
    <cellStyle name="40% - Accent2 2 9 2" xfId="40079" xr:uid="{367F9A96-0F42-4826-99A3-479730ABAC20}"/>
    <cellStyle name="40% - Accent2 2 9 3" xfId="31632" xr:uid="{F914C4D5-66E8-4C11-BDA9-14ADF2F6155B}"/>
    <cellStyle name="40% - Accent2 2 9 4" xfId="23184" xr:uid="{0C16AB2F-9B61-49BC-B699-4ADB875B125C}"/>
    <cellStyle name="40% - Accent2 2 9 5" xfId="13887" xr:uid="{369A9931-FB8E-40FF-A06E-75A6C2A4200C}"/>
    <cellStyle name="40% - Accent2 3" xfId="62" xr:uid="{00000000-0005-0000-0000-0000B2040000}"/>
    <cellStyle name="40% - Accent2 3 10" xfId="27418" xr:uid="{63570574-5E73-441B-A4A7-E9A17AE6B506}"/>
    <cellStyle name="40% - Accent2 3 11" xfId="18971" xr:uid="{8C2C8403-8073-4ADA-A18F-4C9E38573563}"/>
    <cellStyle name="40% - Accent2 3 12" xfId="9674" xr:uid="{8B6774B6-AB49-4B22-BB47-076397A0F560}"/>
    <cellStyle name="40% - Accent2 3 2" xfId="63" xr:uid="{00000000-0005-0000-0000-0000B3040000}"/>
    <cellStyle name="40% - Accent2 3 2 10" xfId="18972" xr:uid="{8AF60BE2-238F-44F5-932A-332E544345B3}"/>
    <cellStyle name="40% - Accent2 3 2 11" xfId="9675" xr:uid="{EF9C57C6-9B77-49D8-A770-8C618CBA780F}"/>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42643" xr:uid="{B59C820F-8510-48B0-B547-83543F898F35}"/>
    <cellStyle name="40% - Accent2 3 2 2 2 2 3" xfId="34196" xr:uid="{38B04BD0-BDE3-4136-9261-0AF863AB1E90}"/>
    <cellStyle name="40% - Accent2 3 2 2 2 2 4" xfId="25748" xr:uid="{8FFAD447-5385-48DE-A363-40E5A24C0F01}"/>
    <cellStyle name="40% - Accent2 3 2 2 2 2 5" xfId="16451" xr:uid="{36110A03-0B70-484F-A548-36B847D3A0FE}"/>
    <cellStyle name="40% - Accent2 3 2 2 2 3" xfId="38426" xr:uid="{7D6693AE-2D65-45C5-B32F-B8DD990C7DC8}"/>
    <cellStyle name="40% - Accent2 3 2 2 2 4" xfId="29978" xr:uid="{EE8C2199-3F5D-4190-959D-EB55BEE81B4C}"/>
    <cellStyle name="40% - Accent2 3 2 2 2 5" xfId="21531" xr:uid="{3E3086F3-C749-45DA-8B83-A356F444956E}"/>
    <cellStyle name="40% - Accent2 3 2 2 2 6" xfId="12234" xr:uid="{47DC862F-F4DE-4FC3-8EED-0EA06EAF369D}"/>
    <cellStyle name="40% - Accent2 3 2 2 3" xfId="4980" xr:uid="{00000000-0005-0000-0000-0000B7040000}"/>
    <cellStyle name="40% - Accent2 3 2 2 3 2" xfId="40498" xr:uid="{FBD88E0B-CB65-412E-B2B9-B2F96BD892D4}"/>
    <cellStyle name="40% - Accent2 3 2 2 3 3" xfId="32051" xr:uid="{BBA81164-90BE-4553-AAB7-79C11583FF94}"/>
    <cellStyle name="40% - Accent2 3 2 2 3 4" xfId="23603" xr:uid="{7F58D34E-83DE-4052-AA84-D48D15038024}"/>
    <cellStyle name="40% - Accent2 3 2 2 3 5" xfId="14306" xr:uid="{906EDF6B-3B3B-403F-99A8-1BE5E3A4FEE2}"/>
    <cellStyle name="40% - Accent2 3 2 2 4" xfId="9496" xr:uid="{700FA1AF-D943-4FDB-BFB1-F903AD1F731A}"/>
    <cellStyle name="40% - Accent2 3 2 2 4 2" xfId="36281" xr:uid="{D0B8EEF3-37EF-4DAA-BA07-6C7EF0814E5C}"/>
    <cellStyle name="40% - Accent2 3 2 2 4 3" xfId="18809" xr:uid="{5D485CA3-AD09-4CD6-BAE6-899DDA8B7EF3}"/>
    <cellStyle name="40% - Accent2 3 2 2 5" xfId="27833" xr:uid="{E6047CE2-A35C-4341-8335-FA52EFEB5C27}"/>
    <cellStyle name="40% - Accent2 3 2 2 6" xfId="19386" xr:uid="{1C0A5945-38DE-4B41-8904-C3B33BDA7F30}"/>
    <cellStyle name="40% - Accent2 3 2 2 7" xfId="10089" xr:uid="{ED965F2B-6607-49B3-8861-4DB65162EA95}"/>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43056" xr:uid="{AD1E01B5-0555-406E-B22D-73A420CEC925}"/>
    <cellStyle name="40% - Accent2 3 2 3 2 2 3" xfId="34609" xr:uid="{AC534251-6DD1-40CF-9253-FD237B356267}"/>
    <cellStyle name="40% - Accent2 3 2 3 2 2 4" xfId="26161" xr:uid="{DB1E1921-4B6B-4B96-A6BE-C582C83A7C4A}"/>
    <cellStyle name="40% - Accent2 3 2 3 2 2 5" xfId="16864" xr:uid="{413C5FA8-D3AE-40D7-95EB-3EBCCFD75493}"/>
    <cellStyle name="40% - Accent2 3 2 3 2 3" xfId="38839" xr:uid="{0ECE65C8-87AD-4AD3-B425-32564750EFFE}"/>
    <cellStyle name="40% - Accent2 3 2 3 2 4" xfId="30391" xr:uid="{F2A8F923-82AA-47F3-9D9E-BEA4AE07F689}"/>
    <cellStyle name="40% - Accent2 3 2 3 2 5" xfId="21944" xr:uid="{3B592894-B78D-44FD-8985-FBD3D9C8A655}"/>
    <cellStyle name="40% - Accent2 3 2 3 2 6" xfId="12647" xr:uid="{4D1AB801-1980-482B-AEFA-C0E8265725DB}"/>
    <cellStyle name="40% - Accent2 3 2 3 3" xfId="5393" xr:uid="{00000000-0005-0000-0000-0000BB040000}"/>
    <cellStyle name="40% - Accent2 3 2 3 3 2" xfId="40911" xr:uid="{71CF9508-CB37-447A-8521-482602AD8689}"/>
    <cellStyle name="40% - Accent2 3 2 3 3 3" xfId="32464" xr:uid="{9BB0AE2C-9297-4D35-A36B-308DE3C9E8C1}"/>
    <cellStyle name="40% - Accent2 3 2 3 3 4" xfId="24016" xr:uid="{9BCC008F-02D6-4905-B64C-FC6979633CAA}"/>
    <cellStyle name="40% - Accent2 3 2 3 3 5" xfId="14719" xr:uid="{B40992BB-BB7C-4E7F-8C9B-17273DD46892}"/>
    <cellStyle name="40% - Accent2 3 2 3 4" xfId="36694" xr:uid="{3A140B82-84C4-4F7B-AE68-A562CA2858C4}"/>
    <cellStyle name="40% - Accent2 3 2 3 5" xfId="28246" xr:uid="{C1809FE5-5178-4470-A7E9-E895A6D0CCEE}"/>
    <cellStyle name="40% - Accent2 3 2 3 6" xfId="19799" xr:uid="{2A9DE502-5E46-465E-B74B-7752ABA40C63}"/>
    <cellStyle name="40% - Accent2 3 2 3 7" xfId="10502" xr:uid="{C700FF67-F5AD-4B9B-A5E4-99C89192A884}"/>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43469" xr:uid="{89B8C10D-7CDD-46FF-9EB5-3213C2D842F8}"/>
    <cellStyle name="40% - Accent2 3 2 4 2 2 3" xfId="35022" xr:uid="{C59393CA-C2B1-4701-AB5B-14BDA94D6CDF}"/>
    <cellStyle name="40% - Accent2 3 2 4 2 2 4" xfId="26574" xr:uid="{8A85BBAA-B007-47E8-B19E-D344393C57E7}"/>
    <cellStyle name="40% - Accent2 3 2 4 2 2 5" xfId="17277" xr:uid="{482BA90B-DE72-4329-A70B-2B6BD7D4409F}"/>
    <cellStyle name="40% - Accent2 3 2 4 2 3" xfId="39252" xr:uid="{0B176F33-4143-4734-BAD7-CAD1C47C2B0A}"/>
    <cellStyle name="40% - Accent2 3 2 4 2 4" xfId="30804" xr:uid="{CBF00081-CF23-4E07-A476-B5681A67ECFA}"/>
    <cellStyle name="40% - Accent2 3 2 4 2 5" xfId="22357" xr:uid="{FED4FC0A-32E5-428D-92CD-624CFFA0A5E3}"/>
    <cellStyle name="40% - Accent2 3 2 4 2 6" xfId="13060" xr:uid="{AAA975E3-F7CE-4D7B-BA44-AD55DEE09230}"/>
    <cellStyle name="40% - Accent2 3 2 4 3" xfId="5806" xr:uid="{00000000-0005-0000-0000-0000BF040000}"/>
    <cellStyle name="40% - Accent2 3 2 4 3 2" xfId="41324" xr:uid="{37E043DD-F86C-4C31-A52E-C91F7FEC461F}"/>
    <cellStyle name="40% - Accent2 3 2 4 3 3" xfId="32877" xr:uid="{C4CF82A8-CD1A-4CE5-9DBA-B23BF656CF1B}"/>
    <cellStyle name="40% - Accent2 3 2 4 3 4" xfId="24429" xr:uid="{DBC00AA7-19D1-4F9E-86B9-51EDD7A32FD4}"/>
    <cellStyle name="40% - Accent2 3 2 4 3 5" xfId="15132" xr:uid="{A9DBBFBC-7D64-4119-A036-FDA0DF9FB8A0}"/>
    <cellStyle name="40% - Accent2 3 2 4 4" xfId="37107" xr:uid="{F1C1BDBF-5F11-447E-8394-14A4A73E27AE}"/>
    <cellStyle name="40% - Accent2 3 2 4 5" xfId="28659" xr:uid="{9C44565C-2121-493B-BC94-D1414490F64A}"/>
    <cellStyle name="40% - Accent2 3 2 4 6" xfId="20212" xr:uid="{F688D6BF-8898-4E93-9B79-7C2205A91D84}"/>
    <cellStyle name="40% - Accent2 3 2 4 7" xfId="10915" xr:uid="{15DE6CDC-269F-414A-968C-C79236FEB4A4}"/>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43882" xr:uid="{F2F413CF-DB3E-4C6D-9463-0D206704AFB5}"/>
    <cellStyle name="40% - Accent2 3 2 5 2 2 3" xfId="35435" xr:uid="{E78727A0-CB67-4EDF-9BC2-49FB74C3A360}"/>
    <cellStyle name="40% - Accent2 3 2 5 2 2 4" xfId="26987" xr:uid="{1D0A6D03-A422-4563-820D-953F64CBB72F}"/>
    <cellStyle name="40% - Accent2 3 2 5 2 2 5" xfId="17690" xr:uid="{6EA26EC6-3402-41C0-AD52-31F9CAA6BF6F}"/>
    <cellStyle name="40% - Accent2 3 2 5 2 3" xfId="39665" xr:uid="{7DEE5A83-EEDD-460D-BC1A-CE2D02E48C02}"/>
    <cellStyle name="40% - Accent2 3 2 5 2 4" xfId="31217" xr:uid="{3CAEE5C2-800D-45BB-BB5E-1DDBAABD3BAB}"/>
    <cellStyle name="40% - Accent2 3 2 5 2 5" xfId="22770" xr:uid="{05726329-D1B0-4088-8558-B4A3E6A6F5AB}"/>
    <cellStyle name="40% - Accent2 3 2 5 2 6" xfId="13473" xr:uid="{D3B6FD08-43CC-4825-842F-7B3D00C8CA07}"/>
    <cellStyle name="40% - Accent2 3 2 5 3" xfId="6219" xr:uid="{00000000-0005-0000-0000-0000C3040000}"/>
    <cellStyle name="40% - Accent2 3 2 5 3 2" xfId="41737" xr:uid="{C9171B41-BA90-4E05-998A-B34061D82710}"/>
    <cellStyle name="40% - Accent2 3 2 5 3 3" xfId="33290" xr:uid="{4A0BD90E-4162-4DA4-9CE2-10E848F81DE5}"/>
    <cellStyle name="40% - Accent2 3 2 5 3 4" xfId="24842" xr:uid="{E57E7266-E7E1-4F6F-BD1C-9E4FF44D8326}"/>
    <cellStyle name="40% - Accent2 3 2 5 3 5" xfId="15545" xr:uid="{623D3EDA-DBA3-4B44-9E5A-1F642809F40E}"/>
    <cellStyle name="40% - Accent2 3 2 5 4" xfId="37520" xr:uid="{A549674B-758B-40C4-B6F9-7D90F3FF5C84}"/>
    <cellStyle name="40% - Accent2 3 2 5 5" xfId="29072" xr:uid="{DCD98020-4B63-4D46-A3E7-A09DA0DCA050}"/>
    <cellStyle name="40% - Accent2 3 2 5 6" xfId="20625" xr:uid="{CFDD760B-0D17-480A-870A-0A571B170677}"/>
    <cellStyle name="40% - Accent2 3 2 5 7" xfId="11328" xr:uid="{27CE8376-3FBE-428C-A45E-CF2E2EB068C0}"/>
    <cellStyle name="40% - Accent2 3 2 6" xfId="2326" xr:uid="{00000000-0005-0000-0000-0000C4040000}"/>
    <cellStyle name="40% - Accent2 3 2 6 2" xfId="6632" xr:uid="{00000000-0005-0000-0000-0000C5040000}"/>
    <cellStyle name="40% - Accent2 3 2 6 2 2" xfId="42150" xr:uid="{389854CF-3EAF-4432-9CC0-BCC53A9790D0}"/>
    <cellStyle name="40% - Accent2 3 2 6 2 3" xfId="33703" xr:uid="{3C7016CF-999F-4F7B-A074-7A899FB79D67}"/>
    <cellStyle name="40% - Accent2 3 2 6 2 4" xfId="25255" xr:uid="{3C97D953-9708-4B18-BFCC-03B7121CF4E8}"/>
    <cellStyle name="40% - Accent2 3 2 6 2 5" xfId="15958" xr:uid="{70F2B397-3B61-414B-BE7B-BF9F614CDBA1}"/>
    <cellStyle name="40% - Accent2 3 2 6 3" xfId="37933" xr:uid="{02AA14CD-FC04-4E8B-ACE9-1803FBC95D93}"/>
    <cellStyle name="40% - Accent2 3 2 6 4" xfId="29485" xr:uid="{05F73DC5-4DB7-40A2-8FDE-06D617890396}"/>
    <cellStyle name="40% - Accent2 3 2 6 5" xfId="21038" xr:uid="{E86C8C32-1405-47EF-9534-B8B109F896B1}"/>
    <cellStyle name="40% - Accent2 3 2 6 6" xfId="11741" xr:uid="{4894EDA4-4310-4FD3-9EB7-7276BF3D5ABC}"/>
    <cellStyle name="40% - Accent2 3 2 7" xfId="4566" xr:uid="{00000000-0005-0000-0000-0000C6040000}"/>
    <cellStyle name="40% - Accent2 3 2 7 2" xfId="40084" xr:uid="{937A0831-D620-45B7-9570-946946E95A7F}"/>
    <cellStyle name="40% - Accent2 3 2 7 3" xfId="31637" xr:uid="{812E8DC4-93FB-4587-845A-4030B4158BF8}"/>
    <cellStyle name="40% - Accent2 3 2 7 4" xfId="23189" xr:uid="{65698BDA-080A-4EE0-900F-19105C20B559}"/>
    <cellStyle name="40% - Accent2 3 2 7 5" xfId="13892" xr:uid="{445422BB-7A57-4315-B291-C1273497BD1D}"/>
    <cellStyle name="40% - Accent2 3 2 8" xfId="9071" xr:uid="{B5463F05-11FC-4377-B380-DDB549C63AA9}"/>
    <cellStyle name="40% - Accent2 3 2 8 2" xfId="35867" xr:uid="{A8F5EAF7-0DF9-45AF-B4AE-7CB63AAC0DAD}"/>
    <cellStyle name="40% - Accent2 3 2 8 3" xfId="18394" xr:uid="{D58059D0-8135-421F-BA88-840A5DE77CB1}"/>
    <cellStyle name="40% - Accent2 3 2 9" xfId="27419" xr:uid="{D741C75E-97DF-4858-A0B3-C68FE8D451FA}"/>
    <cellStyle name="40% - Accent2 3 3" xfId="631" xr:uid="{00000000-0005-0000-0000-0000C7040000}"/>
    <cellStyle name="40% - Accent2 3 3 2" xfId="2902" xr:uid="{00000000-0005-0000-0000-0000C8040000}"/>
    <cellStyle name="40% - Accent2 3 3 2 2" xfId="7124" xr:uid="{00000000-0005-0000-0000-0000C9040000}"/>
    <cellStyle name="40% - Accent2 3 3 2 2 2" xfId="42642" xr:uid="{15FACCEF-D152-4D11-AE58-F0912A17DA86}"/>
    <cellStyle name="40% - Accent2 3 3 2 2 3" xfId="34195" xr:uid="{0773A168-2057-4665-89D5-805CD434FAC6}"/>
    <cellStyle name="40% - Accent2 3 3 2 2 4" xfId="25747" xr:uid="{E03F567A-0554-4438-8E2E-615603D7E422}"/>
    <cellStyle name="40% - Accent2 3 3 2 2 5" xfId="16450" xr:uid="{F2F0CCF7-B22B-42B1-AC3C-FC79C7349481}"/>
    <cellStyle name="40% - Accent2 3 3 2 3" xfId="38425" xr:uid="{5FE8090F-8E46-4E8A-9AD1-1D73606D1DF8}"/>
    <cellStyle name="40% - Accent2 3 3 2 4" xfId="29977" xr:uid="{25A64AEC-2B39-4ACE-B76C-371766C40F41}"/>
    <cellStyle name="40% - Accent2 3 3 2 5" xfId="21530" xr:uid="{D3C2CF63-6DBB-4016-AB68-EF928CF7DAAB}"/>
    <cellStyle name="40% - Accent2 3 3 2 6" xfId="12233" xr:uid="{21B0DFD9-4FB7-4476-8F87-EA1383896C31}"/>
    <cellStyle name="40% - Accent2 3 3 3" xfId="4979" xr:uid="{00000000-0005-0000-0000-0000CA040000}"/>
    <cellStyle name="40% - Accent2 3 3 3 2" xfId="40497" xr:uid="{2959EF20-D16E-4F3E-AF7A-923E12F2E769}"/>
    <cellStyle name="40% - Accent2 3 3 3 3" xfId="32050" xr:uid="{4285FE3E-1E2B-43DD-9326-E68B0694D7BF}"/>
    <cellStyle name="40% - Accent2 3 3 3 4" xfId="23602" xr:uid="{D0E2DCE3-6998-48BE-A841-6862AE15B628}"/>
    <cellStyle name="40% - Accent2 3 3 3 5" xfId="14305" xr:uid="{8068E898-21D3-4B73-B70C-F40BB6A99AE2}"/>
    <cellStyle name="40% - Accent2 3 3 4" xfId="9289" xr:uid="{B234EB9F-4AFE-41A2-A17D-ABC1D0F80875}"/>
    <cellStyle name="40% - Accent2 3 3 4 2" xfId="36280" xr:uid="{E1A425CD-6D45-415D-8EF3-D9E3D5B4938C}"/>
    <cellStyle name="40% - Accent2 3 3 4 3" xfId="18602" xr:uid="{4B53C8E6-D4C3-4F84-B034-F702064B0385}"/>
    <cellStyle name="40% - Accent2 3 3 5" xfId="27832" xr:uid="{DA6E55D4-C253-4749-9CB6-C8585FD7FD0B}"/>
    <cellStyle name="40% - Accent2 3 3 6" xfId="19385" xr:uid="{24FBD58C-C12C-4F96-8398-2F3E967903D5}"/>
    <cellStyle name="40% - Accent2 3 3 7" xfId="10088" xr:uid="{7AC433BB-3938-4627-8238-78F52715E11C}"/>
    <cellStyle name="40% - Accent2 3 4" xfId="1084" xr:uid="{00000000-0005-0000-0000-0000CB040000}"/>
    <cellStyle name="40% - Accent2 3 4 2" xfId="3315" xr:uid="{00000000-0005-0000-0000-0000CC040000}"/>
    <cellStyle name="40% - Accent2 3 4 2 2" xfId="7537" xr:uid="{00000000-0005-0000-0000-0000CD040000}"/>
    <cellStyle name="40% - Accent2 3 4 2 2 2" xfId="43055" xr:uid="{B2236020-0735-4E71-B12D-7DF33749508A}"/>
    <cellStyle name="40% - Accent2 3 4 2 2 3" xfId="34608" xr:uid="{2C9BF73A-2065-45F9-871D-3F6326F1B49F}"/>
    <cellStyle name="40% - Accent2 3 4 2 2 4" xfId="26160" xr:uid="{37B0E03E-4D4E-43B9-A9AD-6C6C1BB9B1D9}"/>
    <cellStyle name="40% - Accent2 3 4 2 2 5" xfId="16863" xr:uid="{DA626601-6A96-46BD-B7C6-7C88D55BBBDD}"/>
    <cellStyle name="40% - Accent2 3 4 2 3" xfId="38838" xr:uid="{8C971112-15C6-4B31-9FD6-2B658FC945B3}"/>
    <cellStyle name="40% - Accent2 3 4 2 4" xfId="30390" xr:uid="{2B1D455E-FAA1-4425-94D4-2809D458829B}"/>
    <cellStyle name="40% - Accent2 3 4 2 5" xfId="21943" xr:uid="{580EA25C-2327-4ACF-8829-36EAFD980C24}"/>
    <cellStyle name="40% - Accent2 3 4 2 6" xfId="12646" xr:uid="{DF10C73F-6A63-4290-89AE-167112E25BA8}"/>
    <cellStyle name="40% - Accent2 3 4 3" xfId="5392" xr:uid="{00000000-0005-0000-0000-0000CE040000}"/>
    <cellStyle name="40% - Accent2 3 4 3 2" xfId="40910" xr:uid="{647E16C5-A5C5-4A96-992D-6E96A0938F36}"/>
    <cellStyle name="40% - Accent2 3 4 3 3" xfId="32463" xr:uid="{DBC74A5D-51A5-4E37-9A35-79AF4349F275}"/>
    <cellStyle name="40% - Accent2 3 4 3 4" xfId="24015" xr:uid="{385DF6E0-01A0-491E-81D3-1656C82B27E1}"/>
    <cellStyle name="40% - Accent2 3 4 3 5" xfId="14718" xr:uid="{0DEC9631-F9E5-49E0-9DD7-59BA684CBE27}"/>
    <cellStyle name="40% - Accent2 3 4 4" xfId="36693" xr:uid="{B9F2B29F-F70B-4928-A39E-25128896D19C}"/>
    <cellStyle name="40% - Accent2 3 4 5" xfId="28245" xr:uid="{F43DB308-2E2F-4489-B0A0-BC8FD2F8175C}"/>
    <cellStyle name="40% - Accent2 3 4 6" xfId="19798" xr:uid="{B816C632-B678-4703-88B2-E7CD920731A1}"/>
    <cellStyle name="40% - Accent2 3 4 7" xfId="10501" xr:uid="{FE42F26E-E72E-4572-9CBE-494E1D9A00BD}"/>
    <cellStyle name="40% - Accent2 3 5" xfId="1498" xr:uid="{00000000-0005-0000-0000-0000CF040000}"/>
    <cellStyle name="40% - Accent2 3 5 2" xfId="3728" xr:uid="{00000000-0005-0000-0000-0000D0040000}"/>
    <cellStyle name="40% - Accent2 3 5 2 2" xfId="7950" xr:uid="{00000000-0005-0000-0000-0000D1040000}"/>
    <cellStyle name="40% - Accent2 3 5 2 2 2" xfId="43468" xr:uid="{70685155-F24F-4C50-B3A3-B650E4F5BB31}"/>
    <cellStyle name="40% - Accent2 3 5 2 2 3" xfId="35021" xr:uid="{328497C3-0E73-4B44-A8B4-F0AE6D1F3717}"/>
    <cellStyle name="40% - Accent2 3 5 2 2 4" xfId="26573" xr:uid="{AADAFB04-ECD7-4B6F-86BB-0E8BF4A38A69}"/>
    <cellStyle name="40% - Accent2 3 5 2 2 5" xfId="17276" xr:uid="{8C16C645-7A5E-46CC-B851-15BDDF7485C7}"/>
    <cellStyle name="40% - Accent2 3 5 2 3" xfId="39251" xr:uid="{20752C0F-89D0-47AE-87B5-F0DDE402EFA1}"/>
    <cellStyle name="40% - Accent2 3 5 2 4" xfId="30803" xr:uid="{686E6844-EB53-44CB-863E-DEB7112ECF75}"/>
    <cellStyle name="40% - Accent2 3 5 2 5" xfId="22356" xr:uid="{5FDC764C-8DE9-43F5-B65E-1438BDEE3268}"/>
    <cellStyle name="40% - Accent2 3 5 2 6" xfId="13059" xr:uid="{9A9EA9E4-B2DE-4513-BADE-5793B29C1718}"/>
    <cellStyle name="40% - Accent2 3 5 3" xfId="5805" xr:uid="{00000000-0005-0000-0000-0000D2040000}"/>
    <cellStyle name="40% - Accent2 3 5 3 2" xfId="41323" xr:uid="{0DA315AD-82D6-4830-813E-3E4D3235938E}"/>
    <cellStyle name="40% - Accent2 3 5 3 3" xfId="32876" xr:uid="{8AC599B6-2CE1-4032-844B-39193E00B421}"/>
    <cellStyle name="40% - Accent2 3 5 3 4" xfId="24428" xr:uid="{0557B63D-C1FA-4CF5-8DAE-D9976C371940}"/>
    <cellStyle name="40% - Accent2 3 5 3 5" xfId="15131" xr:uid="{5367F2FB-14E9-43D0-A30E-762C6AAE9EF7}"/>
    <cellStyle name="40% - Accent2 3 5 4" xfId="37106" xr:uid="{95F30D96-A751-4789-9CFF-D809BDC88F49}"/>
    <cellStyle name="40% - Accent2 3 5 5" xfId="28658" xr:uid="{D002C3B4-52DC-4EFF-AD33-4286F0718C20}"/>
    <cellStyle name="40% - Accent2 3 5 6" xfId="20211" xr:uid="{A5FA785F-3414-4890-BFA9-EFCD2E3AECC7}"/>
    <cellStyle name="40% - Accent2 3 5 7" xfId="10914" xr:uid="{64A65D96-9A59-4CF6-9A9D-0AA28914470F}"/>
    <cellStyle name="40% - Accent2 3 6" xfId="1912" xr:uid="{00000000-0005-0000-0000-0000D3040000}"/>
    <cellStyle name="40% - Accent2 3 6 2" xfId="4141" xr:uid="{00000000-0005-0000-0000-0000D4040000}"/>
    <cellStyle name="40% - Accent2 3 6 2 2" xfId="8363" xr:uid="{00000000-0005-0000-0000-0000D5040000}"/>
    <cellStyle name="40% - Accent2 3 6 2 2 2" xfId="43881" xr:uid="{6A208582-F5AA-4E9E-97C5-AA96611F5FE8}"/>
    <cellStyle name="40% - Accent2 3 6 2 2 3" xfId="35434" xr:uid="{21D864F5-D06F-4792-AE6C-39C77C9B5B4C}"/>
    <cellStyle name="40% - Accent2 3 6 2 2 4" xfId="26986" xr:uid="{64E15AB2-5856-4C6F-9984-E368D2B35C41}"/>
    <cellStyle name="40% - Accent2 3 6 2 2 5" xfId="17689" xr:uid="{52D370E7-7F42-4DC4-9D91-3738FC98754E}"/>
    <cellStyle name="40% - Accent2 3 6 2 3" xfId="39664" xr:uid="{68C9D2CD-E3ED-486C-8AA3-2D21E422D37E}"/>
    <cellStyle name="40% - Accent2 3 6 2 4" xfId="31216" xr:uid="{EEDFECE6-328A-4A2C-AA9F-A5AA0DFECBF1}"/>
    <cellStyle name="40% - Accent2 3 6 2 5" xfId="22769" xr:uid="{A70545CD-0D92-44F4-AB04-66747D91403A}"/>
    <cellStyle name="40% - Accent2 3 6 2 6" xfId="13472" xr:uid="{1E647176-4785-484F-8688-2F1CDA48ADD8}"/>
    <cellStyle name="40% - Accent2 3 6 3" xfId="6218" xr:uid="{00000000-0005-0000-0000-0000D6040000}"/>
    <cellStyle name="40% - Accent2 3 6 3 2" xfId="41736" xr:uid="{FB7FF1D9-C79B-4390-86D5-B2ACA68349FC}"/>
    <cellStyle name="40% - Accent2 3 6 3 3" xfId="33289" xr:uid="{3BAB0987-1BFD-4CB0-BE6A-B28FB2E09F66}"/>
    <cellStyle name="40% - Accent2 3 6 3 4" xfId="24841" xr:uid="{DBF3C339-EF8B-47F1-A614-F54453664196}"/>
    <cellStyle name="40% - Accent2 3 6 3 5" xfId="15544" xr:uid="{AEE416BB-940F-4AA5-B700-F1854FBBCB75}"/>
    <cellStyle name="40% - Accent2 3 6 4" xfId="37519" xr:uid="{14D01F57-C1E0-4889-ABC3-52645526C55A}"/>
    <cellStyle name="40% - Accent2 3 6 5" xfId="29071" xr:uid="{774C74C5-DB73-4D9E-AC67-C2D27D83C81C}"/>
    <cellStyle name="40% - Accent2 3 6 6" xfId="20624" xr:uid="{268CDF45-B934-4992-87A3-7CA126E01C36}"/>
    <cellStyle name="40% - Accent2 3 6 7" xfId="11327" xr:uid="{A20876B4-26ED-449B-9839-F42498EC69F8}"/>
    <cellStyle name="40% - Accent2 3 7" xfId="2325" xr:uid="{00000000-0005-0000-0000-0000D7040000}"/>
    <cellStyle name="40% - Accent2 3 7 2" xfId="6631" xr:uid="{00000000-0005-0000-0000-0000D8040000}"/>
    <cellStyle name="40% - Accent2 3 7 2 2" xfId="42149" xr:uid="{79E3BCA4-A435-4778-BEAA-8F6939BE7167}"/>
    <cellStyle name="40% - Accent2 3 7 2 3" xfId="33702" xr:uid="{CC0EDC5E-892B-4E2A-AED9-1C5E6E4487F2}"/>
    <cellStyle name="40% - Accent2 3 7 2 4" xfId="25254" xr:uid="{C875F5C9-9994-4E3A-B0D8-C539521B2802}"/>
    <cellStyle name="40% - Accent2 3 7 2 5" xfId="15957" xr:uid="{BF89731F-B60E-4BCD-B8D2-5E9D455A1B60}"/>
    <cellStyle name="40% - Accent2 3 7 3" xfId="37932" xr:uid="{14ACF035-617E-4303-BAE2-45F31212CB1E}"/>
    <cellStyle name="40% - Accent2 3 7 4" xfId="29484" xr:uid="{F3527984-53E5-458C-B8AB-25D352882E9A}"/>
    <cellStyle name="40% - Accent2 3 7 5" xfId="21037" xr:uid="{F6E242B7-650D-4740-8CBE-D0DE30B41E4A}"/>
    <cellStyle name="40% - Accent2 3 7 6" xfId="11740" xr:uid="{44528650-5949-4ACC-9378-32D9CED989A5}"/>
    <cellStyle name="40% - Accent2 3 8" xfId="4565" xr:uid="{00000000-0005-0000-0000-0000D9040000}"/>
    <cellStyle name="40% - Accent2 3 8 2" xfId="40083" xr:uid="{7F6F8C11-2D8C-41C0-9009-DC26DEDA595B}"/>
    <cellStyle name="40% - Accent2 3 8 3" xfId="31636" xr:uid="{AD1F9522-B1A2-4B18-98B5-CCC749EEB90D}"/>
    <cellStyle name="40% - Accent2 3 8 4" xfId="23188" xr:uid="{41116857-ED82-4766-84CB-E157D05145CB}"/>
    <cellStyle name="40% - Accent2 3 8 5" xfId="13891" xr:uid="{59BFF6FD-F179-4611-9D8D-B9D6B7E60C86}"/>
    <cellStyle name="40% - Accent2 3 9" xfId="8864" xr:uid="{311EF031-8CA9-4ACC-8705-6D408E1B50DB}"/>
    <cellStyle name="40% - Accent2 3 9 2" xfId="35866" xr:uid="{0268B50B-6618-41EB-8AA6-BAD0C0271E67}"/>
    <cellStyle name="40% - Accent2 3 9 3" xfId="18187" xr:uid="{7915F394-E9AF-4AF4-AC94-58C88F6B0D0B}"/>
    <cellStyle name="40% - Accent2 4" xfId="64" xr:uid="{00000000-0005-0000-0000-0000DA040000}"/>
    <cellStyle name="40% - Accent2 4 10" xfId="18973" xr:uid="{44A34B27-FB99-47E7-9081-B797A7EF211F}"/>
    <cellStyle name="40% - Accent2 4 11" xfId="9676" xr:uid="{6947D75F-3336-4303-90E0-AC26B0DF8FDE}"/>
    <cellStyle name="40% - Accent2 4 2" xfId="633" xr:uid="{00000000-0005-0000-0000-0000DB040000}"/>
    <cellStyle name="40% - Accent2 4 2 2" xfId="2904" xr:uid="{00000000-0005-0000-0000-0000DC040000}"/>
    <cellStyle name="40% - Accent2 4 2 2 2" xfId="7126" xr:uid="{00000000-0005-0000-0000-0000DD040000}"/>
    <cellStyle name="40% - Accent2 4 2 2 2 2" xfId="42644" xr:uid="{7E02C03D-86A1-4DAD-B3D6-3B72BDCB57C0}"/>
    <cellStyle name="40% - Accent2 4 2 2 2 3" xfId="34197" xr:uid="{AC9015EA-3BB1-4D65-ACA4-45835C22B23D}"/>
    <cellStyle name="40% - Accent2 4 2 2 2 4" xfId="25749" xr:uid="{C92DD29B-BB6C-4203-8B92-7B1A14F54A71}"/>
    <cellStyle name="40% - Accent2 4 2 2 2 5" xfId="16452" xr:uid="{2A908293-42BD-4AFB-A5D3-CC0F4D410B51}"/>
    <cellStyle name="40% - Accent2 4 2 2 3" xfId="38427" xr:uid="{A034AFFF-A2C8-4497-A20A-4343DB38B55A}"/>
    <cellStyle name="40% - Accent2 4 2 2 4" xfId="29979" xr:uid="{45ECD66D-EA5E-43AF-A0D7-8F563B410CE3}"/>
    <cellStyle name="40% - Accent2 4 2 2 5" xfId="21532" xr:uid="{0F23DCBB-B308-48F7-8A52-9A6EF9B036FB}"/>
    <cellStyle name="40% - Accent2 4 2 2 6" xfId="12235" xr:uid="{367550CD-67BB-4279-BDC3-307E373657A2}"/>
    <cellStyle name="40% - Accent2 4 2 3" xfId="4981" xr:uid="{00000000-0005-0000-0000-0000DE040000}"/>
    <cellStyle name="40% - Accent2 4 2 3 2" xfId="40499" xr:uid="{AA887CFF-9028-4EDB-B00E-82271F1729E2}"/>
    <cellStyle name="40% - Accent2 4 2 3 3" xfId="32052" xr:uid="{842F06FD-D898-449D-AEC1-0A798C340B44}"/>
    <cellStyle name="40% - Accent2 4 2 3 4" xfId="23604" xr:uid="{3066727B-B60F-4DEC-9F07-9A59112CCF74}"/>
    <cellStyle name="40% - Accent2 4 2 3 5" xfId="14307" xr:uid="{FD32DAD8-BE1F-4E6B-9F09-074147B1AF5D}"/>
    <cellStyle name="40% - Accent2 4 2 4" xfId="9375" xr:uid="{E0F8B4F7-419E-40A5-89E1-F3F0DF6ADFF8}"/>
    <cellStyle name="40% - Accent2 4 2 4 2" xfId="36282" xr:uid="{283D1534-F473-4BB2-AA0E-98D687A3D4D8}"/>
    <cellStyle name="40% - Accent2 4 2 4 3" xfId="18688" xr:uid="{62ECE2F5-916F-4F96-B382-6969A5523904}"/>
    <cellStyle name="40% - Accent2 4 2 5" xfId="27834" xr:uid="{0718FD3A-9B28-4661-872E-3C64B4B0C019}"/>
    <cellStyle name="40% - Accent2 4 2 6" xfId="19387" xr:uid="{6D1A220F-3CD7-4BB4-B6A4-709D6E81BE18}"/>
    <cellStyle name="40% - Accent2 4 2 7" xfId="10090" xr:uid="{FF67A8F7-2954-4DE7-B34D-55D0F6DED712}"/>
    <cellStyle name="40% - Accent2 4 3" xfId="1086" xr:uid="{00000000-0005-0000-0000-0000DF040000}"/>
    <cellStyle name="40% - Accent2 4 3 2" xfId="3317" xr:uid="{00000000-0005-0000-0000-0000E0040000}"/>
    <cellStyle name="40% - Accent2 4 3 2 2" xfId="7539" xr:uid="{00000000-0005-0000-0000-0000E1040000}"/>
    <cellStyle name="40% - Accent2 4 3 2 2 2" xfId="43057" xr:uid="{46F47A7A-5D5D-44E8-A65B-D9A4FD8D5542}"/>
    <cellStyle name="40% - Accent2 4 3 2 2 3" xfId="34610" xr:uid="{8E58BF5A-9D17-4195-945E-684D441928B0}"/>
    <cellStyle name="40% - Accent2 4 3 2 2 4" xfId="26162" xr:uid="{1D46E8B6-B6CB-45F0-BA46-13CABEA0F977}"/>
    <cellStyle name="40% - Accent2 4 3 2 2 5" xfId="16865" xr:uid="{3D82C093-B25E-4775-B5F7-65B4E80E9B56}"/>
    <cellStyle name="40% - Accent2 4 3 2 3" xfId="38840" xr:uid="{B640D10D-327C-4590-B015-7DCCEA083DC1}"/>
    <cellStyle name="40% - Accent2 4 3 2 4" xfId="30392" xr:uid="{7B6BA73E-02BA-42B4-B593-E7E4BE1A33CD}"/>
    <cellStyle name="40% - Accent2 4 3 2 5" xfId="21945" xr:uid="{64A5FB16-EA03-4ED9-B683-C7E8EA339897}"/>
    <cellStyle name="40% - Accent2 4 3 2 6" xfId="12648" xr:uid="{A05716D4-90C6-49D2-A5EF-DFAFEDE20452}"/>
    <cellStyle name="40% - Accent2 4 3 3" xfId="5394" xr:uid="{00000000-0005-0000-0000-0000E2040000}"/>
    <cellStyle name="40% - Accent2 4 3 3 2" xfId="40912" xr:uid="{18C244E3-772B-4653-87EF-381E046DD15E}"/>
    <cellStyle name="40% - Accent2 4 3 3 3" xfId="32465" xr:uid="{DD81C653-55AA-4C71-ABD8-645B367D6323}"/>
    <cellStyle name="40% - Accent2 4 3 3 4" xfId="24017" xr:uid="{CDE0B759-54EA-4573-99A6-4FC81AA14839}"/>
    <cellStyle name="40% - Accent2 4 3 3 5" xfId="14720" xr:uid="{61473E33-9142-4122-9C12-3FB960A00718}"/>
    <cellStyle name="40% - Accent2 4 3 4" xfId="36695" xr:uid="{3573B9D5-A86D-4F21-804A-873ED607082D}"/>
    <cellStyle name="40% - Accent2 4 3 5" xfId="28247" xr:uid="{8FA85F39-CB2E-45C2-A549-09C28879BFA6}"/>
    <cellStyle name="40% - Accent2 4 3 6" xfId="19800" xr:uid="{8E64CD51-1556-423C-A248-8712F32C43D1}"/>
    <cellStyle name="40% - Accent2 4 3 7" xfId="10503" xr:uid="{E84FC6D3-AF9D-4A62-B118-1CF769ABDBAF}"/>
    <cellStyle name="40% - Accent2 4 4" xfId="1500" xr:uid="{00000000-0005-0000-0000-0000E3040000}"/>
    <cellStyle name="40% - Accent2 4 4 2" xfId="3730" xr:uid="{00000000-0005-0000-0000-0000E4040000}"/>
    <cellStyle name="40% - Accent2 4 4 2 2" xfId="7952" xr:uid="{00000000-0005-0000-0000-0000E5040000}"/>
    <cellStyle name="40% - Accent2 4 4 2 2 2" xfId="43470" xr:uid="{0F05D866-1BCA-4D81-B31C-453E20125D8E}"/>
    <cellStyle name="40% - Accent2 4 4 2 2 3" xfId="35023" xr:uid="{E6DFEDC8-109F-4470-A6D1-9089D4080349}"/>
    <cellStyle name="40% - Accent2 4 4 2 2 4" xfId="26575" xr:uid="{7083825C-46C2-4B7B-B8B1-6FF4E19C33BF}"/>
    <cellStyle name="40% - Accent2 4 4 2 2 5" xfId="17278" xr:uid="{CEE307B3-D6E0-4575-8603-F4BBAC460C23}"/>
    <cellStyle name="40% - Accent2 4 4 2 3" xfId="39253" xr:uid="{3383F9B8-7095-428B-945B-8920DE398864}"/>
    <cellStyle name="40% - Accent2 4 4 2 4" xfId="30805" xr:uid="{3A1441E0-1D79-4462-B7C3-BE4274B4EB4E}"/>
    <cellStyle name="40% - Accent2 4 4 2 5" xfId="22358" xr:uid="{EBF791B9-3AF0-4B6A-AC8C-BFC328661DCA}"/>
    <cellStyle name="40% - Accent2 4 4 2 6" xfId="13061" xr:uid="{72BC1989-E379-489E-9080-C35B56F56C01}"/>
    <cellStyle name="40% - Accent2 4 4 3" xfId="5807" xr:uid="{00000000-0005-0000-0000-0000E6040000}"/>
    <cellStyle name="40% - Accent2 4 4 3 2" xfId="41325" xr:uid="{A2315682-A14A-4A15-A5CF-51D93FC26A58}"/>
    <cellStyle name="40% - Accent2 4 4 3 3" xfId="32878" xr:uid="{37DC2B01-DE8C-442B-9050-E57EE427BF1A}"/>
    <cellStyle name="40% - Accent2 4 4 3 4" xfId="24430" xr:uid="{97F618D3-630B-4B59-A931-20857A92EACF}"/>
    <cellStyle name="40% - Accent2 4 4 3 5" xfId="15133" xr:uid="{AEBE96E3-AEEB-4850-9997-D1289300A8D9}"/>
    <cellStyle name="40% - Accent2 4 4 4" xfId="37108" xr:uid="{CB1EA5EC-6557-4528-A8CA-B1D623DD8141}"/>
    <cellStyle name="40% - Accent2 4 4 5" xfId="28660" xr:uid="{78B5F268-6E32-4905-A059-B01223D41FB9}"/>
    <cellStyle name="40% - Accent2 4 4 6" xfId="20213" xr:uid="{52B5DDD8-7CAD-4BB4-BFD7-BE7516F9041A}"/>
    <cellStyle name="40% - Accent2 4 4 7" xfId="10916" xr:uid="{045A3DE3-C6AF-44F7-AFB6-59C6DF8F9314}"/>
    <cellStyle name="40% - Accent2 4 5" xfId="1914" xr:uid="{00000000-0005-0000-0000-0000E7040000}"/>
    <cellStyle name="40% - Accent2 4 5 2" xfId="4143" xr:uid="{00000000-0005-0000-0000-0000E8040000}"/>
    <cellStyle name="40% - Accent2 4 5 2 2" xfId="8365" xr:uid="{00000000-0005-0000-0000-0000E9040000}"/>
    <cellStyle name="40% - Accent2 4 5 2 2 2" xfId="43883" xr:uid="{C2B2EC80-92EB-4AB8-9708-5D90BF705514}"/>
    <cellStyle name="40% - Accent2 4 5 2 2 3" xfId="35436" xr:uid="{83E3BAA1-DAA6-4B6E-9ED9-1FA9BA429028}"/>
    <cellStyle name="40% - Accent2 4 5 2 2 4" xfId="26988" xr:uid="{33232B6F-5539-47B0-93E2-F77EE7B71A0F}"/>
    <cellStyle name="40% - Accent2 4 5 2 2 5" xfId="17691" xr:uid="{B45B2D0B-B31B-42B5-8BDC-2490B3E5AA66}"/>
    <cellStyle name="40% - Accent2 4 5 2 3" xfId="39666" xr:uid="{A6CF7F72-E950-4A95-BA30-9386BDCC2366}"/>
    <cellStyle name="40% - Accent2 4 5 2 4" xfId="31218" xr:uid="{4038F58D-FCDA-43A4-AF86-6BF324FC75F9}"/>
    <cellStyle name="40% - Accent2 4 5 2 5" xfId="22771" xr:uid="{37F54828-FD9A-4423-A9BE-EEBC63F8781C}"/>
    <cellStyle name="40% - Accent2 4 5 2 6" xfId="13474" xr:uid="{0DB2806E-F3E2-4A3A-A4D9-8BE5DAFB9430}"/>
    <cellStyle name="40% - Accent2 4 5 3" xfId="6220" xr:uid="{00000000-0005-0000-0000-0000EA040000}"/>
    <cellStyle name="40% - Accent2 4 5 3 2" xfId="41738" xr:uid="{BD58A523-CF2C-4B78-A4F1-BD26C2F6AA92}"/>
    <cellStyle name="40% - Accent2 4 5 3 3" xfId="33291" xr:uid="{13619597-0C28-4C0B-B6D6-06B50C184D31}"/>
    <cellStyle name="40% - Accent2 4 5 3 4" xfId="24843" xr:uid="{19CE6113-417B-45D7-A696-D566718ABC64}"/>
    <cellStyle name="40% - Accent2 4 5 3 5" xfId="15546" xr:uid="{EF4FB014-AAC9-42BC-9B13-9AD89DB51BF6}"/>
    <cellStyle name="40% - Accent2 4 5 4" xfId="37521" xr:uid="{8F0DC40E-3510-4A73-8F1E-CB47658FA9F6}"/>
    <cellStyle name="40% - Accent2 4 5 5" xfId="29073" xr:uid="{5B3EC3C6-8757-49BC-A490-1915F9EC47B8}"/>
    <cellStyle name="40% - Accent2 4 5 6" xfId="20626" xr:uid="{51B09320-705F-407E-93DC-9FAD4F32DF97}"/>
    <cellStyle name="40% - Accent2 4 5 7" xfId="11329" xr:uid="{0F4390DA-5C36-424C-B2E3-CAE177EC89C2}"/>
    <cellStyle name="40% - Accent2 4 6" xfId="2327" xr:uid="{00000000-0005-0000-0000-0000EB040000}"/>
    <cellStyle name="40% - Accent2 4 6 2" xfId="6633" xr:uid="{00000000-0005-0000-0000-0000EC040000}"/>
    <cellStyle name="40% - Accent2 4 6 2 2" xfId="42151" xr:uid="{E3964290-2996-4B4F-A036-AAD138F173CC}"/>
    <cellStyle name="40% - Accent2 4 6 2 3" xfId="33704" xr:uid="{6BF9ABAB-21AA-4469-9194-AD9282D5825C}"/>
    <cellStyle name="40% - Accent2 4 6 2 4" xfId="25256" xr:uid="{70CFE407-7D9B-412C-AA65-454B5E0BA5D1}"/>
    <cellStyle name="40% - Accent2 4 6 2 5" xfId="15959" xr:uid="{22B3E6E4-BE6C-48B6-89BC-43627964B781}"/>
    <cellStyle name="40% - Accent2 4 6 3" xfId="37934" xr:uid="{AA50F7B5-08FC-4875-84A0-0830B65637DA}"/>
    <cellStyle name="40% - Accent2 4 6 4" xfId="29486" xr:uid="{CB3404D1-DA50-4B94-9130-CEA11B9B7CA5}"/>
    <cellStyle name="40% - Accent2 4 6 5" xfId="21039" xr:uid="{8D623ABE-3300-4C96-8EF4-E1A90D9C16D0}"/>
    <cellStyle name="40% - Accent2 4 6 6" xfId="11742" xr:uid="{E10E8933-73EC-455D-B07C-F65306B636B3}"/>
    <cellStyle name="40% - Accent2 4 7" xfId="4567" xr:uid="{00000000-0005-0000-0000-0000ED040000}"/>
    <cellStyle name="40% - Accent2 4 7 2" xfId="40085" xr:uid="{AE71F873-1F6A-43D2-8714-486CF505D1B0}"/>
    <cellStyle name="40% - Accent2 4 7 3" xfId="31638" xr:uid="{E054D872-C0A6-4FF2-96F4-D1C4E97BE951}"/>
    <cellStyle name="40% - Accent2 4 7 4" xfId="23190" xr:uid="{A66E2430-BA57-48CA-82FC-EA7EBC80CCCA}"/>
    <cellStyle name="40% - Accent2 4 7 5" xfId="13893" xr:uid="{026CF7E1-06B3-47E1-9FCC-12820FDD65FF}"/>
    <cellStyle name="40% - Accent2 4 8" xfId="8950" xr:uid="{02FCA414-0598-4779-8636-7B176A3552C0}"/>
    <cellStyle name="40% - Accent2 4 8 2" xfId="35868" xr:uid="{1B51C1F6-2948-4887-A120-ED9BB0BE27F0}"/>
    <cellStyle name="40% - Accent2 4 8 3" xfId="18273" xr:uid="{49A1CD30-C1FE-4DF6-A5B9-C0C47C219C7D}"/>
    <cellStyle name="40% - Accent2 4 9" xfId="27420" xr:uid="{E6D07DED-DEF4-4693-89D6-81825D76C0B7}"/>
    <cellStyle name="40% - Accent2 5" xfId="626" xr:uid="{00000000-0005-0000-0000-0000EE040000}"/>
    <cellStyle name="40% - Accent2 5 2" xfId="2897" xr:uid="{00000000-0005-0000-0000-0000EF040000}"/>
    <cellStyle name="40% - Accent2 5 2 2" xfId="7119" xr:uid="{00000000-0005-0000-0000-0000F0040000}"/>
    <cellStyle name="40% - Accent2 5 2 2 2" xfId="42637" xr:uid="{10F509C2-A1C0-448C-913A-A78FB8F10853}"/>
    <cellStyle name="40% - Accent2 5 2 2 3" xfId="34190" xr:uid="{34F3EB7C-3F92-4EBC-BF5E-2DE5B7C4084D}"/>
    <cellStyle name="40% - Accent2 5 2 2 4" xfId="25742" xr:uid="{6F77052E-E115-4486-9996-657869E0E7A7}"/>
    <cellStyle name="40% - Accent2 5 2 2 5" xfId="16445" xr:uid="{DCDA46AC-258B-4C8B-A2B7-723E6D2869E5}"/>
    <cellStyle name="40% - Accent2 5 2 3" xfId="38420" xr:uid="{F3753ABC-149A-4185-B4ED-3F2D99795588}"/>
    <cellStyle name="40% - Accent2 5 2 4" xfId="29972" xr:uid="{E71995FE-6AC1-4BFA-B491-51F4DFFCD4CC}"/>
    <cellStyle name="40% - Accent2 5 2 5" xfId="21525" xr:uid="{CF002B1A-75F8-4376-BED2-1A7FB305B383}"/>
    <cellStyle name="40% - Accent2 5 2 6" xfId="12228" xr:uid="{BAB13E30-2A29-4D4A-B058-2E44C37EA2CB}"/>
    <cellStyle name="40% - Accent2 5 3" xfId="4974" xr:uid="{00000000-0005-0000-0000-0000F1040000}"/>
    <cellStyle name="40% - Accent2 5 3 2" xfId="40492" xr:uid="{3AFC6DA1-A317-408F-A542-1E68CD4C2275}"/>
    <cellStyle name="40% - Accent2 5 3 3" xfId="32045" xr:uid="{5CD99AA2-7C6D-4D08-9867-EC3E2923D9DD}"/>
    <cellStyle name="40% - Accent2 5 3 4" xfId="23597" xr:uid="{FF8ECD8D-D623-47F1-9E19-BCD33B9BB4EB}"/>
    <cellStyle name="40% - Accent2 5 3 5" xfId="14300" xr:uid="{AD33A0B7-17C5-4BE9-A3B3-D11603AF1282}"/>
    <cellStyle name="40% - Accent2 5 4" xfId="9183" xr:uid="{071EDB8E-9FD1-4063-BCEF-70B734E5ECF1}"/>
    <cellStyle name="40% - Accent2 5 4 2" xfId="36275" xr:uid="{45BD055B-9C7C-463D-AA2F-EBCA4F49AD33}"/>
    <cellStyle name="40% - Accent2 5 4 3" xfId="18499" xr:uid="{5B7D4202-D335-4E27-B439-66A6C17D76BE}"/>
    <cellStyle name="40% - Accent2 5 5" xfId="27827" xr:uid="{D579F7D6-266A-4A98-A5E4-1466CFA06319}"/>
    <cellStyle name="40% - Accent2 5 6" xfId="19380" xr:uid="{E8501674-1638-4BD0-BF9F-F49887332E8C}"/>
    <cellStyle name="40% - Accent2 5 7" xfId="10083" xr:uid="{C00C417E-DA7F-4ED8-9A57-F33FECF99507}"/>
    <cellStyle name="40% - Accent2 6" xfId="1079" xr:uid="{00000000-0005-0000-0000-0000F2040000}"/>
    <cellStyle name="40% - Accent2 6 2" xfId="3310" xr:uid="{00000000-0005-0000-0000-0000F3040000}"/>
    <cellStyle name="40% - Accent2 6 2 2" xfId="7532" xr:uid="{00000000-0005-0000-0000-0000F4040000}"/>
    <cellStyle name="40% - Accent2 6 2 2 2" xfId="43050" xr:uid="{461A8121-979C-4D1F-A42F-6E8F74B3A261}"/>
    <cellStyle name="40% - Accent2 6 2 2 3" xfId="34603" xr:uid="{154DCED4-4555-4E8C-BB49-1B6429D5D63F}"/>
    <cellStyle name="40% - Accent2 6 2 2 4" xfId="26155" xr:uid="{8C04A06D-A5D0-40EB-BE3A-499E3229A825}"/>
    <cellStyle name="40% - Accent2 6 2 2 5" xfId="16858" xr:uid="{E6CB6032-8B0B-447C-846C-B14A1DE94413}"/>
    <cellStyle name="40% - Accent2 6 2 3" xfId="38833" xr:uid="{2B818159-CA30-462B-B4EB-3C192CCD2113}"/>
    <cellStyle name="40% - Accent2 6 2 4" xfId="30385" xr:uid="{F1D168A6-4A43-410C-988A-73DB695479D9}"/>
    <cellStyle name="40% - Accent2 6 2 5" xfId="21938" xr:uid="{157A1A82-4D95-4AA1-8E94-A416792333E0}"/>
    <cellStyle name="40% - Accent2 6 2 6" xfId="12641" xr:uid="{E9AD7AAD-4DBA-4FDF-B886-02E44994E118}"/>
    <cellStyle name="40% - Accent2 6 3" xfId="5387" xr:uid="{00000000-0005-0000-0000-0000F5040000}"/>
    <cellStyle name="40% - Accent2 6 3 2" xfId="40905" xr:uid="{B23FDDB1-2D78-4798-A4E1-547AF76EC070}"/>
    <cellStyle name="40% - Accent2 6 3 3" xfId="32458" xr:uid="{3D5E012C-EFD5-46A7-96D3-506A9B9C857F}"/>
    <cellStyle name="40% - Accent2 6 3 4" xfId="24010" xr:uid="{EA9BC2A5-F3EE-4322-9AD6-EFC95CBD74C9}"/>
    <cellStyle name="40% - Accent2 6 3 5" xfId="14713" xr:uid="{00700EEF-4E27-49D2-8BDF-122DD2D90337}"/>
    <cellStyle name="40% - Accent2 6 4" xfId="36688" xr:uid="{D027F50F-755A-4359-96E3-F99B9E5C410A}"/>
    <cellStyle name="40% - Accent2 6 5" xfId="28240" xr:uid="{22878102-5300-47D0-8B57-ED7C6372E2BC}"/>
    <cellStyle name="40% - Accent2 6 6" xfId="19793" xr:uid="{EAD53C95-3F6D-456C-B9F6-AFF062D9E835}"/>
    <cellStyle name="40% - Accent2 6 7" xfId="10496" xr:uid="{B4656CA2-E4CD-4574-A05A-73947D09B590}"/>
    <cellStyle name="40% - Accent2 7" xfId="1493" xr:uid="{00000000-0005-0000-0000-0000F6040000}"/>
    <cellStyle name="40% - Accent2 7 2" xfId="3723" xr:uid="{00000000-0005-0000-0000-0000F7040000}"/>
    <cellStyle name="40% - Accent2 7 2 2" xfId="7945" xr:uid="{00000000-0005-0000-0000-0000F8040000}"/>
    <cellStyle name="40% - Accent2 7 2 2 2" xfId="43463" xr:uid="{D0133C32-5AAC-4DC4-B31C-FD4425304EEB}"/>
    <cellStyle name="40% - Accent2 7 2 2 3" xfId="35016" xr:uid="{94FC6393-6F27-4A41-BCAB-90440CF75F81}"/>
    <cellStyle name="40% - Accent2 7 2 2 4" xfId="26568" xr:uid="{95FDFB84-878B-478F-907F-126A8130949F}"/>
    <cellStyle name="40% - Accent2 7 2 2 5" xfId="17271" xr:uid="{F6D61FC6-383F-4FCC-8833-DEC0F69C4DF6}"/>
    <cellStyle name="40% - Accent2 7 2 3" xfId="39246" xr:uid="{2E317EDE-2646-4B15-9F5D-4049BA169F57}"/>
    <cellStyle name="40% - Accent2 7 2 4" xfId="30798" xr:uid="{DC80442B-C187-4CC3-B8AE-8FAD614CF8EF}"/>
    <cellStyle name="40% - Accent2 7 2 5" xfId="22351" xr:uid="{DBF98CD9-0D39-4C34-BE7D-2F7396DFE744}"/>
    <cellStyle name="40% - Accent2 7 2 6" xfId="13054" xr:uid="{FDAA2ABF-FE98-46C3-995A-28F596F99DDD}"/>
    <cellStyle name="40% - Accent2 7 3" xfId="5800" xr:uid="{00000000-0005-0000-0000-0000F9040000}"/>
    <cellStyle name="40% - Accent2 7 3 2" xfId="41318" xr:uid="{3BE59402-2FCD-4F2D-A4F3-EE4D56C3A3B6}"/>
    <cellStyle name="40% - Accent2 7 3 3" xfId="32871" xr:uid="{910EE1F6-5962-40B2-B2D8-7A8BDC932EDA}"/>
    <cellStyle name="40% - Accent2 7 3 4" xfId="24423" xr:uid="{2DA84847-3332-42CA-8947-125FE3098E80}"/>
    <cellStyle name="40% - Accent2 7 3 5" xfId="15126" xr:uid="{C7B4EE41-03D4-4FE3-9118-939EC3E00523}"/>
    <cellStyle name="40% - Accent2 7 4" xfId="37101" xr:uid="{2649F626-17B4-4711-98C6-521D09532D77}"/>
    <cellStyle name="40% - Accent2 7 5" xfId="28653" xr:uid="{9DEA2E91-2A5D-4387-95C7-C245F0972A38}"/>
    <cellStyle name="40% - Accent2 7 6" xfId="20206" xr:uid="{CC48AB7E-E0CF-4671-A686-4344474E33BA}"/>
    <cellStyle name="40% - Accent2 7 7" xfId="10909" xr:uid="{076E3CD7-BD4A-4C35-8331-D0135559B143}"/>
    <cellStyle name="40% - Accent2 8" xfId="1907" xr:uid="{00000000-0005-0000-0000-0000FA040000}"/>
    <cellStyle name="40% - Accent2 8 2" xfId="4136" xr:uid="{00000000-0005-0000-0000-0000FB040000}"/>
    <cellStyle name="40% - Accent2 8 2 2" xfId="8358" xr:uid="{00000000-0005-0000-0000-0000FC040000}"/>
    <cellStyle name="40% - Accent2 8 2 2 2" xfId="43876" xr:uid="{4B0BBB3C-2C8D-43F4-AAB9-9E1B7C00DFE0}"/>
    <cellStyle name="40% - Accent2 8 2 2 3" xfId="35429" xr:uid="{CE40AD31-B7EE-49AD-B3A7-8FFB810C8D8E}"/>
    <cellStyle name="40% - Accent2 8 2 2 4" xfId="26981" xr:uid="{23C6B028-1CDE-471A-BD6D-B98D78F32A2B}"/>
    <cellStyle name="40% - Accent2 8 2 2 5" xfId="17684" xr:uid="{6D3141EC-C6AD-4D12-BA11-C06B8B573439}"/>
    <cellStyle name="40% - Accent2 8 2 3" xfId="39659" xr:uid="{9FAB7A9B-039F-46C6-BD9D-0E55659CAADE}"/>
    <cellStyle name="40% - Accent2 8 2 4" xfId="31211" xr:uid="{2931B577-F471-43B7-8144-FCD6BEC08488}"/>
    <cellStyle name="40% - Accent2 8 2 5" xfId="22764" xr:uid="{6E7148A9-DE29-4FB7-953A-7CB9C522FFC7}"/>
    <cellStyle name="40% - Accent2 8 2 6" xfId="13467" xr:uid="{47B1C778-FC7D-4B6A-8267-8A0AA6497DB6}"/>
    <cellStyle name="40% - Accent2 8 3" xfId="6213" xr:uid="{00000000-0005-0000-0000-0000FD040000}"/>
    <cellStyle name="40% - Accent2 8 3 2" xfId="41731" xr:uid="{CCA9256E-2545-45EE-9246-E1805F9F3A39}"/>
    <cellStyle name="40% - Accent2 8 3 3" xfId="33284" xr:uid="{5C3ECE5F-65BE-4DCD-894F-37A5ED0FD9EA}"/>
    <cellStyle name="40% - Accent2 8 3 4" xfId="24836" xr:uid="{93A2DF6A-FEFF-498F-B2D1-B28D85F4C2D1}"/>
    <cellStyle name="40% - Accent2 8 3 5" xfId="15539" xr:uid="{F3835FD1-D34F-4B5F-A973-CB88E6605AA6}"/>
    <cellStyle name="40% - Accent2 8 4" xfId="37514" xr:uid="{09D5E351-3FBA-45A6-B398-FCEE16B25829}"/>
    <cellStyle name="40% - Accent2 8 5" xfId="29066" xr:uid="{A25886AD-4F3E-4D9D-AE2E-1C84240E5EF5}"/>
    <cellStyle name="40% - Accent2 8 6" xfId="20619" xr:uid="{8B3F9F6E-815D-4995-A1BA-60522599DE85}"/>
    <cellStyle name="40% - Accent2 8 7" xfId="11322" xr:uid="{1813C0EC-5CAD-4B32-B62B-819921207F48}"/>
    <cellStyle name="40% - Accent2 9" xfId="2320" xr:uid="{00000000-0005-0000-0000-0000FE040000}"/>
    <cellStyle name="40% - Accent2 9 2" xfId="6626" xr:uid="{00000000-0005-0000-0000-0000FF040000}"/>
    <cellStyle name="40% - Accent2 9 2 2" xfId="42144" xr:uid="{1E6D7FB6-4BFC-4220-A1C6-27BD4A66BD04}"/>
    <cellStyle name="40% - Accent2 9 2 3" xfId="33697" xr:uid="{B3580B20-2F61-49A4-A7CD-C54DBE86675E}"/>
    <cellStyle name="40% - Accent2 9 2 4" xfId="25249" xr:uid="{500E1AA4-D360-4188-9243-D096A61106D5}"/>
    <cellStyle name="40% - Accent2 9 2 5" xfId="15952" xr:uid="{E2E0A05D-60B4-4022-8A66-9C791E538753}"/>
    <cellStyle name="40% - Accent2 9 3" xfId="37927" xr:uid="{DC6B8935-B78A-4A68-8D9D-37E638A9AEBC}"/>
    <cellStyle name="40% - Accent2 9 4" xfId="29479" xr:uid="{4369C79A-003B-427F-8630-435DC31D3F94}"/>
    <cellStyle name="40% - Accent2 9 5" xfId="21032" xr:uid="{6A86EA38-FAF1-45A0-90B9-687F96D86D52}"/>
    <cellStyle name="40% - Accent2 9 6" xfId="11735" xr:uid="{5E9E1366-AB76-4EB9-8D90-4418B5DC1E05}"/>
    <cellStyle name="40% - Accent3" xfId="65" builtinId="39" customBuiltin="1"/>
    <cellStyle name="40% - Accent3 10" xfId="4568" xr:uid="{00000000-0005-0000-0000-000001050000}"/>
    <cellStyle name="40% - Accent3 10 2" xfId="40086" xr:uid="{7D9D5E3C-424E-4FD0-8BED-495620F648CE}"/>
    <cellStyle name="40% - Accent3 10 3" xfId="31639" xr:uid="{F5149882-BA19-436D-9627-8E9B47B39373}"/>
    <cellStyle name="40% - Accent3 10 4" xfId="23191" xr:uid="{805C6E06-B0A5-44ED-BF3E-06FAA2AB4C7E}"/>
    <cellStyle name="40% - Accent3 10 5" xfId="13894" xr:uid="{CFDD0141-A472-4F8F-8711-A573FEE2969C}"/>
    <cellStyle name="40% - Accent3 11" xfId="8763" xr:uid="{CEFBFA85-5B68-4AEB-BF0D-8E604938B05F}"/>
    <cellStyle name="40% - Accent3 11 2" xfId="35869" xr:uid="{ABD4BD49-2A06-40DC-BA64-D6B2D0699827}"/>
    <cellStyle name="40% - Accent3 11 3" xfId="18086" xr:uid="{92A5F35F-879B-4BA9-9921-7C62E90CD92B}"/>
    <cellStyle name="40% - Accent3 12" xfId="27421" xr:uid="{0E7BA22F-D733-4DC4-BF63-5D3A53C4CF36}"/>
    <cellStyle name="40% - Accent3 13" xfId="18974" xr:uid="{AF4B313B-CE11-4F57-917B-A9003B1F680D}"/>
    <cellStyle name="40% - Accent3 14" xfId="9677" xr:uid="{318D25C5-75D5-403C-95D8-BF0199B99A16}"/>
    <cellStyle name="40% - Accent3 2" xfId="66" xr:uid="{00000000-0005-0000-0000-000002050000}"/>
    <cellStyle name="40% - Accent3 2 10" xfId="8800" xr:uid="{00FF2AAD-7D96-45B5-8981-0BB923A3505B}"/>
    <cellStyle name="40% - Accent3 2 10 2" xfId="35870" xr:uid="{A4ABD108-0E80-4720-968B-CE9FB0F93CEE}"/>
    <cellStyle name="40% - Accent3 2 10 3" xfId="18123" xr:uid="{EA5938C8-AAF4-442C-97CD-DD56AAA879E8}"/>
    <cellStyle name="40% - Accent3 2 11" xfId="27422" xr:uid="{B3C86EDA-80EE-4FF6-A4D5-FAE40D9B9C83}"/>
    <cellStyle name="40% - Accent3 2 12" xfId="18975" xr:uid="{E5BADB92-FAA3-4C3F-A5E5-0B22A8960074}"/>
    <cellStyle name="40% - Accent3 2 13" xfId="9678" xr:uid="{6E71CA26-4415-47C3-B8A2-C05673AEFD30}"/>
    <cellStyle name="40% - Accent3 2 2" xfId="67" xr:uid="{00000000-0005-0000-0000-000003050000}"/>
    <cellStyle name="40% - Accent3 2 2 10" xfId="27423" xr:uid="{C69BE5A3-2194-4FF8-B9AA-B2ACFE047A1B}"/>
    <cellStyle name="40% - Accent3 2 2 11" xfId="18976" xr:uid="{1FB0DCD6-C5F3-4741-89A8-FB5DFAEC71BD}"/>
    <cellStyle name="40% - Accent3 2 2 12" xfId="9679" xr:uid="{3B68C0CB-F0E1-478A-BE69-D4CAA8D967DB}"/>
    <cellStyle name="40% - Accent3 2 2 2" xfId="68" xr:uid="{00000000-0005-0000-0000-000004050000}"/>
    <cellStyle name="40% - Accent3 2 2 2 10" xfId="18977" xr:uid="{EA934827-054B-4B02-859A-E4129A3CB515}"/>
    <cellStyle name="40% - Accent3 2 2 2 11" xfId="9680" xr:uid="{D080CC40-6FE9-4B68-BFB4-CA5E972E535B}"/>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42648" xr:uid="{600EA56F-BDB2-474B-A7EE-31D8DCD0BDAD}"/>
    <cellStyle name="40% - Accent3 2 2 2 2 2 2 3" xfId="34201" xr:uid="{F67BAEB0-51CC-4E65-9DC1-64CEA5AA4536}"/>
    <cellStyle name="40% - Accent3 2 2 2 2 2 2 4" xfId="25753" xr:uid="{FD0FC284-FB07-4945-9F6C-5F5E15DDF14C}"/>
    <cellStyle name="40% - Accent3 2 2 2 2 2 2 5" xfId="16456" xr:uid="{93913AC6-1782-4216-9ADD-7E331B6F85D3}"/>
    <cellStyle name="40% - Accent3 2 2 2 2 2 3" xfId="38431" xr:uid="{388FF922-83A7-4259-AACB-F84FA533AD6C}"/>
    <cellStyle name="40% - Accent3 2 2 2 2 2 4" xfId="29983" xr:uid="{5BDFE17B-8C5E-4074-877F-33E4A2B9587B}"/>
    <cellStyle name="40% - Accent3 2 2 2 2 2 5" xfId="21536" xr:uid="{F1ED3A6E-36F9-4DA6-8034-5EDCEF946A40}"/>
    <cellStyle name="40% - Accent3 2 2 2 2 2 6" xfId="12239" xr:uid="{39924826-CFAE-4983-AE31-C2F1FBB7C596}"/>
    <cellStyle name="40% - Accent3 2 2 2 2 3" xfId="4985" xr:uid="{00000000-0005-0000-0000-000008050000}"/>
    <cellStyle name="40% - Accent3 2 2 2 2 3 2" xfId="40503" xr:uid="{14278D88-1D2C-405A-8B92-74675B340884}"/>
    <cellStyle name="40% - Accent3 2 2 2 2 3 3" xfId="32056" xr:uid="{BD9B5A27-3516-429A-B798-1A9401CBE3B1}"/>
    <cellStyle name="40% - Accent3 2 2 2 2 3 4" xfId="23608" xr:uid="{C2CC18E4-D51D-453F-B1C8-94A77B9949E4}"/>
    <cellStyle name="40% - Accent3 2 2 2 2 3 5" xfId="14311" xr:uid="{089E6A5B-AA2C-4ED1-8C5F-82227B375492}"/>
    <cellStyle name="40% - Accent3 2 2 2 2 4" xfId="9535" xr:uid="{3AC66435-D4C7-42EF-A799-3DC81A57BDF4}"/>
    <cellStyle name="40% - Accent3 2 2 2 2 4 2" xfId="36286" xr:uid="{E698F675-9263-4B47-AF82-9FDFDE539D65}"/>
    <cellStyle name="40% - Accent3 2 2 2 2 4 3" xfId="18848" xr:uid="{336BE473-1818-4DF3-B8D1-01AB548BFEC1}"/>
    <cellStyle name="40% - Accent3 2 2 2 2 5" xfId="27838" xr:uid="{9ED528C0-3AD9-4DFA-9642-0448FEE74F4E}"/>
    <cellStyle name="40% - Accent3 2 2 2 2 6" xfId="19391" xr:uid="{4A5CF5D5-06D2-4912-A217-4567BBC18201}"/>
    <cellStyle name="40% - Accent3 2 2 2 2 7" xfId="10094" xr:uid="{3FCF22FE-3F70-4D9A-9D7C-86DE4D9813DA}"/>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43061" xr:uid="{96125ABD-E7FE-4113-AE92-E8BE406BC748}"/>
    <cellStyle name="40% - Accent3 2 2 2 3 2 2 3" xfId="34614" xr:uid="{77CB1792-543F-4B44-8A0D-6BD58A96FB94}"/>
    <cellStyle name="40% - Accent3 2 2 2 3 2 2 4" xfId="26166" xr:uid="{2192ADE2-406A-4EA6-8A16-D1218F9B6C5F}"/>
    <cellStyle name="40% - Accent3 2 2 2 3 2 2 5" xfId="16869" xr:uid="{A408402C-4CE9-4FE8-870A-A12E5486F56A}"/>
    <cellStyle name="40% - Accent3 2 2 2 3 2 3" xfId="38844" xr:uid="{20BD7A9C-B2D2-4BC6-8AB1-744ADB7CDC09}"/>
    <cellStyle name="40% - Accent3 2 2 2 3 2 4" xfId="30396" xr:uid="{9CE19A44-86D9-4D46-BFDE-E960C9AB6C17}"/>
    <cellStyle name="40% - Accent3 2 2 2 3 2 5" xfId="21949" xr:uid="{B0145560-0614-4D51-BD5E-C9E36EB781E7}"/>
    <cellStyle name="40% - Accent3 2 2 2 3 2 6" xfId="12652" xr:uid="{5834DFBF-9EA1-4C27-A907-53A5D2B72DE0}"/>
    <cellStyle name="40% - Accent3 2 2 2 3 3" xfId="5398" xr:uid="{00000000-0005-0000-0000-00000C050000}"/>
    <cellStyle name="40% - Accent3 2 2 2 3 3 2" xfId="40916" xr:uid="{4BAF52FC-9CD8-428A-9F86-F8F0E0B8C91C}"/>
    <cellStyle name="40% - Accent3 2 2 2 3 3 3" xfId="32469" xr:uid="{5DB468D1-9A1E-486F-A571-46267FD005C9}"/>
    <cellStyle name="40% - Accent3 2 2 2 3 3 4" xfId="24021" xr:uid="{5E1BD095-3CAA-43F1-A4AA-9B72E9523426}"/>
    <cellStyle name="40% - Accent3 2 2 2 3 3 5" xfId="14724" xr:uid="{FD8DF3E1-9F58-4C87-81D2-81751E6B959C}"/>
    <cellStyle name="40% - Accent3 2 2 2 3 4" xfId="36699" xr:uid="{773EECCD-F921-48EA-9CE4-3AB451C33D74}"/>
    <cellStyle name="40% - Accent3 2 2 2 3 5" xfId="28251" xr:uid="{597C2B10-BE9A-40CE-8560-626EDEA90CB0}"/>
    <cellStyle name="40% - Accent3 2 2 2 3 6" xfId="19804" xr:uid="{9420EEFA-962B-4788-91F9-05A82A8FCDC8}"/>
    <cellStyle name="40% - Accent3 2 2 2 3 7" xfId="10507" xr:uid="{F0931A64-33A0-4058-924B-FD0DC25EF3A2}"/>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43474" xr:uid="{36CE3916-93C3-4C11-B85E-0BC6F9F51CE2}"/>
    <cellStyle name="40% - Accent3 2 2 2 4 2 2 3" xfId="35027" xr:uid="{49A42AC1-C97E-493F-B2D3-522A3FD28D73}"/>
    <cellStyle name="40% - Accent3 2 2 2 4 2 2 4" xfId="26579" xr:uid="{339422C6-C45B-4246-B25F-700F25C545FC}"/>
    <cellStyle name="40% - Accent3 2 2 2 4 2 2 5" xfId="17282" xr:uid="{7CEA1597-6685-466B-A771-56BBAE53495F}"/>
    <cellStyle name="40% - Accent3 2 2 2 4 2 3" xfId="39257" xr:uid="{7EB9F5F8-2BEA-4D42-953D-6AD2E4DEFF19}"/>
    <cellStyle name="40% - Accent3 2 2 2 4 2 4" xfId="30809" xr:uid="{6F225BC6-1046-4A35-954F-BDCA949F1E18}"/>
    <cellStyle name="40% - Accent3 2 2 2 4 2 5" xfId="22362" xr:uid="{71BD14AC-2502-4695-885B-B921FD12E717}"/>
    <cellStyle name="40% - Accent3 2 2 2 4 2 6" xfId="13065" xr:uid="{DF0E3276-9B5E-4903-ACD0-7ADEB094000F}"/>
    <cellStyle name="40% - Accent3 2 2 2 4 3" xfId="5811" xr:uid="{00000000-0005-0000-0000-000010050000}"/>
    <cellStyle name="40% - Accent3 2 2 2 4 3 2" xfId="41329" xr:uid="{44DC2EB9-1FD1-4EC1-A6AB-CC4A8813A952}"/>
    <cellStyle name="40% - Accent3 2 2 2 4 3 3" xfId="32882" xr:uid="{701E82BB-B022-4C8A-9941-E52232DCD5D1}"/>
    <cellStyle name="40% - Accent3 2 2 2 4 3 4" xfId="24434" xr:uid="{36BFD117-85B6-44A0-8E9E-CD1AA8DAF69C}"/>
    <cellStyle name="40% - Accent3 2 2 2 4 3 5" xfId="15137" xr:uid="{33EE5E92-DED2-4484-896B-B252E6B71127}"/>
    <cellStyle name="40% - Accent3 2 2 2 4 4" xfId="37112" xr:uid="{6065ED73-EBCB-4864-9F5D-497527DF1DCB}"/>
    <cellStyle name="40% - Accent3 2 2 2 4 5" xfId="28664" xr:uid="{FEDB8AFB-D1C1-4273-B445-AD4F497CA99C}"/>
    <cellStyle name="40% - Accent3 2 2 2 4 6" xfId="20217" xr:uid="{24F68C8B-2F27-4A9F-9716-3FCBB4CD2500}"/>
    <cellStyle name="40% - Accent3 2 2 2 4 7" xfId="10920" xr:uid="{FB2ECC4F-CB80-408E-A86B-D547B05483F8}"/>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43887" xr:uid="{A701AFF4-A2E3-480E-8795-ED6067852EF8}"/>
    <cellStyle name="40% - Accent3 2 2 2 5 2 2 3" xfId="35440" xr:uid="{D742486D-353E-47D6-BDB9-B63F42F71737}"/>
    <cellStyle name="40% - Accent3 2 2 2 5 2 2 4" xfId="26992" xr:uid="{A603859E-F7BC-432D-B5B3-7CAF4EDBCD09}"/>
    <cellStyle name="40% - Accent3 2 2 2 5 2 2 5" xfId="17695" xr:uid="{F7A95B1B-7702-429E-9369-88DA24A37435}"/>
    <cellStyle name="40% - Accent3 2 2 2 5 2 3" xfId="39670" xr:uid="{E43D4196-7191-4A79-90C9-BAB42F68BA4E}"/>
    <cellStyle name="40% - Accent3 2 2 2 5 2 4" xfId="31222" xr:uid="{A3A08E85-A469-4BF4-8EEB-1215BF4541F2}"/>
    <cellStyle name="40% - Accent3 2 2 2 5 2 5" xfId="22775" xr:uid="{E418EBDE-4597-416C-B2DA-FC078B3D5D8A}"/>
    <cellStyle name="40% - Accent3 2 2 2 5 2 6" xfId="13478" xr:uid="{9F072669-4C24-4604-B187-2551AC76B909}"/>
    <cellStyle name="40% - Accent3 2 2 2 5 3" xfId="6224" xr:uid="{00000000-0005-0000-0000-000014050000}"/>
    <cellStyle name="40% - Accent3 2 2 2 5 3 2" xfId="41742" xr:uid="{2ABACD29-7813-4724-AC50-A99C30F4FF20}"/>
    <cellStyle name="40% - Accent3 2 2 2 5 3 3" xfId="33295" xr:uid="{E15075AC-7B0C-43B1-B5E5-0E6F837A1BB3}"/>
    <cellStyle name="40% - Accent3 2 2 2 5 3 4" xfId="24847" xr:uid="{94615464-FD9D-437B-BCC3-D787CD3C5FF6}"/>
    <cellStyle name="40% - Accent3 2 2 2 5 3 5" xfId="15550" xr:uid="{8D02F56A-1822-4FD3-A787-386758B18E87}"/>
    <cellStyle name="40% - Accent3 2 2 2 5 4" xfId="37525" xr:uid="{928CB9B6-779F-404D-B5FD-5D0C4158C78B}"/>
    <cellStyle name="40% - Accent3 2 2 2 5 5" xfId="29077" xr:uid="{9CF08ED8-37B5-47C7-A9F9-F7FE19C9CFAB}"/>
    <cellStyle name="40% - Accent3 2 2 2 5 6" xfId="20630" xr:uid="{23FF712A-FC46-461C-AB90-FB1BABADC969}"/>
    <cellStyle name="40% - Accent3 2 2 2 5 7" xfId="11333" xr:uid="{6341073E-2565-4BA7-B549-90EB74CC79A1}"/>
    <cellStyle name="40% - Accent3 2 2 2 6" xfId="2331" xr:uid="{00000000-0005-0000-0000-000015050000}"/>
    <cellStyle name="40% - Accent3 2 2 2 6 2" xfId="6637" xr:uid="{00000000-0005-0000-0000-000016050000}"/>
    <cellStyle name="40% - Accent3 2 2 2 6 2 2" xfId="42155" xr:uid="{5035BC93-AEDB-4CF3-AC43-D889B52B22AC}"/>
    <cellStyle name="40% - Accent3 2 2 2 6 2 3" xfId="33708" xr:uid="{D651F32A-882E-4949-9076-10FD48634338}"/>
    <cellStyle name="40% - Accent3 2 2 2 6 2 4" xfId="25260" xr:uid="{6E2FD47C-8E93-4EBE-A93F-1F186286580B}"/>
    <cellStyle name="40% - Accent3 2 2 2 6 2 5" xfId="15963" xr:uid="{B031CD3C-85D7-4F96-BCC9-CE1FC8C23200}"/>
    <cellStyle name="40% - Accent3 2 2 2 6 3" xfId="37938" xr:uid="{EF22F096-2ECB-41B4-A897-7321DA442211}"/>
    <cellStyle name="40% - Accent3 2 2 2 6 4" xfId="29490" xr:uid="{8EF3457B-7F7E-4AEC-B8E4-73F0A61B47A9}"/>
    <cellStyle name="40% - Accent3 2 2 2 6 5" xfId="21043" xr:uid="{3E887277-42B0-498A-A8FA-406C4892181D}"/>
    <cellStyle name="40% - Accent3 2 2 2 6 6" xfId="11746" xr:uid="{46B41DD9-CFF3-497C-8AC0-73081C31879A}"/>
    <cellStyle name="40% - Accent3 2 2 2 7" xfId="4571" xr:uid="{00000000-0005-0000-0000-000017050000}"/>
    <cellStyle name="40% - Accent3 2 2 2 7 2" xfId="40089" xr:uid="{BB9ECC8F-9C54-45B2-AB03-3C59BC5AF905}"/>
    <cellStyle name="40% - Accent3 2 2 2 7 3" xfId="31642" xr:uid="{F8B13243-84AE-4254-AE9F-19157C54749E}"/>
    <cellStyle name="40% - Accent3 2 2 2 7 4" xfId="23194" xr:uid="{75FCED5F-6689-43B0-A58B-7A657CCB9950}"/>
    <cellStyle name="40% - Accent3 2 2 2 7 5" xfId="13897" xr:uid="{59F9B657-0928-4AD0-9CFF-3FFFA7A6134E}"/>
    <cellStyle name="40% - Accent3 2 2 2 8" xfId="9110" xr:uid="{E41CBEF9-86F8-44B9-895F-532A7BDC9A2A}"/>
    <cellStyle name="40% - Accent3 2 2 2 8 2" xfId="35872" xr:uid="{3EE7F8F7-896A-46F9-973F-9512A7F6E445}"/>
    <cellStyle name="40% - Accent3 2 2 2 8 3" xfId="18433" xr:uid="{8836E8B8-9856-44EA-8655-D658D2AEA3CE}"/>
    <cellStyle name="40% - Accent3 2 2 2 9" xfId="27424" xr:uid="{AE548870-6D20-4D41-8177-1D57F090A026}"/>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42647" xr:uid="{4EDC998E-E980-48C1-AC28-233BDAF5156A}"/>
    <cellStyle name="40% - Accent3 2 2 3 2 2 3" xfId="34200" xr:uid="{33C9F500-CE2A-4A85-B54E-69127721509E}"/>
    <cellStyle name="40% - Accent3 2 2 3 2 2 4" xfId="25752" xr:uid="{1CBA54B6-BD9A-4E4D-9B22-9BA1C961AB22}"/>
    <cellStyle name="40% - Accent3 2 2 3 2 2 5" xfId="16455" xr:uid="{EC56B1AE-DC46-4254-A116-7D2C7588E98E}"/>
    <cellStyle name="40% - Accent3 2 2 3 2 3" xfId="38430" xr:uid="{76D97EE3-19F8-43FD-80D3-D2A388B7938C}"/>
    <cellStyle name="40% - Accent3 2 2 3 2 4" xfId="29982" xr:uid="{5581DFB0-19C1-4CDB-81AA-3A0CF7227E46}"/>
    <cellStyle name="40% - Accent3 2 2 3 2 5" xfId="21535" xr:uid="{4FD0D6E4-3DD0-4C28-9E46-D59B02FDE212}"/>
    <cellStyle name="40% - Accent3 2 2 3 2 6" xfId="12238" xr:uid="{42F0115B-B50B-4C3D-AB74-8012DE7C1FFE}"/>
    <cellStyle name="40% - Accent3 2 2 3 3" xfId="4984" xr:uid="{00000000-0005-0000-0000-00001B050000}"/>
    <cellStyle name="40% - Accent3 2 2 3 3 2" xfId="40502" xr:uid="{E17670EC-31AA-44FE-BF15-D011BAA965CA}"/>
    <cellStyle name="40% - Accent3 2 2 3 3 3" xfId="32055" xr:uid="{A4626402-D6C9-437C-83D8-88742D55AD01}"/>
    <cellStyle name="40% - Accent3 2 2 3 3 4" xfId="23607" xr:uid="{B2527D04-051E-458C-9460-356167A9C5DA}"/>
    <cellStyle name="40% - Accent3 2 2 3 3 5" xfId="14310" xr:uid="{BB12F9AC-F770-439E-BA1F-3E3485EE948C}"/>
    <cellStyle name="40% - Accent3 2 2 3 4" xfId="9328" xr:uid="{1DAEB9B9-01CE-426D-A8F1-CE08999D7264}"/>
    <cellStyle name="40% - Accent3 2 2 3 4 2" xfId="36285" xr:uid="{35961251-B448-4903-AA86-06CB74410C57}"/>
    <cellStyle name="40% - Accent3 2 2 3 4 3" xfId="18641" xr:uid="{C3858FC1-1D82-4067-B361-AFBC9952491D}"/>
    <cellStyle name="40% - Accent3 2 2 3 5" xfId="27837" xr:uid="{1FDBFFA5-B416-4EFC-AC7C-C7A6040821F8}"/>
    <cellStyle name="40% - Accent3 2 2 3 6" xfId="19390" xr:uid="{B4B5F8ED-1448-4A8F-AF4B-DAD4C4D9A444}"/>
    <cellStyle name="40% - Accent3 2 2 3 7" xfId="10093" xr:uid="{A2B56F81-1642-4CBA-9050-5922779E66E3}"/>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43060" xr:uid="{C9FEFAA7-3A22-4ED4-96E2-E52CAADE6540}"/>
    <cellStyle name="40% - Accent3 2 2 4 2 2 3" xfId="34613" xr:uid="{2F53D7D2-88C2-4B48-BC8E-D0E2BAD92E7E}"/>
    <cellStyle name="40% - Accent3 2 2 4 2 2 4" xfId="26165" xr:uid="{7ACD9230-FB25-40FD-8E7A-9BEE6955B287}"/>
    <cellStyle name="40% - Accent3 2 2 4 2 2 5" xfId="16868" xr:uid="{DC36D6BD-0F16-456D-8203-359A5B79FF1D}"/>
    <cellStyle name="40% - Accent3 2 2 4 2 3" xfId="38843" xr:uid="{F0FC0031-DC21-4DCA-8D36-73770CF129B3}"/>
    <cellStyle name="40% - Accent3 2 2 4 2 4" xfId="30395" xr:uid="{555F9695-A03A-4427-A0CD-979C4A2448BB}"/>
    <cellStyle name="40% - Accent3 2 2 4 2 5" xfId="21948" xr:uid="{C69C980E-0973-4062-A0D4-46247AB781BA}"/>
    <cellStyle name="40% - Accent3 2 2 4 2 6" xfId="12651" xr:uid="{5F5DFBE7-3780-4B9E-A8A5-4AD3BE74420D}"/>
    <cellStyle name="40% - Accent3 2 2 4 3" xfId="5397" xr:uid="{00000000-0005-0000-0000-00001F050000}"/>
    <cellStyle name="40% - Accent3 2 2 4 3 2" xfId="40915" xr:uid="{01848845-4387-4212-8B7F-38026318CE19}"/>
    <cellStyle name="40% - Accent3 2 2 4 3 3" xfId="32468" xr:uid="{E3784A8F-F825-4C7D-8C93-103CAA875664}"/>
    <cellStyle name="40% - Accent3 2 2 4 3 4" xfId="24020" xr:uid="{D5548C03-308D-4AF5-B455-90B52E191A61}"/>
    <cellStyle name="40% - Accent3 2 2 4 3 5" xfId="14723" xr:uid="{F30F0234-D547-46C8-BA59-837D3962DDC4}"/>
    <cellStyle name="40% - Accent3 2 2 4 4" xfId="36698" xr:uid="{F414A4D7-7585-41D2-B8D9-34E856C988BC}"/>
    <cellStyle name="40% - Accent3 2 2 4 5" xfId="28250" xr:uid="{C3E4FC0C-E25E-40AD-92FF-0FECF0FC75A7}"/>
    <cellStyle name="40% - Accent3 2 2 4 6" xfId="19803" xr:uid="{26576C6D-B768-48D2-AF49-AB8679F386AE}"/>
    <cellStyle name="40% - Accent3 2 2 4 7" xfId="10506" xr:uid="{FAAB549D-2FF8-4103-AC3C-9C27350E4EF2}"/>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43473" xr:uid="{68812416-8398-4C9F-805C-194F3A550A06}"/>
    <cellStyle name="40% - Accent3 2 2 5 2 2 3" xfId="35026" xr:uid="{3C487A0F-4107-41E4-B74E-4C85ABE557AC}"/>
    <cellStyle name="40% - Accent3 2 2 5 2 2 4" xfId="26578" xr:uid="{169B0911-1227-47D9-BF7A-9EB6F558C7AE}"/>
    <cellStyle name="40% - Accent3 2 2 5 2 2 5" xfId="17281" xr:uid="{7AD3ED48-EE27-47B3-B2B5-41A2CD4FFEAD}"/>
    <cellStyle name="40% - Accent3 2 2 5 2 3" xfId="39256" xr:uid="{793C6E99-4A8A-4B85-B972-B52A63287B52}"/>
    <cellStyle name="40% - Accent3 2 2 5 2 4" xfId="30808" xr:uid="{FD5B5A61-DEB1-4CC0-97AA-11DA6AAEC54E}"/>
    <cellStyle name="40% - Accent3 2 2 5 2 5" xfId="22361" xr:uid="{A33A2458-61B3-4C09-A4FD-43496F24AB37}"/>
    <cellStyle name="40% - Accent3 2 2 5 2 6" xfId="13064" xr:uid="{1351EDFE-B624-4E11-A235-14659ADC3C1A}"/>
    <cellStyle name="40% - Accent3 2 2 5 3" xfId="5810" xr:uid="{00000000-0005-0000-0000-000023050000}"/>
    <cellStyle name="40% - Accent3 2 2 5 3 2" xfId="41328" xr:uid="{72ED5FAB-03E2-4764-A7CB-5ECE78336C5E}"/>
    <cellStyle name="40% - Accent3 2 2 5 3 3" xfId="32881" xr:uid="{A3CC1E22-78FB-48C2-97EF-F1EB84A8597D}"/>
    <cellStyle name="40% - Accent3 2 2 5 3 4" xfId="24433" xr:uid="{B4BB28B2-A13C-45C6-8EDC-3658CA930067}"/>
    <cellStyle name="40% - Accent3 2 2 5 3 5" xfId="15136" xr:uid="{6C39B0FA-F184-4E4C-A8FF-C4AAFD76E7B0}"/>
    <cellStyle name="40% - Accent3 2 2 5 4" xfId="37111" xr:uid="{DF608E68-745A-4125-973C-38EC780FD793}"/>
    <cellStyle name="40% - Accent3 2 2 5 5" xfId="28663" xr:uid="{7B192C08-D2EF-4C20-9925-5DE020A939EF}"/>
    <cellStyle name="40% - Accent3 2 2 5 6" xfId="20216" xr:uid="{AA39874F-D6B2-4D5F-B0CD-43F2C54EA61A}"/>
    <cellStyle name="40% - Accent3 2 2 5 7" xfId="10919" xr:uid="{CF73404F-CB8A-4914-9F75-BD585B5D56DC}"/>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43886" xr:uid="{35033079-50F0-4D55-940B-9D96EB671A4D}"/>
    <cellStyle name="40% - Accent3 2 2 6 2 2 3" xfId="35439" xr:uid="{DF6DA522-D0EB-4323-882A-ED54F45B6BF4}"/>
    <cellStyle name="40% - Accent3 2 2 6 2 2 4" xfId="26991" xr:uid="{791B4CE1-331E-41C9-BC13-421376150802}"/>
    <cellStyle name="40% - Accent3 2 2 6 2 2 5" xfId="17694" xr:uid="{DDC5E1EF-66F7-4D7A-B673-64686FF7E66E}"/>
    <cellStyle name="40% - Accent3 2 2 6 2 3" xfId="39669" xr:uid="{C5E6D04B-2EB9-4B35-997B-6C6F63AA758F}"/>
    <cellStyle name="40% - Accent3 2 2 6 2 4" xfId="31221" xr:uid="{8CB2492F-92E2-4008-BFFC-E83363789956}"/>
    <cellStyle name="40% - Accent3 2 2 6 2 5" xfId="22774" xr:uid="{9A3CEE24-195D-4F0C-8917-EC8FE530F4D0}"/>
    <cellStyle name="40% - Accent3 2 2 6 2 6" xfId="13477" xr:uid="{EEB9385B-E29D-4EA8-9FAA-8049608D5D31}"/>
    <cellStyle name="40% - Accent3 2 2 6 3" xfId="6223" xr:uid="{00000000-0005-0000-0000-000027050000}"/>
    <cellStyle name="40% - Accent3 2 2 6 3 2" xfId="41741" xr:uid="{5C3CE07D-A023-4EEA-A57E-F34D572AABD1}"/>
    <cellStyle name="40% - Accent3 2 2 6 3 3" xfId="33294" xr:uid="{33B1C678-1F59-4452-ACEE-0503E935FBB6}"/>
    <cellStyle name="40% - Accent3 2 2 6 3 4" xfId="24846" xr:uid="{FCF4F08A-1E08-49D6-9F00-F04188932371}"/>
    <cellStyle name="40% - Accent3 2 2 6 3 5" xfId="15549" xr:uid="{03FE13B9-1CD3-4B34-B4E8-C709B2477F62}"/>
    <cellStyle name="40% - Accent3 2 2 6 4" xfId="37524" xr:uid="{A86A2428-A110-4D30-9300-1AD2D04EF543}"/>
    <cellStyle name="40% - Accent3 2 2 6 5" xfId="29076" xr:uid="{7260807F-D5B9-4AB5-973C-CC7B63B42A33}"/>
    <cellStyle name="40% - Accent3 2 2 6 6" xfId="20629" xr:uid="{AA97AE67-868A-4448-80F8-EB80AF2BAFE2}"/>
    <cellStyle name="40% - Accent3 2 2 6 7" xfId="11332" xr:uid="{0C21F96D-CB89-479A-8EEE-F55679B9E707}"/>
    <cellStyle name="40% - Accent3 2 2 7" xfId="2330" xr:uid="{00000000-0005-0000-0000-000028050000}"/>
    <cellStyle name="40% - Accent3 2 2 7 2" xfId="6636" xr:uid="{00000000-0005-0000-0000-000029050000}"/>
    <cellStyle name="40% - Accent3 2 2 7 2 2" xfId="42154" xr:uid="{AC21A1A5-D86C-44CF-9753-A4918D2DEE43}"/>
    <cellStyle name="40% - Accent3 2 2 7 2 3" xfId="33707" xr:uid="{F5E270D6-6EDB-4F40-AA7B-9DC9997C12DB}"/>
    <cellStyle name="40% - Accent3 2 2 7 2 4" xfId="25259" xr:uid="{FA0B4F83-3BF8-4C22-992C-02E6BFED0ACA}"/>
    <cellStyle name="40% - Accent3 2 2 7 2 5" xfId="15962" xr:uid="{B5F84386-C62A-43FA-9782-E7653F3EF001}"/>
    <cellStyle name="40% - Accent3 2 2 7 3" xfId="37937" xr:uid="{6EF30CB0-6CC4-4665-85F2-09A1B5CE177F}"/>
    <cellStyle name="40% - Accent3 2 2 7 4" xfId="29489" xr:uid="{AB768658-4B05-4FE4-BCBA-0ACC889F7D79}"/>
    <cellStyle name="40% - Accent3 2 2 7 5" xfId="21042" xr:uid="{AF64E87D-51D9-489A-9521-DCAE875EB228}"/>
    <cellStyle name="40% - Accent3 2 2 7 6" xfId="11745" xr:uid="{EE6DAAE2-8428-410C-BAF8-06BBEDBD51CB}"/>
    <cellStyle name="40% - Accent3 2 2 8" xfId="4570" xr:uid="{00000000-0005-0000-0000-00002A050000}"/>
    <cellStyle name="40% - Accent3 2 2 8 2" xfId="40088" xr:uid="{06D918E7-366D-4542-80B8-12B3BE8B54DF}"/>
    <cellStyle name="40% - Accent3 2 2 8 3" xfId="31641" xr:uid="{244FF747-A6E2-4F4B-B7C4-641298F025F7}"/>
    <cellStyle name="40% - Accent3 2 2 8 4" xfId="23193" xr:uid="{01A92A91-8884-48C5-89D4-763EAEA75A0D}"/>
    <cellStyle name="40% - Accent3 2 2 8 5" xfId="13896" xr:uid="{5039AFFE-46F2-413D-BB90-AC87755F14F9}"/>
    <cellStyle name="40% - Accent3 2 2 9" xfId="8903" xr:uid="{D9C85917-26AE-466C-8B98-905BCDA9E329}"/>
    <cellStyle name="40% - Accent3 2 2 9 2" xfId="35871" xr:uid="{336C3065-E35B-42FD-8966-D3E555308398}"/>
    <cellStyle name="40% - Accent3 2 2 9 3" xfId="18226" xr:uid="{71DFD282-CB13-448B-A595-30A85007A4B1}"/>
    <cellStyle name="40% - Accent3 2 3" xfId="69" xr:uid="{00000000-0005-0000-0000-00002B050000}"/>
    <cellStyle name="40% - Accent3 2 3 10" xfId="18978" xr:uid="{CEDDA731-2BF5-4B01-9772-B89A08F34B6D}"/>
    <cellStyle name="40% - Accent3 2 3 11" xfId="9681" xr:uid="{9BBFA5C3-A952-4215-82F1-D67F2877D6E2}"/>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42649" xr:uid="{CDA414F5-6A2E-45E6-BC07-D1672346DA75}"/>
    <cellStyle name="40% - Accent3 2 3 2 2 2 3" xfId="34202" xr:uid="{F39FC327-B179-4EFD-8881-465F314AD57F}"/>
    <cellStyle name="40% - Accent3 2 3 2 2 2 4" xfId="25754" xr:uid="{98759810-2365-4E5C-865D-DD7A75EF690C}"/>
    <cellStyle name="40% - Accent3 2 3 2 2 2 5" xfId="16457" xr:uid="{685D14DC-6B4F-4846-B5EB-ABA05414A2B5}"/>
    <cellStyle name="40% - Accent3 2 3 2 2 3" xfId="38432" xr:uid="{6F35CD27-8E1D-4012-B669-EE98F5C05B52}"/>
    <cellStyle name="40% - Accent3 2 3 2 2 4" xfId="29984" xr:uid="{DFECA055-829D-472B-AC42-B72DC519C77C}"/>
    <cellStyle name="40% - Accent3 2 3 2 2 5" xfId="21537" xr:uid="{216017D2-852D-46D8-81D7-BA95E4E8C844}"/>
    <cellStyle name="40% - Accent3 2 3 2 2 6" xfId="12240" xr:uid="{CE09DA95-F1B4-4C04-A773-E7A0549A6791}"/>
    <cellStyle name="40% - Accent3 2 3 2 3" xfId="4986" xr:uid="{00000000-0005-0000-0000-00002F050000}"/>
    <cellStyle name="40% - Accent3 2 3 2 3 2" xfId="40504" xr:uid="{31CFA3DF-0584-42B9-9DB5-02366490EFED}"/>
    <cellStyle name="40% - Accent3 2 3 2 3 3" xfId="32057" xr:uid="{A8FE5AF6-16D1-4FBB-8B3D-61C5044F2AC5}"/>
    <cellStyle name="40% - Accent3 2 3 2 3 4" xfId="23609" xr:uid="{4E0B3CEF-B2F5-4683-8371-E7F1F2DFFD08}"/>
    <cellStyle name="40% - Accent3 2 3 2 3 5" xfId="14312" xr:uid="{42C29FFB-BA0D-44AF-A531-67F41614C071}"/>
    <cellStyle name="40% - Accent3 2 3 2 4" xfId="9432" xr:uid="{54D6848B-0200-4F42-820D-262A8F9A2C0F}"/>
    <cellStyle name="40% - Accent3 2 3 2 4 2" xfId="36287" xr:uid="{07F01F57-0010-40FF-AC49-FE5F78D0CAD8}"/>
    <cellStyle name="40% - Accent3 2 3 2 4 3" xfId="18745" xr:uid="{CE1F73B5-3D8E-4E29-BAF4-099D0AFE5E2B}"/>
    <cellStyle name="40% - Accent3 2 3 2 5" xfId="27839" xr:uid="{02E6BBBD-6ADC-4660-ACE5-C07458AF5E7B}"/>
    <cellStyle name="40% - Accent3 2 3 2 6" xfId="19392" xr:uid="{8C7F4F77-148D-4416-AB06-DA01C5F01FE7}"/>
    <cellStyle name="40% - Accent3 2 3 2 7" xfId="10095" xr:uid="{55344257-88F0-42BD-9953-2049CA1D6FDE}"/>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43062" xr:uid="{8461166A-32E6-4B83-94C6-7C2002DA2070}"/>
    <cellStyle name="40% - Accent3 2 3 3 2 2 3" xfId="34615" xr:uid="{CFEA1B42-3633-4EF6-9B75-38FEDCC99E5B}"/>
    <cellStyle name="40% - Accent3 2 3 3 2 2 4" xfId="26167" xr:uid="{23F35246-6CC7-42C8-BC43-FB2C0C4251B4}"/>
    <cellStyle name="40% - Accent3 2 3 3 2 2 5" xfId="16870" xr:uid="{1FE857EF-AFD9-40D4-B338-05EA6D867998}"/>
    <cellStyle name="40% - Accent3 2 3 3 2 3" xfId="38845" xr:uid="{10232204-2614-429A-8430-F4A0295FE041}"/>
    <cellStyle name="40% - Accent3 2 3 3 2 4" xfId="30397" xr:uid="{12232139-BDC9-4521-A6A2-7444DF9E3B33}"/>
    <cellStyle name="40% - Accent3 2 3 3 2 5" xfId="21950" xr:uid="{9B9C28A5-89C5-4B6F-A798-52D41D905AD6}"/>
    <cellStyle name="40% - Accent3 2 3 3 2 6" xfId="12653" xr:uid="{04126ECD-DFF3-4F64-8C57-28DE164A5CB9}"/>
    <cellStyle name="40% - Accent3 2 3 3 3" xfId="5399" xr:uid="{00000000-0005-0000-0000-000033050000}"/>
    <cellStyle name="40% - Accent3 2 3 3 3 2" xfId="40917" xr:uid="{8E5CB18C-1A8A-4E65-881A-583BDDDDDD87}"/>
    <cellStyle name="40% - Accent3 2 3 3 3 3" xfId="32470" xr:uid="{D1CA0CE0-F8AF-4F4B-B2E3-FFED644D034B}"/>
    <cellStyle name="40% - Accent3 2 3 3 3 4" xfId="24022" xr:uid="{AF669545-859E-49F7-86CF-88074DF102FC}"/>
    <cellStyle name="40% - Accent3 2 3 3 3 5" xfId="14725" xr:uid="{0F8343AF-CCA8-4CF6-8C47-61AC570F7C04}"/>
    <cellStyle name="40% - Accent3 2 3 3 4" xfId="36700" xr:uid="{1846F1D4-EE17-44F0-AE20-24A66559EF00}"/>
    <cellStyle name="40% - Accent3 2 3 3 5" xfId="28252" xr:uid="{2C8686CE-3B40-454B-B327-40D3EA021764}"/>
    <cellStyle name="40% - Accent3 2 3 3 6" xfId="19805" xr:uid="{299E7CEA-61E8-446D-9A88-45E92F25BFBE}"/>
    <cellStyle name="40% - Accent3 2 3 3 7" xfId="10508" xr:uid="{E26818E3-5DEB-44B4-88ED-F1D62E7662BB}"/>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43475" xr:uid="{5C1DABD1-9DB0-458B-B1AF-06B9BEFB6E9D}"/>
    <cellStyle name="40% - Accent3 2 3 4 2 2 3" xfId="35028" xr:uid="{CB36BFC2-80BA-40CC-BDCA-BD68281AAEFF}"/>
    <cellStyle name="40% - Accent3 2 3 4 2 2 4" xfId="26580" xr:uid="{789AB547-BC22-4380-A8EF-45EB64C3CDAF}"/>
    <cellStyle name="40% - Accent3 2 3 4 2 2 5" xfId="17283" xr:uid="{51013019-0866-413E-94A7-3567F1A369E7}"/>
    <cellStyle name="40% - Accent3 2 3 4 2 3" xfId="39258" xr:uid="{8F05A409-78AF-46A2-9C2E-1F856B008035}"/>
    <cellStyle name="40% - Accent3 2 3 4 2 4" xfId="30810" xr:uid="{8CC0C2EB-96BB-4817-8BC1-1CBE83217CEC}"/>
    <cellStyle name="40% - Accent3 2 3 4 2 5" xfId="22363" xr:uid="{F51DF149-754A-46F2-A295-F16AE901AB10}"/>
    <cellStyle name="40% - Accent3 2 3 4 2 6" xfId="13066" xr:uid="{CA0309CA-297C-4FB3-A4A1-07C51EBFC09B}"/>
    <cellStyle name="40% - Accent3 2 3 4 3" xfId="5812" xr:uid="{00000000-0005-0000-0000-000037050000}"/>
    <cellStyle name="40% - Accent3 2 3 4 3 2" xfId="41330" xr:uid="{10F5C2AB-90CD-4E44-9F75-6C96DA15F458}"/>
    <cellStyle name="40% - Accent3 2 3 4 3 3" xfId="32883" xr:uid="{B01A0E52-1E0C-4A55-9590-7AFD69F1E51A}"/>
    <cellStyle name="40% - Accent3 2 3 4 3 4" xfId="24435" xr:uid="{FE1EF284-1CE4-4CE5-836F-856857E3C432}"/>
    <cellStyle name="40% - Accent3 2 3 4 3 5" xfId="15138" xr:uid="{FC7F9CBC-1A38-41A3-9E27-732904943658}"/>
    <cellStyle name="40% - Accent3 2 3 4 4" xfId="37113" xr:uid="{E54503FE-7899-4CDE-8D72-9A296D3B4523}"/>
    <cellStyle name="40% - Accent3 2 3 4 5" xfId="28665" xr:uid="{DF9345F6-4B1D-4EA3-AC27-76E038689BAC}"/>
    <cellStyle name="40% - Accent3 2 3 4 6" xfId="20218" xr:uid="{DD4CE93F-3AF7-4906-94CB-99FF78A32557}"/>
    <cellStyle name="40% - Accent3 2 3 4 7" xfId="10921" xr:uid="{46C9D081-FE83-4137-8991-2F547554A378}"/>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43888" xr:uid="{7CDC57E4-2EE6-4FB2-925F-8ACB3AD2E9B6}"/>
    <cellStyle name="40% - Accent3 2 3 5 2 2 3" xfId="35441" xr:uid="{FBE8FE58-F078-4F66-AD84-8D52D25878DF}"/>
    <cellStyle name="40% - Accent3 2 3 5 2 2 4" xfId="26993" xr:uid="{002BBD61-6272-4DEC-834C-C27FA2A4D24C}"/>
    <cellStyle name="40% - Accent3 2 3 5 2 2 5" xfId="17696" xr:uid="{3090A20C-1201-4F5C-962A-AEBC881AD72B}"/>
    <cellStyle name="40% - Accent3 2 3 5 2 3" xfId="39671" xr:uid="{6A082D0B-CB52-4737-869D-7E395102AC59}"/>
    <cellStyle name="40% - Accent3 2 3 5 2 4" xfId="31223" xr:uid="{350F7A0D-7F1D-40EC-B868-81B4DCA36F72}"/>
    <cellStyle name="40% - Accent3 2 3 5 2 5" xfId="22776" xr:uid="{EE628244-558D-4937-A7CB-C055A6451497}"/>
    <cellStyle name="40% - Accent3 2 3 5 2 6" xfId="13479" xr:uid="{425C3B1F-AAE4-4B9D-A480-F451BC947A52}"/>
    <cellStyle name="40% - Accent3 2 3 5 3" xfId="6225" xr:uid="{00000000-0005-0000-0000-00003B050000}"/>
    <cellStyle name="40% - Accent3 2 3 5 3 2" xfId="41743" xr:uid="{AB3123A1-D000-4381-957A-E164376BB5A5}"/>
    <cellStyle name="40% - Accent3 2 3 5 3 3" xfId="33296" xr:uid="{011D747C-AE4C-4DDE-A29A-21524999C750}"/>
    <cellStyle name="40% - Accent3 2 3 5 3 4" xfId="24848" xr:uid="{C36DDE81-A4FA-4DD0-9A40-AB00ED0B02AE}"/>
    <cellStyle name="40% - Accent3 2 3 5 3 5" xfId="15551" xr:uid="{27E1DF54-DD36-4183-A27E-7E8E99968576}"/>
    <cellStyle name="40% - Accent3 2 3 5 4" xfId="37526" xr:uid="{E3AABAED-D280-489A-A9BC-BBB836C505C6}"/>
    <cellStyle name="40% - Accent3 2 3 5 5" xfId="29078" xr:uid="{C3B98CBF-1A6E-48FF-BFA7-B8116A450484}"/>
    <cellStyle name="40% - Accent3 2 3 5 6" xfId="20631" xr:uid="{2F2D6DEF-2257-4913-AD5A-74611930CC3F}"/>
    <cellStyle name="40% - Accent3 2 3 5 7" xfId="11334" xr:uid="{C0709BA3-B26C-45BE-BB3C-F087BE1F0FB0}"/>
    <cellStyle name="40% - Accent3 2 3 6" xfId="2332" xr:uid="{00000000-0005-0000-0000-00003C050000}"/>
    <cellStyle name="40% - Accent3 2 3 6 2" xfId="6638" xr:uid="{00000000-0005-0000-0000-00003D050000}"/>
    <cellStyle name="40% - Accent3 2 3 6 2 2" xfId="42156" xr:uid="{04EBEF7E-A412-4B8C-A84F-A2317481268F}"/>
    <cellStyle name="40% - Accent3 2 3 6 2 3" xfId="33709" xr:uid="{8E7DF9F2-85C9-4D83-9A8D-18EFFBF0DC33}"/>
    <cellStyle name="40% - Accent3 2 3 6 2 4" xfId="25261" xr:uid="{21ED404A-1902-419C-B5F8-8BA7C7871C89}"/>
    <cellStyle name="40% - Accent3 2 3 6 2 5" xfId="15964" xr:uid="{8400C23A-08D7-4F0F-816C-234B923CBBD7}"/>
    <cellStyle name="40% - Accent3 2 3 6 3" xfId="37939" xr:uid="{812B2FD1-6209-47BF-914C-75665BFB5A72}"/>
    <cellStyle name="40% - Accent3 2 3 6 4" xfId="29491" xr:uid="{FF42ACC3-9A6D-4826-94CC-D02EBC94644B}"/>
    <cellStyle name="40% - Accent3 2 3 6 5" xfId="21044" xr:uid="{67C4DE27-8352-4BCC-9946-0C7548F40E21}"/>
    <cellStyle name="40% - Accent3 2 3 6 6" xfId="11747" xr:uid="{524B68DC-65B7-452A-862A-98ADAD8DAAA1}"/>
    <cellStyle name="40% - Accent3 2 3 7" xfId="4572" xr:uid="{00000000-0005-0000-0000-00003E050000}"/>
    <cellStyle name="40% - Accent3 2 3 7 2" xfId="40090" xr:uid="{0C440FB1-2770-4B50-9F1A-D4ABC5F182C9}"/>
    <cellStyle name="40% - Accent3 2 3 7 3" xfId="31643" xr:uid="{1506966C-B774-479A-9970-70FCCB4F125C}"/>
    <cellStyle name="40% - Accent3 2 3 7 4" xfId="23195" xr:uid="{DF100BF0-1CA8-4A2B-B2D4-C0B738736F04}"/>
    <cellStyle name="40% - Accent3 2 3 7 5" xfId="13898" xr:uid="{169CC896-5979-43AC-BF8C-8E22DB7C777F}"/>
    <cellStyle name="40% - Accent3 2 3 8" xfId="9007" xr:uid="{2DEFD82C-2A62-4C1E-AA8D-7F2606BD9091}"/>
    <cellStyle name="40% - Accent3 2 3 8 2" xfId="35873" xr:uid="{073D762E-C9AA-4D4F-AFBE-74B7B5E1D412}"/>
    <cellStyle name="40% - Accent3 2 3 8 3" xfId="18330" xr:uid="{27174254-9F56-42D9-8935-35C87B9E456A}"/>
    <cellStyle name="40% - Accent3 2 3 9" xfId="27425" xr:uid="{F2CEE296-0880-42D1-8B1F-0041A421E05D}"/>
    <cellStyle name="40% - Accent3 2 4" xfId="635" xr:uid="{00000000-0005-0000-0000-00003F050000}"/>
    <cellStyle name="40% - Accent3 2 4 2" xfId="2906" xr:uid="{00000000-0005-0000-0000-000040050000}"/>
    <cellStyle name="40% - Accent3 2 4 2 2" xfId="7128" xr:uid="{00000000-0005-0000-0000-000041050000}"/>
    <cellStyle name="40% - Accent3 2 4 2 2 2" xfId="42646" xr:uid="{F9330949-C850-4524-B60E-63E08DEBF243}"/>
    <cellStyle name="40% - Accent3 2 4 2 2 3" xfId="34199" xr:uid="{8411BFCD-D19C-4694-95E7-449ED356EDB6}"/>
    <cellStyle name="40% - Accent3 2 4 2 2 4" xfId="25751" xr:uid="{6A7613C1-2CDE-4445-8CBD-448906E24D5A}"/>
    <cellStyle name="40% - Accent3 2 4 2 2 5" xfId="16454" xr:uid="{691068A7-7CD8-419F-9B47-872E725EE607}"/>
    <cellStyle name="40% - Accent3 2 4 2 3" xfId="38429" xr:uid="{51484290-DB03-40BC-81BB-131BB9E8C1A0}"/>
    <cellStyle name="40% - Accent3 2 4 2 4" xfId="29981" xr:uid="{EB6D7BF6-850D-4ED3-87B6-00EC9B2369A8}"/>
    <cellStyle name="40% - Accent3 2 4 2 5" xfId="21534" xr:uid="{E619A15C-79C4-4B98-98CD-2F7E855417E1}"/>
    <cellStyle name="40% - Accent3 2 4 2 6" xfId="12237" xr:uid="{D66230E0-2ABB-42D2-BA9B-6F71E3590EA1}"/>
    <cellStyle name="40% - Accent3 2 4 3" xfId="4983" xr:uid="{00000000-0005-0000-0000-000042050000}"/>
    <cellStyle name="40% - Accent3 2 4 3 2" xfId="40501" xr:uid="{AC6A885F-C692-4ACE-975E-B03570FDDD93}"/>
    <cellStyle name="40% - Accent3 2 4 3 3" xfId="32054" xr:uid="{03509E15-BE12-4BBC-88CF-E83814687F10}"/>
    <cellStyle name="40% - Accent3 2 4 3 4" xfId="23606" xr:uid="{D03035BC-5857-4787-8F61-AE50B62E759C}"/>
    <cellStyle name="40% - Accent3 2 4 3 5" xfId="14309" xr:uid="{C51F7F5A-85D3-444E-ADBC-FF14B26D5ACD}"/>
    <cellStyle name="40% - Accent3 2 4 4" xfId="9224" xr:uid="{6B91012A-BFF2-4F1F-901C-A91F06F80031}"/>
    <cellStyle name="40% - Accent3 2 4 4 2" xfId="36284" xr:uid="{17300C8A-F18F-4DEC-ACE2-6A4F738E26BF}"/>
    <cellStyle name="40% - Accent3 2 4 4 3" xfId="18538" xr:uid="{BAAE30EC-1EFA-4455-B4FF-F210F8B19C9C}"/>
    <cellStyle name="40% - Accent3 2 4 5" xfId="27836" xr:uid="{0B0FC95C-F9D4-4471-BB13-8629027F6E26}"/>
    <cellStyle name="40% - Accent3 2 4 6" xfId="19389" xr:uid="{F971E7B3-A315-45AC-A3B5-1C0D0DE08589}"/>
    <cellStyle name="40% - Accent3 2 4 7" xfId="10092" xr:uid="{185EA9F5-BB16-49D0-BB66-AC68C4CE2FA7}"/>
    <cellStyle name="40% - Accent3 2 5" xfId="1088" xr:uid="{00000000-0005-0000-0000-000043050000}"/>
    <cellStyle name="40% - Accent3 2 5 2" xfId="3319" xr:uid="{00000000-0005-0000-0000-000044050000}"/>
    <cellStyle name="40% - Accent3 2 5 2 2" xfId="7541" xr:uid="{00000000-0005-0000-0000-000045050000}"/>
    <cellStyle name="40% - Accent3 2 5 2 2 2" xfId="43059" xr:uid="{7CF42EB7-EEF6-4E16-8CDF-3C66B229F72F}"/>
    <cellStyle name="40% - Accent3 2 5 2 2 3" xfId="34612" xr:uid="{133997BC-B6A1-4A7B-B708-21E3537EF48F}"/>
    <cellStyle name="40% - Accent3 2 5 2 2 4" xfId="26164" xr:uid="{C545F014-651F-4F24-9051-1DE65923532C}"/>
    <cellStyle name="40% - Accent3 2 5 2 2 5" xfId="16867" xr:uid="{16DF4441-4597-4485-8780-217CA4E35C5B}"/>
    <cellStyle name="40% - Accent3 2 5 2 3" xfId="38842" xr:uid="{FFE2A4C4-8A49-4B41-889C-35FF41E3EE45}"/>
    <cellStyle name="40% - Accent3 2 5 2 4" xfId="30394" xr:uid="{EA54245A-28FC-42AD-BBC8-9EF5E23316DF}"/>
    <cellStyle name="40% - Accent3 2 5 2 5" xfId="21947" xr:uid="{E622600E-5A45-4906-A06F-F1278EA848F0}"/>
    <cellStyle name="40% - Accent3 2 5 2 6" xfId="12650" xr:uid="{6B0B3889-8E9F-4F76-9A42-973AF1BD3949}"/>
    <cellStyle name="40% - Accent3 2 5 3" xfId="5396" xr:uid="{00000000-0005-0000-0000-000046050000}"/>
    <cellStyle name="40% - Accent3 2 5 3 2" xfId="40914" xr:uid="{EAA7064C-09F9-4F4B-AA52-CEB95D32E300}"/>
    <cellStyle name="40% - Accent3 2 5 3 3" xfId="32467" xr:uid="{1327EC6D-2566-4CEF-8329-4E2BEBCCCA03}"/>
    <cellStyle name="40% - Accent3 2 5 3 4" xfId="24019" xr:uid="{A1715CE9-9717-4D0B-83B0-D380DA8AA350}"/>
    <cellStyle name="40% - Accent3 2 5 3 5" xfId="14722" xr:uid="{28EAE5DE-9A79-45A6-87D8-35C2FCDF74BD}"/>
    <cellStyle name="40% - Accent3 2 5 4" xfId="36697" xr:uid="{A352F686-EF03-4CBA-8A83-5D13E772F259}"/>
    <cellStyle name="40% - Accent3 2 5 5" xfId="28249" xr:uid="{0DBDBDA1-29CC-482E-AAFE-028CD5AC1104}"/>
    <cellStyle name="40% - Accent3 2 5 6" xfId="19802" xr:uid="{F2FD4AD9-D4EB-469A-A997-EA5E9C4A07A5}"/>
    <cellStyle name="40% - Accent3 2 5 7" xfId="10505" xr:uid="{0CE24984-9AEC-4ADC-8435-789F5DE12C4A}"/>
    <cellStyle name="40% - Accent3 2 6" xfId="1502" xr:uid="{00000000-0005-0000-0000-000047050000}"/>
    <cellStyle name="40% - Accent3 2 6 2" xfId="3732" xr:uid="{00000000-0005-0000-0000-000048050000}"/>
    <cellStyle name="40% - Accent3 2 6 2 2" xfId="7954" xr:uid="{00000000-0005-0000-0000-000049050000}"/>
    <cellStyle name="40% - Accent3 2 6 2 2 2" xfId="43472" xr:uid="{2B620B75-5FC9-4410-AFC6-84D7C9BF756D}"/>
    <cellStyle name="40% - Accent3 2 6 2 2 3" xfId="35025" xr:uid="{686B1BB0-CA64-45EE-AF58-508C001BEC07}"/>
    <cellStyle name="40% - Accent3 2 6 2 2 4" xfId="26577" xr:uid="{50AAC73C-A4E3-458A-AC3D-36DA79F21D8F}"/>
    <cellStyle name="40% - Accent3 2 6 2 2 5" xfId="17280" xr:uid="{480A852E-887F-4926-9AEB-9E543D873AE6}"/>
    <cellStyle name="40% - Accent3 2 6 2 3" xfId="39255" xr:uid="{49BDC790-8499-4205-B46F-0F4F872A872F}"/>
    <cellStyle name="40% - Accent3 2 6 2 4" xfId="30807" xr:uid="{7FD89A31-F500-4B7B-8C82-19B2163A0DF4}"/>
    <cellStyle name="40% - Accent3 2 6 2 5" xfId="22360" xr:uid="{74D03A5A-4DA9-4165-B59A-76F0A5D59141}"/>
    <cellStyle name="40% - Accent3 2 6 2 6" xfId="13063" xr:uid="{E1E428D4-7209-4A4D-B1DF-54359884A770}"/>
    <cellStyle name="40% - Accent3 2 6 3" xfId="5809" xr:uid="{00000000-0005-0000-0000-00004A050000}"/>
    <cellStyle name="40% - Accent3 2 6 3 2" xfId="41327" xr:uid="{3A168AF0-BB41-4564-802B-61DDA3BB7681}"/>
    <cellStyle name="40% - Accent3 2 6 3 3" xfId="32880" xr:uid="{185780FC-361A-425C-BC26-B3E4F7818E54}"/>
    <cellStyle name="40% - Accent3 2 6 3 4" xfId="24432" xr:uid="{7BE4138E-A2A6-4E6F-A894-BDD883601767}"/>
    <cellStyle name="40% - Accent3 2 6 3 5" xfId="15135" xr:uid="{0F2C3A5D-A873-4536-A41B-0E61332A15FE}"/>
    <cellStyle name="40% - Accent3 2 6 4" xfId="37110" xr:uid="{35CA2E0C-79EF-43CA-AACC-C6F61D3D144C}"/>
    <cellStyle name="40% - Accent3 2 6 5" xfId="28662" xr:uid="{3B369875-7252-4466-BB5D-091BD2139F14}"/>
    <cellStyle name="40% - Accent3 2 6 6" xfId="20215" xr:uid="{9C6BE8AC-355D-4ED7-AF3D-16F77A4D751F}"/>
    <cellStyle name="40% - Accent3 2 6 7" xfId="10918" xr:uid="{7C1625B7-680B-4F72-85C0-B76C4F3ABFFE}"/>
    <cellStyle name="40% - Accent3 2 7" xfId="1916" xr:uid="{00000000-0005-0000-0000-00004B050000}"/>
    <cellStyle name="40% - Accent3 2 7 2" xfId="4145" xr:uid="{00000000-0005-0000-0000-00004C050000}"/>
    <cellStyle name="40% - Accent3 2 7 2 2" xfId="8367" xr:uid="{00000000-0005-0000-0000-00004D050000}"/>
    <cellStyle name="40% - Accent3 2 7 2 2 2" xfId="43885" xr:uid="{10EDD433-979D-4E20-9888-BC17E0516416}"/>
    <cellStyle name="40% - Accent3 2 7 2 2 3" xfId="35438" xr:uid="{BF183471-25B8-425E-A627-9DA322A428F7}"/>
    <cellStyle name="40% - Accent3 2 7 2 2 4" xfId="26990" xr:uid="{C73F167B-F2CD-409C-814B-36549FD6D118}"/>
    <cellStyle name="40% - Accent3 2 7 2 2 5" xfId="17693" xr:uid="{9E9802AF-4A5B-4CAE-99C4-0D13FC8DC2CA}"/>
    <cellStyle name="40% - Accent3 2 7 2 3" xfId="39668" xr:uid="{FFC30D32-660A-4E71-AB89-AD6AD7C728EC}"/>
    <cellStyle name="40% - Accent3 2 7 2 4" xfId="31220" xr:uid="{E098C2E7-2B2F-4D0B-A5BF-2CA9B079B027}"/>
    <cellStyle name="40% - Accent3 2 7 2 5" xfId="22773" xr:uid="{67805028-F281-46E0-92E2-953F7EDCB12E}"/>
    <cellStyle name="40% - Accent3 2 7 2 6" xfId="13476" xr:uid="{F01BBF22-1B24-49CF-8A8E-89316CB7F6F8}"/>
    <cellStyle name="40% - Accent3 2 7 3" xfId="6222" xr:uid="{00000000-0005-0000-0000-00004E050000}"/>
    <cellStyle name="40% - Accent3 2 7 3 2" xfId="41740" xr:uid="{4A51B4B6-4BE3-407E-A73C-BD62A4A6501C}"/>
    <cellStyle name="40% - Accent3 2 7 3 3" xfId="33293" xr:uid="{CCF45954-A271-4755-8C8A-4A6C07052F6A}"/>
    <cellStyle name="40% - Accent3 2 7 3 4" xfId="24845" xr:uid="{AE0BDB46-CEE1-4C87-8B0F-8B16C4752626}"/>
    <cellStyle name="40% - Accent3 2 7 3 5" xfId="15548" xr:uid="{D9DF4A54-75D3-4925-88B8-DE4CA202544E}"/>
    <cellStyle name="40% - Accent3 2 7 4" xfId="37523" xr:uid="{5C489B24-FC93-4941-BD97-730B2490E3F0}"/>
    <cellStyle name="40% - Accent3 2 7 5" xfId="29075" xr:uid="{9D81C86B-C65C-4A57-8C75-2B75AA4AACC9}"/>
    <cellStyle name="40% - Accent3 2 7 6" xfId="20628" xr:uid="{7A1CF95A-E31C-4881-B29E-BD9C83F135FB}"/>
    <cellStyle name="40% - Accent3 2 7 7" xfId="11331" xr:uid="{768817B7-FB8B-467E-8174-4E5B63F67C50}"/>
    <cellStyle name="40% - Accent3 2 8" xfId="2329" xr:uid="{00000000-0005-0000-0000-00004F050000}"/>
    <cellStyle name="40% - Accent3 2 8 2" xfId="6635" xr:uid="{00000000-0005-0000-0000-000050050000}"/>
    <cellStyle name="40% - Accent3 2 8 2 2" xfId="42153" xr:uid="{5FDD23C8-237F-48AF-A234-E215622B2948}"/>
    <cellStyle name="40% - Accent3 2 8 2 3" xfId="33706" xr:uid="{B4B2A4AD-D665-46FE-8747-EF45EC755E40}"/>
    <cellStyle name="40% - Accent3 2 8 2 4" xfId="25258" xr:uid="{C9561018-41CB-49BB-B365-14975E7E7379}"/>
    <cellStyle name="40% - Accent3 2 8 2 5" xfId="15961" xr:uid="{CAAAFC98-79FE-40E8-A909-4AC5680B1320}"/>
    <cellStyle name="40% - Accent3 2 8 3" xfId="37936" xr:uid="{830A9BD3-B29F-4489-836F-A407F2681CF5}"/>
    <cellStyle name="40% - Accent3 2 8 4" xfId="29488" xr:uid="{AD393FE3-FA7F-44F8-A0A3-A32F42A03216}"/>
    <cellStyle name="40% - Accent3 2 8 5" xfId="21041" xr:uid="{B5239785-AE87-454A-9336-6974B1607DC5}"/>
    <cellStyle name="40% - Accent3 2 8 6" xfId="11744" xr:uid="{4221731E-FD15-4AFB-9D89-F680BE2E5455}"/>
    <cellStyle name="40% - Accent3 2 9" xfId="4569" xr:uid="{00000000-0005-0000-0000-000051050000}"/>
    <cellStyle name="40% - Accent3 2 9 2" xfId="40087" xr:uid="{87F6DF6D-4AA2-40E0-85F0-EA6A73B267B7}"/>
    <cellStyle name="40% - Accent3 2 9 3" xfId="31640" xr:uid="{39ACE5C3-D6B0-4347-9A77-C01E25A84F2A}"/>
    <cellStyle name="40% - Accent3 2 9 4" xfId="23192" xr:uid="{F3024F1E-1FED-45B2-B5A0-558403E559DE}"/>
    <cellStyle name="40% - Accent3 2 9 5" xfId="13895" xr:uid="{1C3406E8-4B86-4754-A4D9-B809477FA05F}"/>
    <cellStyle name="40% - Accent3 3" xfId="70" xr:uid="{00000000-0005-0000-0000-000052050000}"/>
    <cellStyle name="40% - Accent3 3 10" xfId="27426" xr:uid="{397ECF39-D4F1-43E1-819F-0411703EA9C9}"/>
    <cellStyle name="40% - Accent3 3 11" xfId="18979" xr:uid="{CB4CD490-7F81-42AB-86A2-B41FC8867E1A}"/>
    <cellStyle name="40% - Accent3 3 12" xfId="9682" xr:uid="{DE07BA3F-F2AA-4A19-B7DC-90627C7803D2}"/>
    <cellStyle name="40% - Accent3 3 2" xfId="71" xr:uid="{00000000-0005-0000-0000-000053050000}"/>
    <cellStyle name="40% - Accent3 3 2 10" xfId="18980" xr:uid="{74F19AFD-C2D9-48DE-B703-837D767C28A0}"/>
    <cellStyle name="40% - Accent3 3 2 11" xfId="9683" xr:uid="{CA5E821B-0135-4A3E-B070-3718A25F5515}"/>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42651" xr:uid="{136455DE-50F8-4B07-B07E-76954FD6142F}"/>
    <cellStyle name="40% - Accent3 3 2 2 2 2 3" xfId="34204" xr:uid="{A0F87F03-6BB7-4291-ABCC-5431478D9B69}"/>
    <cellStyle name="40% - Accent3 3 2 2 2 2 4" xfId="25756" xr:uid="{5D4D5DBB-4C09-4E9C-B878-E9F55A6F3D31}"/>
    <cellStyle name="40% - Accent3 3 2 2 2 2 5" xfId="16459" xr:uid="{EBCC129C-3CE4-42D9-8FFD-055E5BFDC277}"/>
    <cellStyle name="40% - Accent3 3 2 2 2 3" xfId="38434" xr:uid="{7B07E446-75A7-47C5-9890-710590BC5232}"/>
    <cellStyle name="40% - Accent3 3 2 2 2 4" xfId="29986" xr:uid="{075DBE9B-5258-4A8E-BB61-0ED607DD3098}"/>
    <cellStyle name="40% - Accent3 3 2 2 2 5" xfId="21539" xr:uid="{33858695-D826-4577-B936-91AC505F4AF7}"/>
    <cellStyle name="40% - Accent3 3 2 2 2 6" xfId="12242" xr:uid="{B346F953-D477-4809-9BFE-D38DC5C8B447}"/>
    <cellStyle name="40% - Accent3 3 2 2 3" xfId="4988" xr:uid="{00000000-0005-0000-0000-000057050000}"/>
    <cellStyle name="40% - Accent3 3 2 2 3 2" xfId="40506" xr:uid="{98B2CE26-6BDC-4392-9A6A-F598F3A70A73}"/>
    <cellStyle name="40% - Accent3 3 2 2 3 3" xfId="32059" xr:uid="{D0B06CE9-D50A-4B4D-88EB-76C5D368AF0F}"/>
    <cellStyle name="40% - Accent3 3 2 2 3 4" xfId="23611" xr:uid="{1DC258D1-A88A-4209-9B74-AC5571358B71}"/>
    <cellStyle name="40% - Accent3 3 2 2 3 5" xfId="14314" xr:uid="{D809F79E-503C-4EA3-88E8-B17637FEE9BE}"/>
    <cellStyle name="40% - Accent3 3 2 2 4" xfId="9498" xr:uid="{7C43CF58-5AE0-4BAA-9D2B-CAB92F3612F1}"/>
    <cellStyle name="40% - Accent3 3 2 2 4 2" xfId="36289" xr:uid="{4F4B4225-01CB-4994-85C6-50668449E270}"/>
    <cellStyle name="40% - Accent3 3 2 2 4 3" xfId="18811" xr:uid="{9C18671D-AE3E-4F3D-A096-4F804E4BC64C}"/>
    <cellStyle name="40% - Accent3 3 2 2 5" xfId="27841" xr:uid="{29722646-CEBC-40A5-9A8C-F474383651F3}"/>
    <cellStyle name="40% - Accent3 3 2 2 6" xfId="19394" xr:uid="{BF7B03AF-F0A4-409E-99A1-2D8B880C7E53}"/>
    <cellStyle name="40% - Accent3 3 2 2 7" xfId="10097" xr:uid="{596FA359-2551-4CBF-B07B-AE20B76DDADB}"/>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43064" xr:uid="{EA98D743-785C-4BE0-B532-1EC36FA0A2E8}"/>
    <cellStyle name="40% - Accent3 3 2 3 2 2 3" xfId="34617" xr:uid="{B9BFE8A6-2CBB-4385-96D6-665A194950BD}"/>
    <cellStyle name="40% - Accent3 3 2 3 2 2 4" xfId="26169" xr:uid="{0B00FA1F-3EFB-4185-884D-C841CB9A2257}"/>
    <cellStyle name="40% - Accent3 3 2 3 2 2 5" xfId="16872" xr:uid="{17AEA6B2-506D-4994-946C-6EC87C9D6569}"/>
    <cellStyle name="40% - Accent3 3 2 3 2 3" xfId="38847" xr:uid="{0C409913-8F7A-4607-AB67-41C1F844AB14}"/>
    <cellStyle name="40% - Accent3 3 2 3 2 4" xfId="30399" xr:uid="{75CF2F1D-392A-432F-9973-B36F44D88FFC}"/>
    <cellStyle name="40% - Accent3 3 2 3 2 5" xfId="21952" xr:uid="{626EAE41-7227-498C-B523-37F8C2E20A66}"/>
    <cellStyle name="40% - Accent3 3 2 3 2 6" xfId="12655" xr:uid="{866A2A7D-8ACE-4979-A6D6-FF2A431750AE}"/>
    <cellStyle name="40% - Accent3 3 2 3 3" xfId="5401" xr:uid="{00000000-0005-0000-0000-00005B050000}"/>
    <cellStyle name="40% - Accent3 3 2 3 3 2" xfId="40919" xr:uid="{4215B853-F4D6-41DC-9C58-98459FA8DCEC}"/>
    <cellStyle name="40% - Accent3 3 2 3 3 3" xfId="32472" xr:uid="{18DF6DB9-1008-401D-B430-7361C4E3B2A4}"/>
    <cellStyle name="40% - Accent3 3 2 3 3 4" xfId="24024" xr:uid="{E7A689F4-FE77-49D8-BEB7-B15E5CE65699}"/>
    <cellStyle name="40% - Accent3 3 2 3 3 5" xfId="14727" xr:uid="{40A4E086-7F20-424E-8EF6-EE228C1FE8A4}"/>
    <cellStyle name="40% - Accent3 3 2 3 4" xfId="36702" xr:uid="{F439DBC3-F414-4BD5-91D3-B555B7CFEF7B}"/>
    <cellStyle name="40% - Accent3 3 2 3 5" xfId="28254" xr:uid="{B338DD0E-7EFC-4E94-BE43-15767579AA40}"/>
    <cellStyle name="40% - Accent3 3 2 3 6" xfId="19807" xr:uid="{5A797828-CAF2-4B45-B9E6-9CE00DA2F3E8}"/>
    <cellStyle name="40% - Accent3 3 2 3 7" xfId="10510" xr:uid="{6289D5A6-F129-49AD-A5A1-39B1B17786FA}"/>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43477" xr:uid="{3CC57FD9-3CC5-4C8D-8C3A-CF6D653DA1A4}"/>
    <cellStyle name="40% - Accent3 3 2 4 2 2 3" xfId="35030" xr:uid="{D3931657-B79D-41A6-BA14-F401B85ACCBA}"/>
    <cellStyle name="40% - Accent3 3 2 4 2 2 4" xfId="26582" xr:uid="{B6757720-FFC1-4065-82C7-A04AF2438D83}"/>
    <cellStyle name="40% - Accent3 3 2 4 2 2 5" xfId="17285" xr:uid="{DE2EFEDF-3855-4C11-9B29-EA83D16024D3}"/>
    <cellStyle name="40% - Accent3 3 2 4 2 3" xfId="39260" xr:uid="{0920B76E-6673-4D06-9F88-31FC238CF042}"/>
    <cellStyle name="40% - Accent3 3 2 4 2 4" xfId="30812" xr:uid="{9E2F01DD-3AFE-4C07-83D7-D69B8824A2AE}"/>
    <cellStyle name="40% - Accent3 3 2 4 2 5" xfId="22365" xr:uid="{BB1ED31E-260C-4376-89EB-AE7DE357FAA7}"/>
    <cellStyle name="40% - Accent3 3 2 4 2 6" xfId="13068" xr:uid="{9575F5EB-2A0F-4C4A-A742-BD31C2DE0D6F}"/>
    <cellStyle name="40% - Accent3 3 2 4 3" xfId="5814" xr:uid="{00000000-0005-0000-0000-00005F050000}"/>
    <cellStyle name="40% - Accent3 3 2 4 3 2" xfId="41332" xr:uid="{53226813-1E88-4FEA-AFA0-ADFC3F6D334F}"/>
    <cellStyle name="40% - Accent3 3 2 4 3 3" xfId="32885" xr:uid="{8B796B44-2347-4AA5-B87D-C8B6B4078F9C}"/>
    <cellStyle name="40% - Accent3 3 2 4 3 4" xfId="24437" xr:uid="{ECB2A61D-B600-46BB-A580-0CE850020359}"/>
    <cellStyle name="40% - Accent3 3 2 4 3 5" xfId="15140" xr:uid="{4374BAD9-FE61-444E-8C0A-48C0C79B1643}"/>
    <cellStyle name="40% - Accent3 3 2 4 4" xfId="37115" xr:uid="{BD9DAFD7-D8B5-486B-A4B0-710708E4D8B8}"/>
    <cellStyle name="40% - Accent3 3 2 4 5" xfId="28667" xr:uid="{0C07C6B0-0C01-421B-AEB4-DD58888DDA4A}"/>
    <cellStyle name="40% - Accent3 3 2 4 6" xfId="20220" xr:uid="{CF4D5CBB-AC27-489A-AD9D-4E3B0CF000A0}"/>
    <cellStyle name="40% - Accent3 3 2 4 7" xfId="10923" xr:uid="{34E29497-21AF-401F-ACBA-A3FA49CEA047}"/>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43890" xr:uid="{5EA3DB51-F817-48BA-8BFF-AF336EC8AC98}"/>
    <cellStyle name="40% - Accent3 3 2 5 2 2 3" xfId="35443" xr:uid="{CCC7FFC9-4D67-4D7C-A075-33886155CA15}"/>
    <cellStyle name="40% - Accent3 3 2 5 2 2 4" xfId="26995" xr:uid="{E6989A61-7025-4BCB-8FC1-8DDD29791FC4}"/>
    <cellStyle name="40% - Accent3 3 2 5 2 2 5" xfId="17698" xr:uid="{130B901A-7673-4A97-A509-EF1D9259E10C}"/>
    <cellStyle name="40% - Accent3 3 2 5 2 3" xfId="39673" xr:uid="{91E55D48-0451-431F-88EF-8478F5AD0BAD}"/>
    <cellStyle name="40% - Accent3 3 2 5 2 4" xfId="31225" xr:uid="{6FC6E24E-7B0C-48F0-9977-4146202CDADD}"/>
    <cellStyle name="40% - Accent3 3 2 5 2 5" xfId="22778" xr:uid="{012A5A3B-9066-43D3-B576-BFFFE8C99C05}"/>
    <cellStyle name="40% - Accent3 3 2 5 2 6" xfId="13481" xr:uid="{2914C986-1307-4B81-9BE1-A1ECF7DE93B9}"/>
    <cellStyle name="40% - Accent3 3 2 5 3" xfId="6227" xr:uid="{00000000-0005-0000-0000-000063050000}"/>
    <cellStyle name="40% - Accent3 3 2 5 3 2" xfId="41745" xr:uid="{3A321C6D-A592-425E-B356-BBBA37D82639}"/>
    <cellStyle name="40% - Accent3 3 2 5 3 3" xfId="33298" xr:uid="{3559AECC-E349-4984-9955-DB12D1BCB6F0}"/>
    <cellStyle name="40% - Accent3 3 2 5 3 4" xfId="24850" xr:uid="{81009AB4-BF0D-4977-ABDE-F7E806B0FEC5}"/>
    <cellStyle name="40% - Accent3 3 2 5 3 5" xfId="15553" xr:uid="{BCE491DF-31E6-4AD5-A141-030A58CD6FED}"/>
    <cellStyle name="40% - Accent3 3 2 5 4" xfId="37528" xr:uid="{6604DAE2-E93A-42F6-98BD-38D7DC21C20C}"/>
    <cellStyle name="40% - Accent3 3 2 5 5" xfId="29080" xr:uid="{95C5B172-83FF-4C5B-8001-6FD84F332222}"/>
    <cellStyle name="40% - Accent3 3 2 5 6" xfId="20633" xr:uid="{5FDA5918-75D5-4E8F-B7B6-C46AED7478FF}"/>
    <cellStyle name="40% - Accent3 3 2 5 7" xfId="11336" xr:uid="{94A9BA90-F3C9-4980-A842-6F3A1A58146B}"/>
    <cellStyle name="40% - Accent3 3 2 6" xfId="2334" xr:uid="{00000000-0005-0000-0000-000064050000}"/>
    <cellStyle name="40% - Accent3 3 2 6 2" xfId="6640" xr:uid="{00000000-0005-0000-0000-000065050000}"/>
    <cellStyle name="40% - Accent3 3 2 6 2 2" xfId="42158" xr:uid="{AF97E0F5-A4A3-481E-AEA9-EB97CDF6E511}"/>
    <cellStyle name="40% - Accent3 3 2 6 2 3" xfId="33711" xr:uid="{19CD4647-98F4-4FB8-8908-E7E60DA31926}"/>
    <cellStyle name="40% - Accent3 3 2 6 2 4" xfId="25263" xr:uid="{1B0476E0-58D4-4256-B52C-201FE338F984}"/>
    <cellStyle name="40% - Accent3 3 2 6 2 5" xfId="15966" xr:uid="{7F226B63-D6C6-4FD4-865F-40BAA084E572}"/>
    <cellStyle name="40% - Accent3 3 2 6 3" xfId="37941" xr:uid="{6EA4EFBD-75D5-4641-9E53-D51F72DC08F7}"/>
    <cellStyle name="40% - Accent3 3 2 6 4" xfId="29493" xr:uid="{9CC7CF96-7F68-4997-8F1F-A69DD6CB9900}"/>
    <cellStyle name="40% - Accent3 3 2 6 5" xfId="21046" xr:uid="{3AD1B4B8-9116-41DB-84BA-343C008A31CA}"/>
    <cellStyle name="40% - Accent3 3 2 6 6" xfId="11749" xr:uid="{094DA066-CF38-4C1B-9F11-441EFB31C10B}"/>
    <cellStyle name="40% - Accent3 3 2 7" xfId="4574" xr:uid="{00000000-0005-0000-0000-000066050000}"/>
    <cellStyle name="40% - Accent3 3 2 7 2" xfId="40092" xr:uid="{15870FA0-FC82-40FC-BC8C-AFFFC28A46A6}"/>
    <cellStyle name="40% - Accent3 3 2 7 3" xfId="31645" xr:uid="{40342692-F46A-4DC5-9245-670E642BD2FE}"/>
    <cellStyle name="40% - Accent3 3 2 7 4" xfId="23197" xr:uid="{E8C6E4E3-7D8B-4D44-B98B-BC091ACB0E1A}"/>
    <cellStyle name="40% - Accent3 3 2 7 5" xfId="13900" xr:uid="{CC1879DA-EE9B-46FF-B6CF-F148E5CFD7B2}"/>
    <cellStyle name="40% - Accent3 3 2 8" xfId="9073" xr:uid="{0E71C752-2CF0-411D-A05E-4DA4A73CFC34}"/>
    <cellStyle name="40% - Accent3 3 2 8 2" xfId="35875" xr:uid="{EAE83122-0193-4BE7-A44F-A3B98A194928}"/>
    <cellStyle name="40% - Accent3 3 2 8 3" xfId="18396" xr:uid="{F404CBF8-8C3D-47DF-90BA-27A5037A73A1}"/>
    <cellStyle name="40% - Accent3 3 2 9" xfId="27427" xr:uid="{66E05088-BA89-49D5-ABD5-14C9766FE645}"/>
    <cellStyle name="40% - Accent3 3 3" xfId="639" xr:uid="{00000000-0005-0000-0000-000067050000}"/>
    <cellStyle name="40% - Accent3 3 3 2" xfId="2910" xr:uid="{00000000-0005-0000-0000-000068050000}"/>
    <cellStyle name="40% - Accent3 3 3 2 2" xfId="7132" xr:uid="{00000000-0005-0000-0000-000069050000}"/>
    <cellStyle name="40% - Accent3 3 3 2 2 2" xfId="42650" xr:uid="{FE628B61-EB39-4EAB-B55C-5FF6554D35F6}"/>
    <cellStyle name="40% - Accent3 3 3 2 2 3" xfId="34203" xr:uid="{AB0A577D-EDAE-4BF4-8EDD-FEF8C10CDA77}"/>
    <cellStyle name="40% - Accent3 3 3 2 2 4" xfId="25755" xr:uid="{339B4964-2844-45C1-B59E-FF36C52635CC}"/>
    <cellStyle name="40% - Accent3 3 3 2 2 5" xfId="16458" xr:uid="{642CEF65-E64F-441A-B38B-6936DC88959B}"/>
    <cellStyle name="40% - Accent3 3 3 2 3" xfId="38433" xr:uid="{C37A4175-E170-4887-8233-D2F6AA966E85}"/>
    <cellStyle name="40% - Accent3 3 3 2 4" xfId="29985" xr:uid="{6136F792-CB87-4B63-AEC5-975165D1C20C}"/>
    <cellStyle name="40% - Accent3 3 3 2 5" xfId="21538" xr:uid="{02B96CE8-9F81-464E-8D2F-2509F796B3CB}"/>
    <cellStyle name="40% - Accent3 3 3 2 6" xfId="12241" xr:uid="{6F2772A8-F44C-4247-B6CA-C1DD0C9D70D4}"/>
    <cellStyle name="40% - Accent3 3 3 3" xfId="4987" xr:uid="{00000000-0005-0000-0000-00006A050000}"/>
    <cellStyle name="40% - Accent3 3 3 3 2" xfId="40505" xr:uid="{07046785-1002-4DF2-A23E-798A975E44B9}"/>
    <cellStyle name="40% - Accent3 3 3 3 3" xfId="32058" xr:uid="{81FDEBE0-1902-4FE6-8506-9B0B70FA2685}"/>
    <cellStyle name="40% - Accent3 3 3 3 4" xfId="23610" xr:uid="{37C84C52-43BD-44BF-B58C-8D807D6283C4}"/>
    <cellStyle name="40% - Accent3 3 3 3 5" xfId="14313" xr:uid="{4F513E4A-1973-415A-A9CF-36573F08C51D}"/>
    <cellStyle name="40% - Accent3 3 3 4" xfId="9291" xr:uid="{59AB3F6D-A8C6-4A37-A8E3-967850079A77}"/>
    <cellStyle name="40% - Accent3 3 3 4 2" xfId="36288" xr:uid="{34435C7D-7997-4687-A29A-D0A5897BCE74}"/>
    <cellStyle name="40% - Accent3 3 3 4 3" xfId="18604" xr:uid="{88C1E5BF-A9B2-4F8A-B491-0417508F48DB}"/>
    <cellStyle name="40% - Accent3 3 3 5" xfId="27840" xr:uid="{6168B364-921A-415B-A357-2498EE7A8F06}"/>
    <cellStyle name="40% - Accent3 3 3 6" xfId="19393" xr:uid="{3E549FD7-1CEE-492A-8CF9-EA757EB97C0B}"/>
    <cellStyle name="40% - Accent3 3 3 7" xfId="10096" xr:uid="{746A91D3-1119-4854-AD9E-3BB379009661}"/>
    <cellStyle name="40% - Accent3 3 4" xfId="1092" xr:uid="{00000000-0005-0000-0000-00006B050000}"/>
    <cellStyle name="40% - Accent3 3 4 2" xfId="3323" xr:uid="{00000000-0005-0000-0000-00006C050000}"/>
    <cellStyle name="40% - Accent3 3 4 2 2" xfId="7545" xr:uid="{00000000-0005-0000-0000-00006D050000}"/>
    <cellStyle name="40% - Accent3 3 4 2 2 2" xfId="43063" xr:uid="{451472EF-B5F5-4FFC-8B66-2CBCC190C6ED}"/>
    <cellStyle name="40% - Accent3 3 4 2 2 3" xfId="34616" xr:uid="{4CFD102F-8D4E-415A-BE33-E81C7B9C33AD}"/>
    <cellStyle name="40% - Accent3 3 4 2 2 4" xfId="26168" xr:uid="{A97FF21E-9AC1-4EFF-9A17-2697A10F4BFE}"/>
    <cellStyle name="40% - Accent3 3 4 2 2 5" xfId="16871" xr:uid="{752FB0A2-7678-4FF1-98A8-0A68EF0FA598}"/>
    <cellStyle name="40% - Accent3 3 4 2 3" xfId="38846" xr:uid="{D9493600-7EB4-45D5-B068-A6082FF8815D}"/>
    <cellStyle name="40% - Accent3 3 4 2 4" xfId="30398" xr:uid="{9224BDA3-B082-4BD4-BDF0-AF7FD17281E3}"/>
    <cellStyle name="40% - Accent3 3 4 2 5" xfId="21951" xr:uid="{1BEE7481-C20B-4958-924C-98A2A21D8C8A}"/>
    <cellStyle name="40% - Accent3 3 4 2 6" xfId="12654" xr:uid="{2367C35E-3DC1-4D3C-A58D-9798AFC39017}"/>
    <cellStyle name="40% - Accent3 3 4 3" xfId="5400" xr:uid="{00000000-0005-0000-0000-00006E050000}"/>
    <cellStyle name="40% - Accent3 3 4 3 2" xfId="40918" xr:uid="{CF9B4EB8-A4C8-460D-9D2C-363AC89E84CD}"/>
    <cellStyle name="40% - Accent3 3 4 3 3" xfId="32471" xr:uid="{137A4DCD-5EBF-477F-904A-55BDBA9D996A}"/>
    <cellStyle name="40% - Accent3 3 4 3 4" xfId="24023" xr:uid="{1EC484D0-D20C-4469-B2D8-91FE26FAFBDC}"/>
    <cellStyle name="40% - Accent3 3 4 3 5" xfId="14726" xr:uid="{E4B0AB90-5B85-4142-A50D-037ABA85CA23}"/>
    <cellStyle name="40% - Accent3 3 4 4" xfId="36701" xr:uid="{A2061A39-0577-403D-B6C2-5BF329BEFA42}"/>
    <cellStyle name="40% - Accent3 3 4 5" xfId="28253" xr:uid="{3DA0CE65-49A5-4FC6-AB46-FE898122014D}"/>
    <cellStyle name="40% - Accent3 3 4 6" xfId="19806" xr:uid="{C8740CD1-7281-4176-9505-0933EB582048}"/>
    <cellStyle name="40% - Accent3 3 4 7" xfId="10509" xr:uid="{50762654-E689-4149-B4A9-8CEB8FA26698}"/>
    <cellStyle name="40% - Accent3 3 5" xfId="1506" xr:uid="{00000000-0005-0000-0000-00006F050000}"/>
    <cellStyle name="40% - Accent3 3 5 2" xfId="3736" xr:uid="{00000000-0005-0000-0000-000070050000}"/>
    <cellStyle name="40% - Accent3 3 5 2 2" xfId="7958" xr:uid="{00000000-0005-0000-0000-000071050000}"/>
    <cellStyle name="40% - Accent3 3 5 2 2 2" xfId="43476" xr:uid="{6E482E90-FE58-43C1-BA2B-91001D95546F}"/>
    <cellStyle name="40% - Accent3 3 5 2 2 3" xfId="35029" xr:uid="{08CA6809-E50C-4F3B-A3B7-6BBFFFB0BB87}"/>
    <cellStyle name="40% - Accent3 3 5 2 2 4" xfId="26581" xr:uid="{FE4E14FE-E455-462D-BF08-61F0689B725F}"/>
    <cellStyle name="40% - Accent3 3 5 2 2 5" xfId="17284" xr:uid="{9DB3A05A-6C4B-469E-A15B-49E617D241B6}"/>
    <cellStyle name="40% - Accent3 3 5 2 3" xfId="39259" xr:uid="{EAEE8D90-7707-4BAA-8316-75ADA7B6F41A}"/>
    <cellStyle name="40% - Accent3 3 5 2 4" xfId="30811" xr:uid="{D247E701-E031-477F-A482-110C589B4632}"/>
    <cellStyle name="40% - Accent3 3 5 2 5" xfId="22364" xr:uid="{FAB0E931-07DE-4E6F-B06E-4F9EF60A841B}"/>
    <cellStyle name="40% - Accent3 3 5 2 6" xfId="13067" xr:uid="{CABA8D45-74BC-49EE-AE8B-C2447E6D14C1}"/>
    <cellStyle name="40% - Accent3 3 5 3" xfId="5813" xr:uid="{00000000-0005-0000-0000-000072050000}"/>
    <cellStyle name="40% - Accent3 3 5 3 2" xfId="41331" xr:uid="{D464A0A1-8EF1-4BE6-BCBB-E287C3867107}"/>
    <cellStyle name="40% - Accent3 3 5 3 3" xfId="32884" xr:uid="{2D7892FB-6BB4-4BB9-B5ED-E9123FF5F0AE}"/>
    <cellStyle name="40% - Accent3 3 5 3 4" xfId="24436" xr:uid="{59B5046B-1821-4F56-BC4B-C920519D7AA2}"/>
    <cellStyle name="40% - Accent3 3 5 3 5" xfId="15139" xr:uid="{5F1F2EBB-8A03-44D0-ABC1-EDB739B1D3B5}"/>
    <cellStyle name="40% - Accent3 3 5 4" xfId="37114" xr:uid="{D8AC0FFE-6EDE-4D0B-A5DB-F0310F17C7D7}"/>
    <cellStyle name="40% - Accent3 3 5 5" xfId="28666" xr:uid="{C3001DF7-E9DB-416E-9242-9BCFB5B23C33}"/>
    <cellStyle name="40% - Accent3 3 5 6" xfId="20219" xr:uid="{D891CFDE-3D93-4B06-A1A2-698920F860DA}"/>
    <cellStyle name="40% - Accent3 3 5 7" xfId="10922" xr:uid="{E0AB524C-4BB7-4903-975F-73C08C840944}"/>
    <cellStyle name="40% - Accent3 3 6" xfId="1920" xr:uid="{00000000-0005-0000-0000-000073050000}"/>
    <cellStyle name="40% - Accent3 3 6 2" xfId="4149" xr:uid="{00000000-0005-0000-0000-000074050000}"/>
    <cellStyle name="40% - Accent3 3 6 2 2" xfId="8371" xr:uid="{00000000-0005-0000-0000-000075050000}"/>
    <cellStyle name="40% - Accent3 3 6 2 2 2" xfId="43889" xr:uid="{D5FFC407-91E0-4267-AE6B-E7BA759E36A3}"/>
    <cellStyle name="40% - Accent3 3 6 2 2 3" xfId="35442" xr:uid="{F3A453C3-BF1C-42E1-B27D-ED2D0DF4C81A}"/>
    <cellStyle name="40% - Accent3 3 6 2 2 4" xfId="26994" xr:uid="{7D9383F0-9007-4D36-9E1A-5714AD1E4FC1}"/>
    <cellStyle name="40% - Accent3 3 6 2 2 5" xfId="17697" xr:uid="{647C48A8-022A-4518-A817-37C2EEC0AFC7}"/>
    <cellStyle name="40% - Accent3 3 6 2 3" xfId="39672" xr:uid="{A86184C0-3A6C-4D9A-92B8-DCE88693AF8E}"/>
    <cellStyle name="40% - Accent3 3 6 2 4" xfId="31224" xr:uid="{7A4C2CD0-7CA2-45EF-90EC-86192BB370F7}"/>
    <cellStyle name="40% - Accent3 3 6 2 5" xfId="22777" xr:uid="{3018FA50-C8BD-4D3E-9484-3F5F5286DDBF}"/>
    <cellStyle name="40% - Accent3 3 6 2 6" xfId="13480" xr:uid="{64E2C046-317E-4696-B2C6-29BCCDB179A9}"/>
    <cellStyle name="40% - Accent3 3 6 3" xfId="6226" xr:uid="{00000000-0005-0000-0000-000076050000}"/>
    <cellStyle name="40% - Accent3 3 6 3 2" xfId="41744" xr:uid="{D0BDA7EA-5E5C-4CF0-BC1F-F007DB926AC9}"/>
    <cellStyle name="40% - Accent3 3 6 3 3" xfId="33297" xr:uid="{01BBDB30-E460-43ED-9080-8348886E11B5}"/>
    <cellStyle name="40% - Accent3 3 6 3 4" xfId="24849" xr:uid="{C8F4B709-C1B7-42E6-9FD4-2D6FF733AAAA}"/>
    <cellStyle name="40% - Accent3 3 6 3 5" xfId="15552" xr:uid="{5133D386-7E3D-4159-9FFC-74D4E7D93DE3}"/>
    <cellStyle name="40% - Accent3 3 6 4" xfId="37527" xr:uid="{692675AF-E1DA-4F52-B2E8-3A28880CE803}"/>
    <cellStyle name="40% - Accent3 3 6 5" xfId="29079" xr:uid="{991D6274-C284-40EA-88F6-9FFFCD22D07D}"/>
    <cellStyle name="40% - Accent3 3 6 6" xfId="20632" xr:uid="{D297D696-0EC2-4AAA-9BAB-A1FACB649EBE}"/>
    <cellStyle name="40% - Accent3 3 6 7" xfId="11335" xr:uid="{2C7C6B45-46FF-45D8-805B-55925BBF4F92}"/>
    <cellStyle name="40% - Accent3 3 7" xfId="2333" xr:uid="{00000000-0005-0000-0000-000077050000}"/>
    <cellStyle name="40% - Accent3 3 7 2" xfId="6639" xr:uid="{00000000-0005-0000-0000-000078050000}"/>
    <cellStyle name="40% - Accent3 3 7 2 2" xfId="42157" xr:uid="{BC6547B8-E6AA-4A00-B114-D772520004E9}"/>
    <cellStyle name="40% - Accent3 3 7 2 3" xfId="33710" xr:uid="{2881984D-4CCE-4987-808F-E0AEA18D6466}"/>
    <cellStyle name="40% - Accent3 3 7 2 4" xfId="25262" xr:uid="{DB477305-48AE-406F-B7C2-C4A561EC7043}"/>
    <cellStyle name="40% - Accent3 3 7 2 5" xfId="15965" xr:uid="{489D09C2-1F10-4517-838E-8A00576DA921}"/>
    <cellStyle name="40% - Accent3 3 7 3" xfId="37940" xr:uid="{70A66CF5-F31C-4C47-87E2-526F97DD65E8}"/>
    <cellStyle name="40% - Accent3 3 7 4" xfId="29492" xr:uid="{517381CE-B845-4640-B87C-32B7814F1740}"/>
    <cellStyle name="40% - Accent3 3 7 5" xfId="21045" xr:uid="{49D7EC2F-117B-4D5F-98F1-1494631D0235}"/>
    <cellStyle name="40% - Accent3 3 7 6" xfId="11748" xr:uid="{B3BC3CFA-51B1-40AA-B6B7-F47A4006C4E3}"/>
    <cellStyle name="40% - Accent3 3 8" xfId="4573" xr:uid="{00000000-0005-0000-0000-000079050000}"/>
    <cellStyle name="40% - Accent3 3 8 2" xfId="40091" xr:uid="{1C5BC9BC-C325-45A9-8178-36BD1F5582BB}"/>
    <cellStyle name="40% - Accent3 3 8 3" xfId="31644" xr:uid="{D6AD5ECA-426F-4606-A688-49E1A3E34D81}"/>
    <cellStyle name="40% - Accent3 3 8 4" xfId="23196" xr:uid="{CC060AA9-7BDC-49E1-9C86-C03C6297BACF}"/>
    <cellStyle name="40% - Accent3 3 8 5" xfId="13899" xr:uid="{ECB6A9F3-0A8F-4085-9DBD-AF54044833F6}"/>
    <cellStyle name="40% - Accent3 3 9" xfId="8866" xr:uid="{1A1EF43E-4A2B-42A8-98A3-CEC34DD3B00D}"/>
    <cellStyle name="40% - Accent3 3 9 2" xfId="35874" xr:uid="{90F7C01F-6A59-4BCE-A483-4DD9E4F75A4B}"/>
    <cellStyle name="40% - Accent3 3 9 3" xfId="18189" xr:uid="{22EB8F3B-3C67-497A-86AA-60C40586F155}"/>
    <cellStyle name="40% - Accent3 4" xfId="72" xr:uid="{00000000-0005-0000-0000-00007A050000}"/>
    <cellStyle name="40% - Accent3 4 10" xfId="18981" xr:uid="{82363D88-F3DD-4733-A48D-0E5214E73293}"/>
    <cellStyle name="40% - Accent3 4 11" xfId="9684" xr:uid="{D9A98691-56A5-433C-8946-6F4B20E74C60}"/>
    <cellStyle name="40% - Accent3 4 2" xfId="641" xr:uid="{00000000-0005-0000-0000-00007B050000}"/>
    <cellStyle name="40% - Accent3 4 2 2" xfId="2912" xr:uid="{00000000-0005-0000-0000-00007C050000}"/>
    <cellStyle name="40% - Accent3 4 2 2 2" xfId="7134" xr:uid="{00000000-0005-0000-0000-00007D050000}"/>
    <cellStyle name="40% - Accent3 4 2 2 2 2" xfId="42652" xr:uid="{DE580A2B-AB62-49FD-8819-064975E31E3D}"/>
    <cellStyle name="40% - Accent3 4 2 2 2 3" xfId="34205" xr:uid="{52CFA19D-20FF-4EBE-84AA-C8DFD125F6F7}"/>
    <cellStyle name="40% - Accent3 4 2 2 2 4" xfId="25757" xr:uid="{373ED7F3-5966-4019-B1AE-11768061580F}"/>
    <cellStyle name="40% - Accent3 4 2 2 2 5" xfId="16460" xr:uid="{2D3CC0BD-154F-458A-85D8-1AE96EB67E01}"/>
    <cellStyle name="40% - Accent3 4 2 2 3" xfId="38435" xr:uid="{09AC9E16-925E-4625-97EC-83264ED37A0A}"/>
    <cellStyle name="40% - Accent3 4 2 2 4" xfId="29987" xr:uid="{6439F4E5-7D06-41CD-990A-292853F5C7C1}"/>
    <cellStyle name="40% - Accent3 4 2 2 5" xfId="21540" xr:uid="{7A1F44FD-91BD-469B-A1C6-FA8E32F81F64}"/>
    <cellStyle name="40% - Accent3 4 2 2 6" xfId="12243" xr:uid="{0CCCB23A-9385-4E4B-92EE-B403622EAF65}"/>
    <cellStyle name="40% - Accent3 4 2 3" xfId="4989" xr:uid="{00000000-0005-0000-0000-00007E050000}"/>
    <cellStyle name="40% - Accent3 4 2 3 2" xfId="40507" xr:uid="{731278D0-B207-4D34-88F9-8FA3F95B0908}"/>
    <cellStyle name="40% - Accent3 4 2 3 3" xfId="32060" xr:uid="{7772C14B-063E-49E5-BC28-C79B00889C9A}"/>
    <cellStyle name="40% - Accent3 4 2 3 4" xfId="23612" xr:uid="{84EC4F8C-59C8-41E6-8E1F-B62CA95313A5}"/>
    <cellStyle name="40% - Accent3 4 2 3 5" xfId="14315" xr:uid="{EA034048-BFF8-4DCB-B317-57A0949D1707}"/>
    <cellStyle name="40% - Accent3 4 2 4" xfId="9377" xr:uid="{F4393833-4E73-4685-9332-CF918D5239A9}"/>
    <cellStyle name="40% - Accent3 4 2 4 2" xfId="36290" xr:uid="{A457CD33-DCAA-45C6-8A55-9D79A9867E36}"/>
    <cellStyle name="40% - Accent3 4 2 4 3" xfId="18690" xr:uid="{7EFB6CB8-39F8-4DB9-9084-6E6F589A4C56}"/>
    <cellStyle name="40% - Accent3 4 2 5" xfId="27842" xr:uid="{6FB4152F-4BEE-487F-87C7-7B90DA863540}"/>
    <cellStyle name="40% - Accent3 4 2 6" xfId="19395" xr:uid="{9EB5B6E8-7DC7-42EA-ABB2-60BD33864D03}"/>
    <cellStyle name="40% - Accent3 4 2 7" xfId="10098" xr:uid="{C47B1ED0-6734-487E-97A7-DF50A002293C}"/>
    <cellStyle name="40% - Accent3 4 3" xfId="1094" xr:uid="{00000000-0005-0000-0000-00007F050000}"/>
    <cellStyle name="40% - Accent3 4 3 2" xfId="3325" xr:uid="{00000000-0005-0000-0000-000080050000}"/>
    <cellStyle name="40% - Accent3 4 3 2 2" xfId="7547" xr:uid="{00000000-0005-0000-0000-000081050000}"/>
    <cellStyle name="40% - Accent3 4 3 2 2 2" xfId="43065" xr:uid="{5ECBE5E8-E7C5-4A25-A539-92262A1CE71D}"/>
    <cellStyle name="40% - Accent3 4 3 2 2 3" xfId="34618" xr:uid="{1375232E-2F19-41B7-AD9B-9C0F56347B4A}"/>
    <cellStyle name="40% - Accent3 4 3 2 2 4" xfId="26170" xr:uid="{4A4047BA-021E-4DF8-9A96-BE6C647EB14E}"/>
    <cellStyle name="40% - Accent3 4 3 2 2 5" xfId="16873" xr:uid="{AE012773-4CD7-49F3-AE61-F923281E7CFF}"/>
    <cellStyle name="40% - Accent3 4 3 2 3" xfId="38848" xr:uid="{D3C63859-330C-4B29-B3D0-44F713AAD556}"/>
    <cellStyle name="40% - Accent3 4 3 2 4" xfId="30400" xr:uid="{21FBB7E7-D93D-4594-95F4-6AD483240ECB}"/>
    <cellStyle name="40% - Accent3 4 3 2 5" xfId="21953" xr:uid="{A2E36CA3-3CF2-41D6-8F46-85AC78C7C5AE}"/>
    <cellStyle name="40% - Accent3 4 3 2 6" xfId="12656" xr:uid="{121A294C-818D-4776-8803-4DAE6C4BAF84}"/>
    <cellStyle name="40% - Accent3 4 3 3" xfId="5402" xr:uid="{00000000-0005-0000-0000-000082050000}"/>
    <cellStyle name="40% - Accent3 4 3 3 2" xfId="40920" xr:uid="{66DCE443-F3DD-41CD-BF27-49B15403EDAD}"/>
    <cellStyle name="40% - Accent3 4 3 3 3" xfId="32473" xr:uid="{859A897C-5F84-4EBA-BF31-5E1D1ECC9672}"/>
    <cellStyle name="40% - Accent3 4 3 3 4" xfId="24025" xr:uid="{207D6BA6-09C3-465B-886A-D724B657D23A}"/>
    <cellStyle name="40% - Accent3 4 3 3 5" xfId="14728" xr:uid="{A0C50212-501D-42BF-9C65-51D8E36E9E26}"/>
    <cellStyle name="40% - Accent3 4 3 4" xfId="36703" xr:uid="{0E5E2CCE-8DCE-47D3-A204-110E74D32BA4}"/>
    <cellStyle name="40% - Accent3 4 3 5" xfId="28255" xr:uid="{39063928-72CD-4DE1-BA72-C2A275039DF3}"/>
    <cellStyle name="40% - Accent3 4 3 6" xfId="19808" xr:uid="{C86673D6-8B69-4B2C-B856-B11DF605E7D4}"/>
    <cellStyle name="40% - Accent3 4 3 7" xfId="10511" xr:uid="{E6ADD8F2-29EC-422B-A01C-584FD1DFFFBC}"/>
    <cellStyle name="40% - Accent3 4 4" xfId="1508" xr:uid="{00000000-0005-0000-0000-000083050000}"/>
    <cellStyle name="40% - Accent3 4 4 2" xfId="3738" xr:uid="{00000000-0005-0000-0000-000084050000}"/>
    <cellStyle name="40% - Accent3 4 4 2 2" xfId="7960" xr:uid="{00000000-0005-0000-0000-000085050000}"/>
    <cellStyle name="40% - Accent3 4 4 2 2 2" xfId="43478" xr:uid="{991FBC6E-3D60-4A3D-B5D5-DE712CC722AC}"/>
    <cellStyle name="40% - Accent3 4 4 2 2 3" xfId="35031" xr:uid="{74FBFAE6-9958-4605-BF68-53C16C31CF99}"/>
    <cellStyle name="40% - Accent3 4 4 2 2 4" xfId="26583" xr:uid="{B1E5B742-9206-4D2E-83A3-C187DF28FCD4}"/>
    <cellStyle name="40% - Accent3 4 4 2 2 5" xfId="17286" xr:uid="{DBFB39FB-A0A6-4061-92B7-6450C9451ECC}"/>
    <cellStyle name="40% - Accent3 4 4 2 3" xfId="39261" xr:uid="{0B44A11F-404D-43A5-A3F9-ABAFC646E6F1}"/>
    <cellStyle name="40% - Accent3 4 4 2 4" xfId="30813" xr:uid="{9B6712CA-7D4F-4C76-BB9D-77807C9EF52A}"/>
    <cellStyle name="40% - Accent3 4 4 2 5" xfId="22366" xr:uid="{A4FFDDC7-8BCB-4C86-A02E-209E008B36C8}"/>
    <cellStyle name="40% - Accent3 4 4 2 6" xfId="13069" xr:uid="{A0F88BED-45E2-43A9-B623-FBE8CE9BDC22}"/>
    <cellStyle name="40% - Accent3 4 4 3" xfId="5815" xr:uid="{00000000-0005-0000-0000-000086050000}"/>
    <cellStyle name="40% - Accent3 4 4 3 2" xfId="41333" xr:uid="{D0D1B1D0-BD02-4F71-813B-070AA50E4E12}"/>
    <cellStyle name="40% - Accent3 4 4 3 3" xfId="32886" xr:uid="{E19F7C15-EBA4-42C9-8BB8-1C98959D4763}"/>
    <cellStyle name="40% - Accent3 4 4 3 4" xfId="24438" xr:uid="{541B8664-362B-4F62-BA83-D115797F1A23}"/>
    <cellStyle name="40% - Accent3 4 4 3 5" xfId="15141" xr:uid="{D39E3165-4697-4014-8E81-BCDBCDC36E03}"/>
    <cellStyle name="40% - Accent3 4 4 4" xfId="37116" xr:uid="{7B5867C1-AABF-4883-8276-F08C801FED20}"/>
    <cellStyle name="40% - Accent3 4 4 5" xfId="28668" xr:uid="{1EEE3D9F-2C41-464B-91DD-AF5FDCF6423B}"/>
    <cellStyle name="40% - Accent3 4 4 6" xfId="20221" xr:uid="{A884D2A8-CF1C-4F76-BC50-62F4BF2F5D7A}"/>
    <cellStyle name="40% - Accent3 4 4 7" xfId="10924" xr:uid="{0D12423D-1AED-446E-AF1A-9E3756A18396}"/>
    <cellStyle name="40% - Accent3 4 5" xfId="1922" xr:uid="{00000000-0005-0000-0000-000087050000}"/>
    <cellStyle name="40% - Accent3 4 5 2" xfId="4151" xr:uid="{00000000-0005-0000-0000-000088050000}"/>
    <cellStyle name="40% - Accent3 4 5 2 2" xfId="8373" xr:uid="{00000000-0005-0000-0000-000089050000}"/>
    <cellStyle name="40% - Accent3 4 5 2 2 2" xfId="43891" xr:uid="{434FE7D3-303F-4D2A-AA3F-16767107EF7B}"/>
    <cellStyle name="40% - Accent3 4 5 2 2 3" xfId="35444" xr:uid="{4FDD4CA8-2838-42AD-B8C3-FEBD88B0A56B}"/>
    <cellStyle name="40% - Accent3 4 5 2 2 4" xfId="26996" xr:uid="{6DEE693A-2BB2-4AED-AD05-8DB1E328C665}"/>
    <cellStyle name="40% - Accent3 4 5 2 2 5" xfId="17699" xr:uid="{9476A88D-3CD4-46D8-AE9A-A420530657B9}"/>
    <cellStyle name="40% - Accent3 4 5 2 3" xfId="39674" xr:uid="{92EF437C-A599-4351-94D3-92F79578B29F}"/>
    <cellStyle name="40% - Accent3 4 5 2 4" xfId="31226" xr:uid="{47919362-C9E3-4A0A-A317-9ECE8E933DC0}"/>
    <cellStyle name="40% - Accent3 4 5 2 5" xfId="22779" xr:uid="{B7E0116E-ED32-4417-85CB-17BC9B646242}"/>
    <cellStyle name="40% - Accent3 4 5 2 6" xfId="13482" xr:uid="{BB61EE12-9434-4EFC-9A3A-EA56DFBEE44F}"/>
    <cellStyle name="40% - Accent3 4 5 3" xfId="6228" xr:uid="{00000000-0005-0000-0000-00008A050000}"/>
    <cellStyle name="40% - Accent3 4 5 3 2" xfId="41746" xr:uid="{C8E485E6-5364-4593-9A6A-2D6A2AAAFEE8}"/>
    <cellStyle name="40% - Accent3 4 5 3 3" xfId="33299" xr:uid="{7E11F2F5-28FD-4A4C-8199-A83A52A55D98}"/>
    <cellStyle name="40% - Accent3 4 5 3 4" xfId="24851" xr:uid="{1C744EC1-1E2F-436D-9FC2-8C2D884B3058}"/>
    <cellStyle name="40% - Accent3 4 5 3 5" xfId="15554" xr:uid="{0C03D6B1-693E-49F2-AA89-EDECD26B36BA}"/>
    <cellStyle name="40% - Accent3 4 5 4" xfId="37529" xr:uid="{4BF1A6FD-D1DE-4C11-8433-0BDB7D83AD39}"/>
    <cellStyle name="40% - Accent3 4 5 5" xfId="29081" xr:uid="{BCBA0FEF-2B5E-441A-820A-5DFA8FF9F013}"/>
    <cellStyle name="40% - Accent3 4 5 6" xfId="20634" xr:uid="{34C50AFC-91D7-4725-B802-624F1B1A1F08}"/>
    <cellStyle name="40% - Accent3 4 5 7" xfId="11337" xr:uid="{AD9653C7-7F46-426F-ADB3-71A715ADA604}"/>
    <cellStyle name="40% - Accent3 4 6" xfId="2335" xr:uid="{00000000-0005-0000-0000-00008B050000}"/>
    <cellStyle name="40% - Accent3 4 6 2" xfId="6641" xr:uid="{00000000-0005-0000-0000-00008C050000}"/>
    <cellStyle name="40% - Accent3 4 6 2 2" xfId="42159" xr:uid="{D13505A1-794E-4802-8184-B10F36AD3164}"/>
    <cellStyle name="40% - Accent3 4 6 2 3" xfId="33712" xr:uid="{C868D7BB-0DDC-43A2-B3FA-921B9538B419}"/>
    <cellStyle name="40% - Accent3 4 6 2 4" xfId="25264" xr:uid="{122F8EA8-977F-4274-BC5D-EFD2F60D7208}"/>
    <cellStyle name="40% - Accent3 4 6 2 5" xfId="15967" xr:uid="{63DDE58A-8455-42A5-8757-E3C2E034CA85}"/>
    <cellStyle name="40% - Accent3 4 6 3" xfId="37942" xr:uid="{AF9F1C7B-E211-44D4-A69E-BFAEDEF0A4E4}"/>
    <cellStyle name="40% - Accent3 4 6 4" xfId="29494" xr:uid="{7BA232F2-7764-43EB-BB47-861C7D71CDDB}"/>
    <cellStyle name="40% - Accent3 4 6 5" xfId="21047" xr:uid="{8E003700-F743-45BB-A232-481830827E00}"/>
    <cellStyle name="40% - Accent3 4 6 6" xfId="11750" xr:uid="{8192C854-907B-42C7-9B82-18C22648099B}"/>
    <cellStyle name="40% - Accent3 4 7" xfId="4575" xr:uid="{00000000-0005-0000-0000-00008D050000}"/>
    <cellStyle name="40% - Accent3 4 7 2" xfId="40093" xr:uid="{698D7334-511E-4F94-BBEB-F3857C0359E1}"/>
    <cellStyle name="40% - Accent3 4 7 3" xfId="31646" xr:uid="{A38ED6B1-DF0E-47D5-B5BD-0905C767152A}"/>
    <cellStyle name="40% - Accent3 4 7 4" xfId="23198" xr:uid="{B1A781E7-E5A1-4245-8915-8B88C2D31A1A}"/>
    <cellStyle name="40% - Accent3 4 7 5" xfId="13901" xr:uid="{AE6C70F4-D96D-462D-892D-8C22DE914399}"/>
    <cellStyle name="40% - Accent3 4 8" xfId="8952" xr:uid="{74BF8F1E-4A34-4787-9BA1-0B97E446635F}"/>
    <cellStyle name="40% - Accent3 4 8 2" xfId="35876" xr:uid="{A3D34DC4-499F-4207-AF9A-981E83343B15}"/>
    <cellStyle name="40% - Accent3 4 8 3" xfId="18275" xr:uid="{4494A1E5-21A4-4B0D-B403-5A174A5885B8}"/>
    <cellStyle name="40% - Accent3 4 9" xfId="27428" xr:uid="{D6DF6D48-3319-49DA-9574-E659CDD1CD69}"/>
    <cellStyle name="40% - Accent3 5" xfId="634" xr:uid="{00000000-0005-0000-0000-00008E050000}"/>
    <cellStyle name="40% - Accent3 5 2" xfId="2905" xr:uid="{00000000-0005-0000-0000-00008F050000}"/>
    <cellStyle name="40% - Accent3 5 2 2" xfId="7127" xr:uid="{00000000-0005-0000-0000-000090050000}"/>
    <cellStyle name="40% - Accent3 5 2 2 2" xfId="42645" xr:uid="{0ABF1C80-A891-4CD8-906E-3BC68F5CF798}"/>
    <cellStyle name="40% - Accent3 5 2 2 3" xfId="34198" xr:uid="{B0EA12E2-197F-4B80-B614-CB9CC228458E}"/>
    <cellStyle name="40% - Accent3 5 2 2 4" xfId="25750" xr:uid="{EB783D37-EB74-4099-8680-FDC849FA7BE5}"/>
    <cellStyle name="40% - Accent3 5 2 2 5" xfId="16453" xr:uid="{078FDE76-A8FD-48DD-97DF-44DE994634B3}"/>
    <cellStyle name="40% - Accent3 5 2 3" xfId="38428" xr:uid="{A2CD8194-A9F4-4C16-BA63-162F2A2CB05C}"/>
    <cellStyle name="40% - Accent3 5 2 4" xfId="29980" xr:uid="{871E6545-2B2D-4A9D-814E-1A288D413ACB}"/>
    <cellStyle name="40% - Accent3 5 2 5" xfId="21533" xr:uid="{AB040F0D-A92B-4AD7-8862-CD4A1D5FA1F8}"/>
    <cellStyle name="40% - Accent3 5 2 6" xfId="12236" xr:uid="{192396E6-30E7-492E-954B-3C3DE622AA54}"/>
    <cellStyle name="40% - Accent3 5 3" xfId="4982" xr:uid="{00000000-0005-0000-0000-000091050000}"/>
    <cellStyle name="40% - Accent3 5 3 2" xfId="40500" xr:uid="{224041E2-FDF6-4018-8708-AF6CBD3D0542}"/>
    <cellStyle name="40% - Accent3 5 3 3" xfId="32053" xr:uid="{1238AB25-55C4-49D2-A1BE-98527D5BE70F}"/>
    <cellStyle name="40% - Accent3 5 3 4" xfId="23605" xr:uid="{B8EB8CF7-FF64-48AD-A231-C821BAC41626}"/>
    <cellStyle name="40% - Accent3 5 3 5" xfId="14308" xr:uid="{B499D53C-4B30-4DE1-82D3-01337AD25D58}"/>
    <cellStyle name="40% - Accent3 5 4" xfId="9185" xr:uid="{526F025D-EBF7-4976-9E38-4C0631A2843B}"/>
    <cellStyle name="40% - Accent3 5 4 2" xfId="36283" xr:uid="{568D8142-3A37-4D6D-A353-A25EE7289447}"/>
    <cellStyle name="40% - Accent3 5 4 3" xfId="18501" xr:uid="{CBFE3576-1EE4-4EDA-8123-AEF5C7CE8513}"/>
    <cellStyle name="40% - Accent3 5 5" xfId="27835" xr:uid="{75B1B2EE-4319-41CB-AD55-EBE31522774E}"/>
    <cellStyle name="40% - Accent3 5 6" xfId="19388" xr:uid="{35C48F4B-861D-46D8-A8F1-16B08F7BEAA2}"/>
    <cellStyle name="40% - Accent3 5 7" xfId="10091" xr:uid="{28BACCA5-B079-41B3-9646-AB9DA9485242}"/>
    <cellStyle name="40% - Accent3 6" xfId="1087" xr:uid="{00000000-0005-0000-0000-000092050000}"/>
    <cellStyle name="40% - Accent3 6 2" xfId="3318" xr:uid="{00000000-0005-0000-0000-000093050000}"/>
    <cellStyle name="40% - Accent3 6 2 2" xfId="7540" xr:uid="{00000000-0005-0000-0000-000094050000}"/>
    <cellStyle name="40% - Accent3 6 2 2 2" xfId="43058" xr:uid="{9743B61A-2C01-4F8F-9431-92CB7C445470}"/>
    <cellStyle name="40% - Accent3 6 2 2 3" xfId="34611" xr:uid="{106A0438-CC26-4567-8DAA-52E81BB1C300}"/>
    <cellStyle name="40% - Accent3 6 2 2 4" xfId="26163" xr:uid="{5256F5C3-24AF-4DED-9C13-9EF127550648}"/>
    <cellStyle name="40% - Accent3 6 2 2 5" xfId="16866" xr:uid="{5F81F436-C621-40E9-B349-00A14736EAED}"/>
    <cellStyle name="40% - Accent3 6 2 3" xfId="38841" xr:uid="{2B513EE6-999F-4AB4-8688-B4059C3CB065}"/>
    <cellStyle name="40% - Accent3 6 2 4" xfId="30393" xr:uid="{DE64FAB0-9DA7-42AD-9FB5-6B6A8EB171F9}"/>
    <cellStyle name="40% - Accent3 6 2 5" xfId="21946" xr:uid="{839D1785-D2E2-4C73-9AFB-C37C9E64A113}"/>
    <cellStyle name="40% - Accent3 6 2 6" xfId="12649" xr:uid="{6C0C0B03-6C82-4A13-962A-ED4B5AECE0A2}"/>
    <cellStyle name="40% - Accent3 6 3" xfId="5395" xr:uid="{00000000-0005-0000-0000-000095050000}"/>
    <cellStyle name="40% - Accent3 6 3 2" xfId="40913" xr:uid="{17F21B65-145C-4A38-8351-5EEC11D5365F}"/>
    <cellStyle name="40% - Accent3 6 3 3" xfId="32466" xr:uid="{7D18B8BD-CAD3-482B-B7EB-849899215910}"/>
    <cellStyle name="40% - Accent3 6 3 4" xfId="24018" xr:uid="{74D97083-905B-4A3E-8C0E-3B258F559F3E}"/>
    <cellStyle name="40% - Accent3 6 3 5" xfId="14721" xr:uid="{7FC6DB5A-50B9-4CEE-A0D5-C408195B17BB}"/>
    <cellStyle name="40% - Accent3 6 4" xfId="36696" xr:uid="{BB1FBCC9-8017-48D8-9B0A-19F864260D53}"/>
    <cellStyle name="40% - Accent3 6 5" xfId="28248" xr:uid="{3DE58113-3557-45BB-8D0B-3863B92FF42D}"/>
    <cellStyle name="40% - Accent3 6 6" xfId="19801" xr:uid="{0C5A3152-AA06-44A0-8AB4-4E1BD036878D}"/>
    <cellStyle name="40% - Accent3 6 7" xfId="10504" xr:uid="{64B2A1FE-4E43-4B0E-8E8C-3697A2E703B3}"/>
    <cellStyle name="40% - Accent3 7" xfId="1501" xr:uid="{00000000-0005-0000-0000-000096050000}"/>
    <cellStyle name="40% - Accent3 7 2" xfId="3731" xr:uid="{00000000-0005-0000-0000-000097050000}"/>
    <cellStyle name="40% - Accent3 7 2 2" xfId="7953" xr:uid="{00000000-0005-0000-0000-000098050000}"/>
    <cellStyle name="40% - Accent3 7 2 2 2" xfId="43471" xr:uid="{819686F6-229B-4DF4-A609-F3EE78A25E0D}"/>
    <cellStyle name="40% - Accent3 7 2 2 3" xfId="35024" xr:uid="{6D64D938-9803-4196-87D9-A218E0031C00}"/>
    <cellStyle name="40% - Accent3 7 2 2 4" xfId="26576" xr:uid="{05C6B1D3-574E-49F8-8542-9C00FEE65372}"/>
    <cellStyle name="40% - Accent3 7 2 2 5" xfId="17279" xr:uid="{3B254415-01F1-4F68-BFBB-97924C26CBBF}"/>
    <cellStyle name="40% - Accent3 7 2 3" xfId="39254" xr:uid="{5EF0316F-9418-4193-8E66-CBA90103AFE6}"/>
    <cellStyle name="40% - Accent3 7 2 4" xfId="30806" xr:uid="{DE6CB70D-FCA5-44C1-BB76-96EA4D399400}"/>
    <cellStyle name="40% - Accent3 7 2 5" xfId="22359" xr:uid="{C315F0A5-4C88-4FF9-9895-70D226ACC14B}"/>
    <cellStyle name="40% - Accent3 7 2 6" xfId="13062" xr:uid="{D018611A-86D7-4A8F-A0AE-46061830EF7D}"/>
    <cellStyle name="40% - Accent3 7 3" xfId="5808" xr:uid="{00000000-0005-0000-0000-000099050000}"/>
    <cellStyle name="40% - Accent3 7 3 2" xfId="41326" xr:uid="{5EC592EE-0523-4D84-A22D-0DB57A065F42}"/>
    <cellStyle name="40% - Accent3 7 3 3" xfId="32879" xr:uid="{5FDC0B01-F7AA-4DB1-AB1B-FA68D2016528}"/>
    <cellStyle name="40% - Accent3 7 3 4" xfId="24431" xr:uid="{4CE036DB-8567-465B-8509-1DDF6BCFB50D}"/>
    <cellStyle name="40% - Accent3 7 3 5" xfId="15134" xr:uid="{D2C0ACF8-051D-4D21-9339-B0B890714311}"/>
    <cellStyle name="40% - Accent3 7 4" xfId="37109" xr:uid="{28E11CA9-E2A2-42B6-A408-6FD9BB92A639}"/>
    <cellStyle name="40% - Accent3 7 5" xfId="28661" xr:uid="{686B7D81-3456-4900-B437-9B4FE07CBD9B}"/>
    <cellStyle name="40% - Accent3 7 6" xfId="20214" xr:uid="{98013639-225C-49FA-BAE1-B47F20FB6DC9}"/>
    <cellStyle name="40% - Accent3 7 7" xfId="10917" xr:uid="{EECD8300-26B7-434C-B201-A59C6199202A}"/>
    <cellStyle name="40% - Accent3 8" xfId="1915" xr:uid="{00000000-0005-0000-0000-00009A050000}"/>
    <cellStyle name="40% - Accent3 8 2" xfId="4144" xr:uid="{00000000-0005-0000-0000-00009B050000}"/>
    <cellStyle name="40% - Accent3 8 2 2" xfId="8366" xr:uid="{00000000-0005-0000-0000-00009C050000}"/>
    <cellStyle name="40% - Accent3 8 2 2 2" xfId="43884" xr:uid="{4F4A13F8-B2BB-4209-83FD-83913E1B5977}"/>
    <cellStyle name="40% - Accent3 8 2 2 3" xfId="35437" xr:uid="{10648CD8-63DA-4433-B378-59C143E3177C}"/>
    <cellStyle name="40% - Accent3 8 2 2 4" xfId="26989" xr:uid="{433603F8-6D13-4D4C-A131-B1AB83C16C35}"/>
    <cellStyle name="40% - Accent3 8 2 2 5" xfId="17692" xr:uid="{1B87FDE7-7E81-42F6-985B-2CF5737187E9}"/>
    <cellStyle name="40% - Accent3 8 2 3" xfId="39667" xr:uid="{02078A65-879A-4388-A071-F1AA2E0B5E79}"/>
    <cellStyle name="40% - Accent3 8 2 4" xfId="31219" xr:uid="{A32F30CA-A1B0-4FD5-B1BA-A78018FC53FF}"/>
    <cellStyle name="40% - Accent3 8 2 5" xfId="22772" xr:uid="{7E1332AA-FD93-4872-9AB1-28F669AB0E52}"/>
    <cellStyle name="40% - Accent3 8 2 6" xfId="13475" xr:uid="{8AFDB1A2-C9F4-4805-9B54-6F0DA8860B91}"/>
    <cellStyle name="40% - Accent3 8 3" xfId="6221" xr:uid="{00000000-0005-0000-0000-00009D050000}"/>
    <cellStyle name="40% - Accent3 8 3 2" xfId="41739" xr:uid="{7D7AD780-5EF1-4A3D-8E55-3B8E81DB7FEF}"/>
    <cellStyle name="40% - Accent3 8 3 3" xfId="33292" xr:uid="{F5A0C5D6-485B-42DA-8E4E-8E9185D8C0D8}"/>
    <cellStyle name="40% - Accent3 8 3 4" xfId="24844" xr:uid="{2C0820EA-B1AB-439F-B826-F15D774588DE}"/>
    <cellStyle name="40% - Accent3 8 3 5" xfId="15547" xr:uid="{BD19190A-B571-4737-A349-D1047937BC21}"/>
    <cellStyle name="40% - Accent3 8 4" xfId="37522" xr:uid="{352DFB33-1018-4055-AC4B-B6F8B73AB0DD}"/>
    <cellStyle name="40% - Accent3 8 5" xfId="29074" xr:uid="{5C6FE9F5-83F7-4A1B-89A1-0D6038843FA6}"/>
    <cellStyle name="40% - Accent3 8 6" xfId="20627" xr:uid="{EDB33FA3-350D-463E-A227-67C4DF8E6110}"/>
    <cellStyle name="40% - Accent3 8 7" xfId="11330" xr:uid="{CF75C50C-4ADC-4C05-95E9-792558F02EA3}"/>
    <cellStyle name="40% - Accent3 9" xfId="2328" xr:uid="{00000000-0005-0000-0000-00009E050000}"/>
    <cellStyle name="40% - Accent3 9 2" xfId="6634" xr:uid="{00000000-0005-0000-0000-00009F050000}"/>
    <cellStyle name="40% - Accent3 9 2 2" xfId="42152" xr:uid="{020C2EA2-EC95-47D4-8804-8D7091FB4539}"/>
    <cellStyle name="40% - Accent3 9 2 3" xfId="33705" xr:uid="{4A29E8BD-A45E-43C6-85BD-8251F3E47A78}"/>
    <cellStyle name="40% - Accent3 9 2 4" xfId="25257" xr:uid="{57874149-8C68-42B6-B3DC-7058641F5318}"/>
    <cellStyle name="40% - Accent3 9 2 5" xfId="15960" xr:uid="{CA29F4D3-738F-4019-B826-52E718216089}"/>
    <cellStyle name="40% - Accent3 9 3" xfId="37935" xr:uid="{18442D95-3F1D-4557-AE2F-CBF1FC0B4335}"/>
    <cellStyle name="40% - Accent3 9 4" xfId="29487" xr:uid="{6B41B648-BEEA-4AB0-815C-1ECEE96CE68A}"/>
    <cellStyle name="40% - Accent3 9 5" xfId="21040" xr:uid="{C07B460F-7A70-4665-8D9D-91C0EC222B41}"/>
    <cellStyle name="40% - Accent3 9 6" xfId="11743" xr:uid="{57FAAB25-F4AF-4340-A8BD-9DA705822B20}"/>
    <cellStyle name="40% - Accent4" xfId="73" builtinId="43" customBuiltin="1"/>
    <cellStyle name="40% - Accent4 10" xfId="4576" xr:uid="{00000000-0005-0000-0000-0000A1050000}"/>
    <cellStyle name="40% - Accent4 10 2" xfId="40094" xr:uid="{BBE333D7-DBA1-491E-B1FB-B2B2535E36AB}"/>
    <cellStyle name="40% - Accent4 10 3" xfId="31647" xr:uid="{70B26494-A370-40AD-ADC5-367AFE5E5238}"/>
    <cellStyle name="40% - Accent4 10 4" xfId="23199" xr:uid="{5B185539-C9EF-4677-A260-6E7DCCCDDA7B}"/>
    <cellStyle name="40% - Accent4 10 5" xfId="13902" xr:uid="{B9D154FF-A209-4E3F-B061-E8AC31322AFA}"/>
    <cellStyle name="40% - Accent4 11" xfId="8765" xr:uid="{18B6B6D6-5043-43D1-BB02-3855BF7027C3}"/>
    <cellStyle name="40% - Accent4 11 2" xfId="35877" xr:uid="{E6C218B8-1957-4F52-8DE0-84F4097D1205}"/>
    <cellStyle name="40% - Accent4 11 3" xfId="18088" xr:uid="{DCCA5ADB-8979-421F-BE74-C7A2A4483831}"/>
    <cellStyle name="40% - Accent4 12" xfId="27429" xr:uid="{FB84F644-43E0-42C9-AC8F-4AAA359E3DBD}"/>
    <cellStyle name="40% - Accent4 13" xfId="18982" xr:uid="{5B775745-7B12-4E21-A8E7-D31D5EDB7FFE}"/>
    <cellStyle name="40% - Accent4 14" xfId="9685" xr:uid="{4D651E91-1173-4CB3-9C5D-980DE3B14D18}"/>
    <cellStyle name="40% - Accent4 2" xfId="74" xr:uid="{00000000-0005-0000-0000-0000A2050000}"/>
    <cellStyle name="40% - Accent4 2 10" xfId="8801" xr:uid="{223FCC58-A05E-4022-8080-E75A80678FA6}"/>
    <cellStyle name="40% - Accent4 2 10 2" xfId="35878" xr:uid="{083E51FB-81CB-4D16-9355-B7AF818C17A2}"/>
    <cellStyle name="40% - Accent4 2 10 3" xfId="18124" xr:uid="{A5C45981-B745-47AA-AB89-60D4F2274876}"/>
    <cellStyle name="40% - Accent4 2 11" xfId="27430" xr:uid="{C92DBAD2-65AC-4C1A-AA8B-978E9A822F76}"/>
    <cellStyle name="40% - Accent4 2 12" xfId="18983" xr:uid="{CF6E4FDB-8F83-470D-8354-6744B8A9D449}"/>
    <cellStyle name="40% - Accent4 2 13" xfId="9686" xr:uid="{BD9831BB-C8C1-40CC-BE7E-70E10C59F1AF}"/>
    <cellStyle name="40% - Accent4 2 2" xfId="75" xr:uid="{00000000-0005-0000-0000-0000A3050000}"/>
    <cellStyle name="40% - Accent4 2 2 10" xfId="27431" xr:uid="{74AE8247-F8E0-4445-A8E0-A2DC5C0A930F}"/>
    <cellStyle name="40% - Accent4 2 2 11" xfId="18984" xr:uid="{01B8B757-D9A6-4370-884D-16D813E92F5E}"/>
    <cellStyle name="40% - Accent4 2 2 12" xfId="9687" xr:uid="{86B3F4B5-99BB-43BF-92C9-6326361446E4}"/>
    <cellStyle name="40% - Accent4 2 2 2" xfId="76" xr:uid="{00000000-0005-0000-0000-0000A4050000}"/>
    <cellStyle name="40% - Accent4 2 2 2 10" xfId="18985" xr:uid="{C2F9D2B0-2107-43D1-9E0D-CFB7321FE1E4}"/>
    <cellStyle name="40% - Accent4 2 2 2 11" xfId="9688" xr:uid="{B2B3F1D2-D470-4B9E-A154-A043F86D9B53}"/>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42656" xr:uid="{3F484BD2-A99B-46BD-B94C-8F7CF878E7C6}"/>
    <cellStyle name="40% - Accent4 2 2 2 2 2 2 3" xfId="34209" xr:uid="{3B8BD773-90AB-461E-B2BE-8ABA1258D000}"/>
    <cellStyle name="40% - Accent4 2 2 2 2 2 2 4" xfId="25761" xr:uid="{956C0682-1D02-44E1-85F6-9EDBC7E5AEF1}"/>
    <cellStyle name="40% - Accent4 2 2 2 2 2 2 5" xfId="16464" xr:uid="{6CC7F23A-C315-4AD8-BC28-B4658F3FEB2E}"/>
    <cellStyle name="40% - Accent4 2 2 2 2 2 3" xfId="38439" xr:uid="{78F7780D-B723-4947-A1F9-1938B940166B}"/>
    <cellStyle name="40% - Accent4 2 2 2 2 2 4" xfId="29991" xr:uid="{0E92FF62-4AF6-46C7-A29E-E1C69593178B}"/>
    <cellStyle name="40% - Accent4 2 2 2 2 2 5" xfId="21544" xr:uid="{CF9A0989-5AFB-4BB6-9F6F-142D3CA7042D}"/>
    <cellStyle name="40% - Accent4 2 2 2 2 2 6" xfId="12247" xr:uid="{77E2CFDB-FBA9-4856-BAED-AF25633D7123}"/>
    <cellStyle name="40% - Accent4 2 2 2 2 3" xfId="4993" xr:uid="{00000000-0005-0000-0000-0000A8050000}"/>
    <cellStyle name="40% - Accent4 2 2 2 2 3 2" xfId="40511" xr:uid="{0D6B6C3F-C5FE-436A-A067-FFF4B4D316A4}"/>
    <cellStyle name="40% - Accent4 2 2 2 2 3 3" xfId="32064" xr:uid="{E9244266-E8E7-454F-9419-6ED5EE2589BD}"/>
    <cellStyle name="40% - Accent4 2 2 2 2 3 4" xfId="23616" xr:uid="{2DCCE9B3-E8DA-4B2C-91DC-40EBDEC6BDFC}"/>
    <cellStyle name="40% - Accent4 2 2 2 2 3 5" xfId="14319" xr:uid="{D69CB863-AC0F-4FF3-80CC-3B84DE042964}"/>
    <cellStyle name="40% - Accent4 2 2 2 2 4" xfId="9536" xr:uid="{4351D24F-CE30-4CFD-968F-4B882F0FC9B5}"/>
    <cellStyle name="40% - Accent4 2 2 2 2 4 2" xfId="36294" xr:uid="{C5292ECD-701E-470A-AB31-48EA1321389C}"/>
    <cellStyle name="40% - Accent4 2 2 2 2 4 3" xfId="18849" xr:uid="{524F38F3-645E-4863-A5BB-829F96A9030A}"/>
    <cellStyle name="40% - Accent4 2 2 2 2 5" xfId="27846" xr:uid="{8A144FB6-D7D5-4073-BCF4-D85922AE8DD1}"/>
    <cellStyle name="40% - Accent4 2 2 2 2 6" xfId="19399" xr:uid="{26647E3D-3162-4CF4-A922-1C813B59479E}"/>
    <cellStyle name="40% - Accent4 2 2 2 2 7" xfId="10102" xr:uid="{175925A6-45EF-422B-9E15-F4DF15FC40E7}"/>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43069" xr:uid="{0E45E4E6-9673-48F5-993C-D2703BF55564}"/>
    <cellStyle name="40% - Accent4 2 2 2 3 2 2 3" xfId="34622" xr:uid="{C141DCD0-6153-4C9E-B540-E8D15A3EA499}"/>
    <cellStyle name="40% - Accent4 2 2 2 3 2 2 4" xfId="26174" xr:uid="{7BA6801D-68F9-46B8-8882-0A4D9FEDA1E5}"/>
    <cellStyle name="40% - Accent4 2 2 2 3 2 2 5" xfId="16877" xr:uid="{C5048BF8-DB99-48AF-AD10-7D01ED54D7D6}"/>
    <cellStyle name="40% - Accent4 2 2 2 3 2 3" xfId="38852" xr:uid="{981E5B3E-8C61-48B9-9169-E7D43F36C2DD}"/>
    <cellStyle name="40% - Accent4 2 2 2 3 2 4" xfId="30404" xr:uid="{4E29469F-4673-4D44-AC01-E58D298A51C2}"/>
    <cellStyle name="40% - Accent4 2 2 2 3 2 5" xfId="21957" xr:uid="{DFD22A5C-4318-4424-971A-A7969EF91DCC}"/>
    <cellStyle name="40% - Accent4 2 2 2 3 2 6" xfId="12660" xr:uid="{83B87EE0-2138-4B78-9F61-EC067FB13ED2}"/>
    <cellStyle name="40% - Accent4 2 2 2 3 3" xfId="5406" xr:uid="{00000000-0005-0000-0000-0000AC050000}"/>
    <cellStyle name="40% - Accent4 2 2 2 3 3 2" xfId="40924" xr:uid="{F470D8B3-E208-4D03-93EE-85BD42379DB6}"/>
    <cellStyle name="40% - Accent4 2 2 2 3 3 3" xfId="32477" xr:uid="{A8FD52F8-85B3-49A0-8FDF-BA9DB00E7BC2}"/>
    <cellStyle name="40% - Accent4 2 2 2 3 3 4" xfId="24029" xr:uid="{59EAB856-A731-406C-A54D-1F3A4D1259C0}"/>
    <cellStyle name="40% - Accent4 2 2 2 3 3 5" xfId="14732" xr:uid="{A56A5188-CCA8-4EC8-AE25-C7D7C4794F73}"/>
    <cellStyle name="40% - Accent4 2 2 2 3 4" xfId="36707" xr:uid="{C6F6B705-DC44-4145-9E30-EEFF1E1BB2FB}"/>
    <cellStyle name="40% - Accent4 2 2 2 3 5" xfId="28259" xr:uid="{D29AE7A8-CC39-4327-B252-B26BCD2B1231}"/>
    <cellStyle name="40% - Accent4 2 2 2 3 6" xfId="19812" xr:uid="{DB0F4D56-F77C-4A14-8999-2192D7680B98}"/>
    <cellStyle name="40% - Accent4 2 2 2 3 7" xfId="10515" xr:uid="{6BD50BBF-1477-444D-AFEA-254672791A3C}"/>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43482" xr:uid="{8E3BC6C8-EC36-47C7-A873-743FFE3C314E}"/>
    <cellStyle name="40% - Accent4 2 2 2 4 2 2 3" xfId="35035" xr:uid="{6C8CB7C1-D5AD-427E-B1BC-25B4941DEE0A}"/>
    <cellStyle name="40% - Accent4 2 2 2 4 2 2 4" xfId="26587" xr:uid="{2E326E24-C88D-467A-8DC7-D1D0E6336430}"/>
    <cellStyle name="40% - Accent4 2 2 2 4 2 2 5" xfId="17290" xr:uid="{880DBF4D-F524-450C-B6DB-2067DED7CB95}"/>
    <cellStyle name="40% - Accent4 2 2 2 4 2 3" xfId="39265" xr:uid="{061D9E3E-D637-4748-8025-CE472A3A0958}"/>
    <cellStyle name="40% - Accent4 2 2 2 4 2 4" xfId="30817" xr:uid="{185A73B0-FF32-4616-9370-E523F774199F}"/>
    <cellStyle name="40% - Accent4 2 2 2 4 2 5" xfId="22370" xr:uid="{623EF3A7-14DF-405A-B4B3-53E5E5F2783B}"/>
    <cellStyle name="40% - Accent4 2 2 2 4 2 6" xfId="13073" xr:uid="{B6ED7B74-8CCE-4ABF-8DD4-FAE02BA9B0A8}"/>
    <cellStyle name="40% - Accent4 2 2 2 4 3" xfId="5819" xr:uid="{00000000-0005-0000-0000-0000B0050000}"/>
    <cellStyle name="40% - Accent4 2 2 2 4 3 2" xfId="41337" xr:uid="{CA8E8441-EA22-48CD-9A18-C98E918D643A}"/>
    <cellStyle name="40% - Accent4 2 2 2 4 3 3" xfId="32890" xr:uid="{A00F9683-E179-4688-931A-0E4CD262BCD8}"/>
    <cellStyle name="40% - Accent4 2 2 2 4 3 4" xfId="24442" xr:uid="{B89C5014-2637-46FB-BA10-10E9AB77A1D2}"/>
    <cellStyle name="40% - Accent4 2 2 2 4 3 5" xfId="15145" xr:uid="{70187D48-E2C3-4D9D-9942-DB9FDA9DB88A}"/>
    <cellStyle name="40% - Accent4 2 2 2 4 4" xfId="37120" xr:uid="{5B1820BD-2E6F-436E-874F-91EA92231B19}"/>
    <cellStyle name="40% - Accent4 2 2 2 4 5" xfId="28672" xr:uid="{C8F7150B-32DD-443E-9944-1AF61778BC02}"/>
    <cellStyle name="40% - Accent4 2 2 2 4 6" xfId="20225" xr:uid="{0C28E07F-567C-4D76-A52C-0E27E9C2DD35}"/>
    <cellStyle name="40% - Accent4 2 2 2 4 7" xfId="10928" xr:uid="{7D022322-A6BB-4830-AC2F-58303A262817}"/>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43895" xr:uid="{3B120F76-3960-430D-BE50-D8411AFE30C9}"/>
    <cellStyle name="40% - Accent4 2 2 2 5 2 2 3" xfId="35448" xr:uid="{25969CB5-7CBF-4710-8300-62E7188CDE86}"/>
    <cellStyle name="40% - Accent4 2 2 2 5 2 2 4" xfId="27000" xr:uid="{540653BA-376B-4935-BBBE-64CA18BBC304}"/>
    <cellStyle name="40% - Accent4 2 2 2 5 2 2 5" xfId="17703" xr:uid="{33B5694B-3EA6-44A1-8B41-319BA62F2D53}"/>
    <cellStyle name="40% - Accent4 2 2 2 5 2 3" xfId="39678" xr:uid="{EA8E9A11-4AEA-498D-9983-D58B7BF7D12D}"/>
    <cellStyle name="40% - Accent4 2 2 2 5 2 4" xfId="31230" xr:uid="{F360350C-D3CF-40BF-AB4A-45243E5CC632}"/>
    <cellStyle name="40% - Accent4 2 2 2 5 2 5" xfId="22783" xr:uid="{B8695F33-126F-4EEB-A908-2E02BB250C7B}"/>
    <cellStyle name="40% - Accent4 2 2 2 5 2 6" xfId="13486" xr:uid="{7FE7E4DC-F5CD-46F5-9DA6-88F841A3CA9A}"/>
    <cellStyle name="40% - Accent4 2 2 2 5 3" xfId="6232" xr:uid="{00000000-0005-0000-0000-0000B4050000}"/>
    <cellStyle name="40% - Accent4 2 2 2 5 3 2" xfId="41750" xr:uid="{8046713F-4583-4795-A72E-7C391BCB4909}"/>
    <cellStyle name="40% - Accent4 2 2 2 5 3 3" xfId="33303" xr:uid="{524A8546-5455-4A1B-99DD-C933594BD322}"/>
    <cellStyle name="40% - Accent4 2 2 2 5 3 4" xfId="24855" xr:uid="{E99D7F7B-B33F-4798-9530-D56A4710F5E0}"/>
    <cellStyle name="40% - Accent4 2 2 2 5 3 5" xfId="15558" xr:uid="{74CFA2A6-91F8-4B87-A72F-794A19A1B0FB}"/>
    <cellStyle name="40% - Accent4 2 2 2 5 4" xfId="37533" xr:uid="{70CCB7DF-FD88-424F-BBAA-9F0C6E9CD0A0}"/>
    <cellStyle name="40% - Accent4 2 2 2 5 5" xfId="29085" xr:uid="{4EF20734-FEB1-42BE-B655-695B95C40860}"/>
    <cellStyle name="40% - Accent4 2 2 2 5 6" xfId="20638" xr:uid="{4BD4D098-AD95-4766-ACAD-977202BBDF1E}"/>
    <cellStyle name="40% - Accent4 2 2 2 5 7" xfId="11341" xr:uid="{CF4775F8-13B4-47F0-91AC-AEE3DFB49109}"/>
    <cellStyle name="40% - Accent4 2 2 2 6" xfId="2339" xr:uid="{00000000-0005-0000-0000-0000B5050000}"/>
    <cellStyle name="40% - Accent4 2 2 2 6 2" xfId="6645" xr:uid="{00000000-0005-0000-0000-0000B6050000}"/>
    <cellStyle name="40% - Accent4 2 2 2 6 2 2" xfId="42163" xr:uid="{9AF4327D-E178-43E2-B181-75351312940B}"/>
    <cellStyle name="40% - Accent4 2 2 2 6 2 3" xfId="33716" xr:uid="{EAC6ACDC-1339-49CE-8A05-8EBE11D1DFCF}"/>
    <cellStyle name="40% - Accent4 2 2 2 6 2 4" xfId="25268" xr:uid="{02813152-E861-4165-9D25-A1C00F8D4DFE}"/>
    <cellStyle name="40% - Accent4 2 2 2 6 2 5" xfId="15971" xr:uid="{FEF4CE73-F346-4251-A03F-5D2B132A0973}"/>
    <cellStyle name="40% - Accent4 2 2 2 6 3" xfId="37946" xr:uid="{086A9CD5-6B6C-4242-844B-0F2F289EB434}"/>
    <cellStyle name="40% - Accent4 2 2 2 6 4" xfId="29498" xr:uid="{275D7833-9A63-4101-8A11-2553ECF42C55}"/>
    <cellStyle name="40% - Accent4 2 2 2 6 5" xfId="21051" xr:uid="{8178F1B3-C85D-44E6-BDA5-9EE54CF277BD}"/>
    <cellStyle name="40% - Accent4 2 2 2 6 6" xfId="11754" xr:uid="{A20DED62-82C7-4744-A8DF-9654BCC3F3CD}"/>
    <cellStyle name="40% - Accent4 2 2 2 7" xfId="4579" xr:uid="{00000000-0005-0000-0000-0000B7050000}"/>
    <cellStyle name="40% - Accent4 2 2 2 7 2" xfId="40097" xr:uid="{ABF1FDF0-3665-4161-BD39-902924C79ECA}"/>
    <cellStyle name="40% - Accent4 2 2 2 7 3" xfId="31650" xr:uid="{E776547B-8BC8-45D8-96EC-C434D077D247}"/>
    <cellStyle name="40% - Accent4 2 2 2 7 4" xfId="23202" xr:uid="{37DDF762-AE1B-4B84-AF94-B20B90D07391}"/>
    <cellStyle name="40% - Accent4 2 2 2 7 5" xfId="13905" xr:uid="{15DA9C7E-3970-4191-9FD3-9C6868140C2D}"/>
    <cellStyle name="40% - Accent4 2 2 2 8" xfId="9111" xr:uid="{1DD86F12-0D11-497C-88D9-78D90E1EF65F}"/>
    <cellStyle name="40% - Accent4 2 2 2 8 2" xfId="35880" xr:uid="{B3F72F9F-4E7F-43A3-AE4F-9D973EB68D0B}"/>
    <cellStyle name="40% - Accent4 2 2 2 8 3" xfId="18434" xr:uid="{A9DB583B-D51F-4FBF-8376-5E2C37535672}"/>
    <cellStyle name="40% - Accent4 2 2 2 9" xfId="27432" xr:uid="{36744EC0-0E62-47FE-9066-168FEAED946E}"/>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42655" xr:uid="{98DB1394-AF11-4769-9F0E-B21A81E9AF6F}"/>
    <cellStyle name="40% - Accent4 2 2 3 2 2 3" xfId="34208" xr:uid="{8C571071-C285-4C4D-9835-81597AF58BDA}"/>
    <cellStyle name="40% - Accent4 2 2 3 2 2 4" xfId="25760" xr:uid="{A84FE2D9-5740-4431-A1E8-CD6F0A7DC5CF}"/>
    <cellStyle name="40% - Accent4 2 2 3 2 2 5" xfId="16463" xr:uid="{A5BDC215-3C67-4FCD-8EF2-1147BAB10FF5}"/>
    <cellStyle name="40% - Accent4 2 2 3 2 3" xfId="38438" xr:uid="{A543D81F-64D5-4748-9896-742B68022E25}"/>
    <cellStyle name="40% - Accent4 2 2 3 2 4" xfId="29990" xr:uid="{ED9FAE1C-96D8-488E-9140-DD5684E650E4}"/>
    <cellStyle name="40% - Accent4 2 2 3 2 5" xfId="21543" xr:uid="{7C756D2E-C782-47EE-80A5-B6B8C3455FB0}"/>
    <cellStyle name="40% - Accent4 2 2 3 2 6" xfId="12246" xr:uid="{29580E30-0039-463B-9CA6-45C5881EE723}"/>
    <cellStyle name="40% - Accent4 2 2 3 3" xfId="4992" xr:uid="{00000000-0005-0000-0000-0000BB050000}"/>
    <cellStyle name="40% - Accent4 2 2 3 3 2" xfId="40510" xr:uid="{E053C037-E2EB-41CD-9F65-9D8DE596BDCB}"/>
    <cellStyle name="40% - Accent4 2 2 3 3 3" xfId="32063" xr:uid="{554B8FA1-30A1-470E-9252-FD00D7191637}"/>
    <cellStyle name="40% - Accent4 2 2 3 3 4" xfId="23615" xr:uid="{D398FCA5-B14B-4959-B0FD-1CC77005ED68}"/>
    <cellStyle name="40% - Accent4 2 2 3 3 5" xfId="14318" xr:uid="{B28F67BE-ECCD-4452-B58F-2B7250724A84}"/>
    <cellStyle name="40% - Accent4 2 2 3 4" xfId="9329" xr:uid="{62CB3536-9FC4-4DBF-9121-AD0025D891C9}"/>
    <cellStyle name="40% - Accent4 2 2 3 4 2" xfId="36293" xr:uid="{67A2679C-32DA-4074-AB85-7C16D1610262}"/>
    <cellStyle name="40% - Accent4 2 2 3 4 3" xfId="18642" xr:uid="{408E7E98-1FF0-4A64-BE73-9FA9F9B6D129}"/>
    <cellStyle name="40% - Accent4 2 2 3 5" xfId="27845" xr:uid="{F9C76F17-2194-4C7C-B3EB-6178DB90C10E}"/>
    <cellStyle name="40% - Accent4 2 2 3 6" xfId="19398" xr:uid="{78ACB6DF-1A98-4661-8CFF-1446EC48793C}"/>
    <cellStyle name="40% - Accent4 2 2 3 7" xfId="10101" xr:uid="{93C0956D-F70C-4164-8AFD-D713F3CCFB63}"/>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43068" xr:uid="{72F22298-2D64-4709-A847-D3E1774B3673}"/>
    <cellStyle name="40% - Accent4 2 2 4 2 2 3" xfId="34621" xr:uid="{FB55F3EB-0155-49AB-95D0-B30CBE25A036}"/>
    <cellStyle name="40% - Accent4 2 2 4 2 2 4" xfId="26173" xr:uid="{860D6AAB-935B-4A8B-9C62-D143C849AA36}"/>
    <cellStyle name="40% - Accent4 2 2 4 2 2 5" xfId="16876" xr:uid="{423596F1-274D-48E9-8096-0A1E0390E4B9}"/>
    <cellStyle name="40% - Accent4 2 2 4 2 3" xfId="38851" xr:uid="{09051249-2CB8-498E-A339-596DD46C7D98}"/>
    <cellStyle name="40% - Accent4 2 2 4 2 4" xfId="30403" xr:uid="{9CD2C535-BABE-44E3-B757-75B67C259482}"/>
    <cellStyle name="40% - Accent4 2 2 4 2 5" xfId="21956" xr:uid="{9871A804-4B01-4A14-B073-10B6A6E06586}"/>
    <cellStyle name="40% - Accent4 2 2 4 2 6" xfId="12659" xr:uid="{9B241A12-CD9C-4E63-8AFD-429CEA5261C7}"/>
    <cellStyle name="40% - Accent4 2 2 4 3" xfId="5405" xr:uid="{00000000-0005-0000-0000-0000BF050000}"/>
    <cellStyle name="40% - Accent4 2 2 4 3 2" xfId="40923" xr:uid="{3C1E73A5-FBB7-4528-9186-879A7FCA215E}"/>
    <cellStyle name="40% - Accent4 2 2 4 3 3" xfId="32476" xr:uid="{F14C2807-9C1E-4A43-85FE-9CC75D7B07C4}"/>
    <cellStyle name="40% - Accent4 2 2 4 3 4" xfId="24028" xr:uid="{B5BC99C9-C496-4494-BA50-AAE12A643971}"/>
    <cellStyle name="40% - Accent4 2 2 4 3 5" xfId="14731" xr:uid="{37ACF170-E78A-441F-B561-0305F40C29FE}"/>
    <cellStyle name="40% - Accent4 2 2 4 4" xfId="36706" xr:uid="{78D3C632-9227-4BC3-99C2-D8530C99F568}"/>
    <cellStyle name="40% - Accent4 2 2 4 5" xfId="28258" xr:uid="{1C00D757-82C2-4EDF-B91D-CCDEDD42C8D7}"/>
    <cellStyle name="40% - Accent4 2 2 4 6" xfId="19811" xr:uid="{9CA0493D-2280-4F71-B2BF-B8D5DA68BD93}"/>
    <cellStyle name="40% - Accent4 2 2 4 7" xfId="10514" xr:uid="{EAFC1798-0FAF-4334-A8D5-ACA7C6A269CD}"/>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43481" xr:uid="{414B24EE-A896-440A-A273-D04DC69DD6F0}"/>
    <cellStyle name="40% - Accent4 2 2 5 2 2 3" xfId="35034" xr:uid="{865428A5-ECFB-4DE8-865D-5F171DB594BE}"/>
    <cellStyle name="40% - Accent4 2 2 5 2 2 4" xfId="26586" xr:uid="{ECB9AAA8-96EC-4561-8AFA-D18EBC77C799}"/>
    <cellStyle name="40% - Accent4 2 2 5 2 2 5" xfId="17289" xr:uid="{D3BB0DEB-8D5B-408D-A67A-F2DABAD297A1}"/>
    <cellStyle name="40% - Accent4 2 2 5 2 3" xfId="39264" xr:uid="{5783DB2B-89AF-45CF-92ED-9FEA6CB3F833}"/>
    <cellStyle name="40% - Accent4 2 2 5 2 4" xfId="30816" xr:uid="{4F270760-B968-496A-BAFB-E355EE32E7F1}"/>
    <cellStyle name="40% - Accent4 2 2 5 2 5" xfId="22369" xr:uid="{0B09A8B0-F0C4-4105-AA0B-84BBF06A52E2}"/>
    <cellStyle name="40% - Accent4 2 2 5 2 6" xfId="13072" xr:uid="{871E57AA-72C4-4ED3-BA67-4F75F5390F40}"/>
    <cellStyle name="40% - Accent4 2 2 5 3" xfId="5818" xr:uid="{00000000-0005-0000-0000-0000C3050000}"/>
    <cellStyle name="40% - Accent4 2 2 5 3 2" xfId="41336" xr:uid="{22DCA56F-71F9-465D-9258-F75E046C7A56}"/>
    <cellStyle name="40% - Accent4 2 2 5 3 3" xfId="32889" xr:uid="{CE6F5BAF-D129-4A14-85A9-8C4E621AB233}"/>
    <cellStyle name="40% - Accent4 2 2 5 3 4" xfId="24441" xr:uid="{06FB221C-3A0C-4B10-AF80-EE85BCCD13F0}"/>
    <cellStyle name="40% - Accent4 2 2 5 3 5" xfId="15144" xr:uid="{1CA71404-683D-4E42-9BE1-AD6AC0D16BC4}"/>
    <cellStyle name="40% - Accent4 2 2 5 4" xfId="37119" xr:uid="{F95EFD60-A571-42EB-A1AB-626B6EFAFCE6}"/>
    <cellStyle name="40% - Accent4 2 2 5 5" xfId="28671" xr:uid="{EC4DDD12-18D3-4616-9135-8166BC8FC76A}"/>
    <cellStyle name="40% - Accent4 2 2 5 6" xfId="20224" xr:uid="{D5E5C7F8-3207-47EF-B0B6-973C836F1FD6}"/>
    <cellStyle name="40% - Accent4 2 2 5 7" xfId="10927" xr:uid="{3BE323A4-30CB-46DC-8B6E-E8187AC22279}"/>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43894" xr:uid="{815DF04B-FE1A-4026-A947-37547760C2ED}"/>
    <cellStyle name="40% - Accent4 2 2 6 2 2 3" xfId="35447" xr:uid="{BD2CA1B7-D62C-4650-8AE4-9369C010394C}"/>
    <cellStyle name="40% - Accent4 2 2 6 2 2 4" xfId="26999" xr:uid="{E40FB2D5-5BD1-4CA4-B85F-2E25FD28D916}"/>
    <cellStyle name="40% - Accent4 2 2 6 2 2 5" xfId="17702" xr:uid="{C7E87ECD-5041-467B-8104-17C758538FDC}"/>
    <cellStyle name="40% - Accent4 2 2 6 2 3" xfId="39677" xr:uid="{16ED5525-AB8E-4F87-96FD-6B5ECD2B2887}"/>
    <cellStyle name="40% - Accent4 2 2 6 2 4" xfId="31229" xr:uid="{FD25D1E5-323D-4C4B-93DA-3F06C521663A}"/>
    <cellStyle name="40% - Accent4 2 2 6 2 5" xfId="22782" xr:uid="{28E85361-C212-4712-BDEC-67E642E3F953}"/>
    <cellStyle name="40% - Accent4 2 2 6 2 6" xfId="13485" xr:uid="{DA35B4C9-FCD2-4C56-AE70-118961316345}"/>
    <cellStyle name="40% - Accent4 2 2 6 3" xfId="6231" xr:uid="{00000000-0005-0000-0000-0000C7050000}"/>
    <cellStyle name="40% - Accent4 2 2 6 3 2" xfId="41749" xr:uid="{A7D0AB34-CFC2-4316-9453-DF2BDD9ACD83}"/>
    <cellStyle name="40% - Accent4 2 2 6 3 3" xfId="33302" xr:uid="{DF21FA1E-4BFA-4F0A-8668-C898E2DE5017}"/>
    <cellStyle name="40% - Accent4 2 2 6 3 4" xfId="24854" xr:uid="{F5ED9431-6354-45B5-906D-A526D73C5F93}"/>
    <cellStyle name="40% - Accent4 2 2 6 3 5" xfId="15557" xr:uid="{C2B732EA-285E-4FD7-A106-4601DACCA761}"/>
    <cellStyle name="40% - Accent4 2 2 6 4" xfId="37532" xr:uid="{587315F8-8272-4841-99BC-24BF80C309D3}"/>
    <cellStyle name="40% - Accent4 2 2 6 5" xfId="29084" xr:uid="{AD63D55D-051E-4865-BA33-248F5150E236}"/>
    <cellStyle name="40% - Accent4 2 2 6 6" xfId="20637" xr:uid="{6DF6BD65-BD57-41E1-905A-AB02FCABC856}"/>
    <cellStyle name="40% - Accent4 2 2 6 7" xfId="11340" xr:uid="{165BCE10-ECD9-44A4-94A3-A7CA3BC8B2EC}"/>
    <cellStyle name="40% - Accent4 2 2 7" xfId="2338" xr:uid="{00000000-0005-0000-0000-0000C8050000}"/>
    <cellStyle name="40% - Accent4 2 2 7 2" xfId="6644" xr:uid="{00000000-0005-0000-0000-0000C9050000}"/>
    <cellStyle name="40% - Accent4 2 2 7 2 2" xfId="42162" xr:uid="{91AFE477-24A8-4BB0-A8FA-B25E00F4A477}"/>
    <cellStyle name="40% - Accent4 2 2 7 2 3" xfId="33715" xr:uid="{1F885D3B-0EAF-4502-8994-AB9083238677}"/>
    <cellStyle name="40% - Accent4 2 2 7 2 4" xfId="25267" xr:uid="{B4810981-C6D5-4742-9E53-1F0A23CB074A}"/>
    <cellStyle name="40% - Accent4 2 2 7 2 5" xfId="15970" xr:uid="{BAFCB99A-CB58-4D19-BAE3-504668963074}"/>
    <cellStyle name="40% - Accent4 2 2 7 3" xfId="37945" xr:uid="{E9BF8A3E-C042-4161-9699-5BEB717F92CB}"/>
    <cellStyle name="40% - Accent4 2 2 7 4" xfId="29497" xr:uid="{AF9D2CF9-6CB2-4FE9-80B8-CB9674F58D6B}"/>
    <cellStyle name="40% - Accent4 2 2 7 5" xfId="21050" xr:uid="{CE970E91-B6B1-4082-821D-1A004B57A0E6}"/>
    <cellStyle name="40% - Accent4 2 2 7 6" xfId="11753" xr:uid="{54783F0D-8154-4B9A-ACFF-226CEE30B4C3}"/>
    <cellStyle name="40% - Accent4 2 2 8" xfId="4578" xr:uid="{00000000-0005-0000-0000-0000CA050000}"/>
    <cellStyle name="40% - Accent4 2 2 8 2" xfId="40096" xr:uid="{30F62BC1-7617-477F-89DF-805FD14E7299}"/>
    <cellStyle name="40% - Accent4 2 2 8 3" xfId="31649" xr:uid="{24F9B3AA-D052-44F7-BB90-95575A3B0B77}"/>
    <cellStyle name="40% - Accent4 2 2 8 4" xfId="23201" xr:uid="{320B186E-8D4B-4127-B74A-50B49C7F15B6}"/>
    <cellStyle name="40% - Accent4 2 2 8 5" xfId="13904" xr:uid="{ED1C342B-25A8-4500-9FDD-48AF2DE22BF8}"/>
    <cellStyle name="40% - Accent4 2 2 9" xfId="8904" xr:uid="{64C959C5-2FAF-462D-88B6-14B59CDC763B}"/>
    <cellStyle name="40% - Accent4 2 2 9 2" xfId="35879" xr:uid="{04595EA6-6A7E-4CF8-B9B6-6BE1699BA353}"/>
    <cellStyle name="40% - Accent4 2 2 9 3" xfId="18227" xr:uid="{5408C899-15DA-4A80-BB27-1712C2F66285}"/>
    <cellStyle name="40% - Accent4 2 3" xfId="77" xr:uid="{00000000-0005-0000-0000-0000CB050000}"/>
    <cellStyle name="40% - Accent4 2 3 10" xfId="18986" xr:uid="{8FF97B7F-9DC2-4DF5-B826-766C5BF6B5A2}"/>
    <cellStyle name="40% - Accent4 2 3 11" xfId="9689" xr:uid="{23B25DD0-FFB7-4BB5-A58F-0019AC78C257}"/>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42657" xr:uid="{324B67D5-6204-460D-80B6-48D2524FC634}"/>
    <cellStyle name="40% - Accent4 2 3 2 2 2 3" xfId="34210" xr:uid="{9AD09193-FE52-4A51-B15F-1B35AF9395E0}"/>
    <cellStyle name="40% - Accent4 2 3 2 2 2 4" xfId="25762" xr:uid="{C55AFA6E-681F-40B2-93FF-E93ED64F6228}"/>
    <cellStyle name="40% - Accent4 2 3 2 2 2 5" xfId="16465" xr:uid="{9BA655F9-9DAF-41A9-A193-4078116A3194}"/>
    <cellStyle name="40% - Accent4 2 3 2 2 3" xfId="38440" xr:uid="{09B8BF53-AE9E-40F1-9E5F-7C606D7FFE3F}"/>
    <cellStyle name="40% - Accent4 2 3 2 2 4" xfId="29992" xr:uid="{5B0D12F6-C286-4E35-B36F-D48CC38813BA}"/>
    <cellStyle name="40% - Accent4 2 3 2 2 5" xfId="21545" xr:uid="{1EAD2543-D029-4E9E-97C4-1F6A2C8E74E4}"/>
    <cellStyle name="40% - Accent4 2 3 2 2 6" xfId="12248" xr:uid="{5999ADB9-FE42-4665-BE95-A60B27652BC1}"/>
    <cellStyle name="40% - Accent4 2 3 2 3" xfId="4994" xr:uid="{00000000-0005-0000-0000-0000CF050000}"/>
    <cellStyle name="40% - Accent4 2 3 2 3 2" xfId="40512" xr:uid="{155C0B6E-14A4-48BC-84B0-0A50FCC757BF}"/>
    <cellStyle name="40% - Accent4 2 3 2 3 3" xfId="32065" xr:uid="{3ACB2ADC-155D-4BD8-A03D-614DCE2C4E6C}"/>
    <cellStyle name="40% - Accent4 2 3 2 3 4" xfId="23617" xr:uid="{EE41B0B0-BAE1-4520-978C-2E77FE296CA5}"/>
    <cellStyle name="40% - Accent4 2 3 2 3 5" xfId="14320" xr:uid="{2101D8FF-D75E-4F55-A15C-636D87EB3B2E}"/>
    <cellStyle name="40% - Accent4 2 3 2 4" xfId="9433" xr:uid="{058786D1-7E7D-40D9-9218-B4C7219F4E53}"/>
    <cellStyle name="40% - Accent4 2 3 2 4 2" xfId="36295" xr:uid="{EC701530-F204-4F76-A8B4-E8E1B01EC609}"/>
    <cellStyle name="40% - Accent4 2 3 2 4 3" xfId="18746" xr:uid="{86AB7D8B-2FE0-4634-B8CC-045ABB6487B0}"/>
    <cellStyle name="40% - Accent4 2 3 2 5" xfId="27847" xr:uid="{642F6DA8-F3C7-49EB-8D47-B6B045BC833F}"/>
    <cellStyle name="40% - Accent4 2 3 2 6" xfId="19400" xr:uid="{41D7050F-3AD7-44AB-B47C-77990A44038C}"/>
    <cellStyle name="40% - Accent4 2 3 2 7" xfId="10103" xr:uid="{B720F474-C9C5-449F-A1C8-6CCC8A5081C8}"/>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43070" xr:uid="{12C1C45E-2AE6-4054-818B-EE0051331132}"/>
    <cellStyle name="40% - Accent4 2 3 3 2 2 3" xfId="34623" xr:uid="{C9FF0507-1E04-4601-AD31-5217D86160F4}"/>
    <cellStyle name="40% - Accent4 2 3 3 2 2 4" xfId="26175" xr:uid="{27E9F32F-7938-4395-947F-1805D3E3B514}"/>
    <cellStyle name="40% - Accent4 2 3 3 2 2 5" xfId="16878" xr:uid="{138A817E-964F-4C6E-9B89-76DD29305373}"/>
    <cellStyle name="40% - Accent4 2 3 3 2 3" xfId="38853" xr:uid="{D204840C-0A65-4381-87C2-2CC07C76BDD8}"/>
    <cellStyle name="40% - Accent4 2 3 3 2 4" xfId="30405" xr:uid="{5523EFE0-DDD1-465D-B5D8-4274CB27B33F}"/>
    <cellStyle name="40% - Accent4 2 3 3 2 5" xfId="21958" xr:uid="{3A6B05E8-39C8-45CE-AC26-A01E2FA372D1}"/>
    <cellStyle name="40% - Accent4 2 3 3 2 6" xfId="12661" xr:uid="{F80C87E3-E569-42CB-9704-0CB0FFDFC5EF}"/>
    <cellStyle name="40% - Accent4 2 3 3 3" xfId="5407" xr:uid="{00000000-0005-0000-0000-0000D3050000}"/>
    <cellStyle name="40% - Accent4 2 3 3 3 2" xfId="40925" xr:uid="{F3612CE7-83AC-408C-BF41-1EF578540824}"/>
    <cellStyle name="40% - Accent4 2 3 3 3 3" xfId="32478" xr:uid="{27E7D46A-F310-474E-8F7A-AF8540266A44}"/>
    <cellStyle name="40% - Accent4 2 3 3 3 4" xfId="24030" xr:uid="{4D4EE763-F0C2-4968-8427-3F69432C9A48}"/>
    <cellStyle name="40% - Accent4 2 3 3 3 5" xfId="14733" xr:uid="{F45EC314-0398-43BA-BBF7-429FA76EC0E4}"/>
    <cellStyle name="40% - Accent4 2 3 3 4" xfId="36708" xr:uid="{EDC632EF-1434-4856-BD4C-48CF2CEB7A57}"/>
    <cellStyle name="40% - Accent4 2 3 3 5" xfId="28260" xr:uid="{D5B2B4A2-BBB3-4747-A38C-B788B09A6407}"/>
    <cellStyle name="40% - Accent4 2 3 3 6" xfId="19813" xr:uid="{2B96F599-3F91-4F43-B78F-3F1863AA48A9}"/>
    <cellStyle name="40% - Accent4 2 3 3 7" xfId="10516" xr:uid="{73489393-B698-48B5-A4BB-6D57EC4BC5CE}"/>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43483" xr:uid="{CA860418-8644-4DB8-843D-20CCDEA3A211}"/>
    <cellStyle name="40% - Accent4 2 3 4 2 2 3" xfId="35036" xr:uid="{48D7B903-B129-4278-8943-B58FC3060F7D}"/>
    <cellStyle name="40% - Accent4 2 3 4 2 2 4" xfId="26588" xr:uid="{4A104430-A6A3-4D69-9722-354B38FCE585}"/>
    <cellStyle name="40% - Accent4 2 3 4 2 2 5" xfId="17291" xr:uid="{37CF3821-96F3-482F-BE75-BE4354B8040D}"/>
    <cellStyle name="40% - Accent4 2 3 4 2 3" xfId="39266" xr:uid="{0B788C2E-C2A8-46B2-8021-3E2815B4C8CA}"/>
    <cellStyle name="40% - Accent4 2 3 4 2 4" xfId="30818" xr:uid="{C3EB7D7E-7B3F-4824-9963-1132F5B5E78A}"/>
    <cellStyle name="40% - Accent4 2 3 4 2 5" xfId="22371" xr:uid="{AF4AFF4D-D4B7-4FF5-9731-1A75FF70B3C7}"/>
    <cellStyle name="40% - Accent4 2 3 4 2 6" xfId="13074" xr:uid="{C0B7A0CE-64DA-47DA-A324-1FE086FDB5C6}"/>
    <cellStyle name="40% - Accent4 2 3 4 3" xfId="5820" xr:uid="{00000000-0005-0000-0000-0000D7050000}"/>
    <cellStyle name="40% - Accent4 2 3 4 3 2" xfId="41338" xr:uid="{819FAF62-636F-49FB-83E0-D28A13135F14}"/>
    <cellStyle name="40% - Accent4 2 3 4 3 3" xfId="32891" xr:uid="{EBD5076E-97AC-4EFC-B075-7474C7E660BB}"/>
    <cellStyle name="40% - Accent4 2 3 4 3 4" xfId="24443" xr:uid="{33841206-B6E7-422F-BA74-C876FF3B53D8}"/>
    <cellStyle name="40% - Accent4 2 3 4 3 5" xfId="15146" xr:uid="{AEFDF661-E41A-4434-9DB4-B87FD71696BD}"/>
    <cellStyle name="40% - Accent4 2 3 4 4" xfId="37121" xr:uid="{7568C140-BA30-4C9F-B999-2E98B5CB2CB0}"/>
    <cellStyle name="40% - Accent4 2 3 4 5" xfId="28673" xr:uid="{C2F0B9E6-180D-47DB-AA07-C5C24B33D73F}"/>
    <cellStyle name="40% - Accent4 2 3 4 6" xfId="20226" xr:uid="{34B9DE92-8DB9-494E-A325-A18AC1DB5BB3}"/>
    <cellStyle name="40% - Accent4 2 3 4 7" xfId="10929" xr:uid="{4965D472-3B9D-4B11-9C5C-0FFF1EC33DBE}"/>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43896" xr:uid="{3D6A0424-3B95-47E7-A6EA-98F329498556}"/>
    <cellStyle name="40% - Accent4 2 3 5 2 2 3" xfId="35449" xr:uid="{F5F0E381-10BA-4DAB-A013-4044C4E88F3E}"/>
    <cellStyle name="40% - Accent4 2 3 5 2 2 4" xfId="27001" xr:uid="{97EA93F9-B7FB-4127-9E8F-005821B9D16E}"/>
    <cellStyle name="40% - Accent4 2 3 5 2 2 5" xfId="17704" xr:uid="{8FB9E0D9-49DD-4143-8ADC-054D2F537192}"/>
    <cellStyle name="40% - Accent4 2 3 5 2 3" xfId="39679" xr:uid="{A2A1631D-D9B0-4FFA-9F15-4D3AFDC393EE}"/>
    <cellStyle name="40% - Accent4 2 3 5 2 4" xfId="31231" xr:uid="{210B78C7-CE0A-4CAF-9125-5E967DBABBD1}"/>
    <cellStyle name="40% - Accent4 2 3 5 2 5" xfId="22784" xr:uid="{B8DD0A66-C2AD-45BC-9FEF-F5F0D9E4830B}"/>
    <cellStyle name="40% - Accent4 2 3 5 2 6" xfId="13487" xr:uid="{39BB8C41-63ED-4469-B7F6-B01F98239B74}"/>
    <cellStyle name="40% - Accent4 2 3 5 3" xfId="6233" xr:uid="{00000000-0005-0000-0000-0000DB050000}"/>
    <cellStyle name="40% - Accent4 2 3 5 3 2" xfId="41751" xr:uid="{BC3DD8B8-BA6A-431C-BC48-AC16FCDD8C60}"/>
    <cellStyle name="40% - Accent4 2 3 5 3 3" xfId="33304" xr:uid="{969953D9-000F-4339-9F36-4E19E15EFCDE}"/>
    <cellStyle name="40% - Accent4 2 3 5 3 4" xfId="24856" xr:uid="{A231249E-3C97-48EA-9E5F-7A4BDCD84CF5}"/>
    <cellStyle name="40% - Accent4 2 3 5 3 5" xfId="15559" xr:uid="{64CAF6BC-2B10-4A19-A209-3C605083B379}"/>
    <cellStyle name="40% - Accent4 2 3 5 4" xfId="37534" xr:uid="{6D499D76-2D15-40B1-91E0-7BF4638D8AE5}"/>
    <cellStyle name="40% - Accent4 2 3 5 5" xfId="29086" xr:uid="{CC46958E-A3BC-42E9-A3EA-60AD89AEDAE5}"/>
    <cellStyle name="40% - Accent4 2 3 5 6" xfId="20639" xr:uid="{6C58C3DC-DF6C-46DC-83BD-9820991D8958}"/>
    <cellStyle name="40% - Accent4 2 3 5 7" xfId="11342" xr:uid="{C1BB9EEA-9B8F-4B17-B07F-E12F9F943400}"/>
    <cellStyle name="40% - Accent4 2 3 6" xfId="2340" xr:uid="{00000000-0005-0000-0000-0000DC050000}"/>
    <cellStyle name="40% - Accent4 2 3 6 2" xfId="6646" xr:uid="{00000000-0005-0000-0000-0000DD050000}"/>
    <cellStyle name="40% - Accent4 2 3 6 2 2" xfId="42164" xr:uid="{285F4AA0-DB8A-413D-80F8-2234FDBCD031}"/>
    <cellStyle name="40% - Accent4 2 3 6 2 3" xfId="33717" xr:uid="{190B2FD4-E0F7-430B-BF1D-4DFE40BB2BAE}"/>
    <cellStyle name="40% - Accent4 2 3 6 2 4" xfId="25269" xr:uid="{860406D0-F583-41C9-BA49-FD18067924C7}"/>
    <cellStyle name="40% - Accent4 2 3 6 2 5" xfId="15972" xr:uid="{DC655651-DDBD-4D7E-99AE-4C95DDD33F11}"/>
    <cellStyle name="40% - Accent4 2 3 6 3" xfId="37947" xr:uid="{02C4C8D1-7B7E-472A-A701-49A66168743E}"/>
    <cellStyle name="40% - Accent4 2 3 6 4" xfId="29499" xr:uid="{3C31DF66-BB4F-4A9D-9F97-72486CAA112C}"/>
    <cellStyle name="40% - Accent4 2 3 6 5" xfId="21052" xr:uid="{8F68C861-4F15-4934-BAC6-06D87A48686C}"/>
    <cellStyle name="40% - Accent4 2 3 6 6" xfId="11755" xr:uid="{D9BEAA5C-F1DB-4D90-A635-BA241E941B07}"/>
    <cellStyle name="40% - Accent4 2 3 7" xfId="4580" xr:uid="{00000000-0005-0000-0000-0000DE050000}"/>
    <cellStyle name="40% - Accent4 2 3 7 2" xfId="40098" xr:uid="{085D6B5F-A802-41AE-972B-511E47016049}"/>
    <cellStyle name="40% - Accent4 2 3 7 3" xfId="31651" xr:uid="{0A6F261C-FE52-4532-8C7B-7C4CF153726C}"/>
    <cellStyle name="40% - Accent4 2 3 7 4" xfId="23203" xr:uid="{E37485A7-C9A4-4CD6-80DE-2B36BC1A2B98}"/>
    <cellStyle name="40% - Accent4 2 3 7 5" xfId="13906" xr:uid="{0AF62D2B-9ECC-44FB-B3EF-1DDA1FD84755}"/>
    <cellStyle name="40% - Accent4 2 3 8" xfId="9008" xr:uid="{270F4CAB-C86F-4D9D-804F-69497913908B}"/>
    <cellStyle name="40% - Accent4 2 3 8 2" xfId="35881" xr:uid="{9690801E-F234-489E-96EA-C7004D32DD8F}"/>
    <cellStyle name="40% - Accent4 2 3 8 3" xfId="18331" xr:uid="{34C5C644-3B11-4541-BC29-78263A7CF598}"/>
    <cellStyle name="40% - Accent4 2 3 9" xfId="27433" xr:uid="{20DDB006-4777-46D1-858D-3A3DD79B7B69}"/>
    <cellStyle name="40% - Accent4 2 4" xfId="643" xr:uid="{00000000-0005-0000-0000-0000DF050000}"/>
    <cellStyle name="40% - Accent4 2 4 2" xfId="2914" xr:uid="{00000000-0005-0000-0000-0000E0050000}"/>
    <cellStyle name="40% - Accent4 2 4 2 2" xfId="7136" xr:uid="{00000000-0005-0000-0000-0000E1050000}"/>
    <cellStyle name="40% - Accent4 2 4 2 2 2" xfId="42654" xr:uid="{1E2556AF-210E-402F-BB71-1E3823B12BFC}"/>
    <cellStyle name="40% - Accent4 2 4 2 2 3" xfId="34207" xr:uid="{C9FB3264-EBCC-4D0D-9F9F-A76695D363DE}"/>
    <cellStyle name="40% - Accent4 2 4 2 2 4" xfId="25759" xr:uid="{1040B222-8013-4207-89BE-21DBA9480279}"/>
    <cellStyle name="40% - Accent4 2 4 2 2 5" xfId="16462" xr:uid="{F0A2784B-1311-4943-9C09-00648066018E}"/>
    <cellStyle name="40% - Accent4 2 4 2 3" xfId="38437" xr:uid="{F75A3056-E82D-49BE-BC11-3C3C46F5C26B}"/>
    <cellStyle name="40% - Accent4 2 4 2 4" xfId="29989" xr:uid="{3F4F7D36-92A1-4FEB-A90C-9F7DDF367E31}"/>
    <cellStyle name="40% - Accent4 2 4 2 5" xfId="21542" xr:uid="{13937201-6AFD-4B32-BF17-C8DFD942A4E0}"/>
    <cellStyle name="40% - Accent4 2 4 2 6" xfId="12245" xr:uid="{AAEDD491-F58F-4ED7-AD5E-492CD02BA4CC}"/>
    <cellStyle name="40% - Accent4 2 4 3" xfId="4991" xr:uid="{00000000-0005-0000-0000-0000E2050000}"/>
    <cellStyle name="40% - Accent4 2 4 3 2" xfId="40509" xr:uid="{E7ACB508-2943-4C68-95B4-ED02FC59F82F}"/>
    <cellStyle name="40% - Accent4 2 4 3 3" xfId="32062" xr:uid="{49742B18-1296-4FED-82D3-67B7E0870EDD}"/>
    <cellStyle name="40% - Accent4 2 4 3 4" xfId="23614" xr:uid="{EE975A96-9CE2-4B7A-A337-4DE4EE23F8E6}"/>
    <cellStyle name="40% - Accent4 2 4 3 5" xfId="14317" xr:uid="{7CAA7F6B-1ED2-42DD-A6F1-7AA4334CB01A}"/>
    <cellStyle name="40% - Accent4 2 4 4" xfId="9225" xr:uid="{40EEB981-54C4-40E4-A2F9-BCD479248D23}"/>
    <cellStyle name="40% - Accent4 2 4 4 2" xfId="36292" xr:uid="{8F602D9E-1FDD-4120-A04E-8D6FD1A42F5D}"/>
    <cellStyle name="40% - Accent4 2 4 4 3" xfId="18539" xr:uid="{9FC13F2A-0CA2-46BC-8983-CE312C92A7A8}"/>
    <cellStyle name="40% - Accent4 2 4 5" xfId="27844" xr:uid="{E82CCCEA-CB7A-4695-BB77-F009155C6F71}"/>
    <cellStyle name="40% - Accent4 2 4 6" xfId="19397" xr:uid="{3875D0A8-C401-473D-9FDD-0AEC1A347AA7}"/>
    <cellStyle name="40% - Accent4 2 4 7" xfId="10100" xr:uid="{B0489528-49FA-4BF2-AE7E-31A74D0E263D}"/>
    <cellStyle name="40% - Accent4 2 5" xfId="1096" xr:uid="{00000000-0005-0000-0000-0000E3050000}"/>
    <cellStyle name="40% - Accent4 2 5 2" xfId="3327" xr:uid="{00000000-0005-0000-0000-0000E4050000}"/>
    <cellStyle name="40% - Accent4 2 5 2 2" xfId="7549" xr:uid="{00000000-0005-0000-0000-0000E5050000}"/>
    <cellStyle name="40% - Accent4 2 5 2 2 2" xfId="43067" xr:uid="{FBFFEE1B-624F-4D55-A9CE-CDEF8ADD3B47}"/>
    <cellStyle name="40% - Accent4 2 5 2 2 3" xfId="34620" xr:uid="{448AAF61-F262-4CB8-A476-AF8D07A63EDA}"/>
    <cellStyle name="40% - Accent4 2 5 2 2 4" xfId="26172" xr:uid="{14C75FAA-E4B2-402B-B122-D3F7EE15BF20}"/>
    <cellStyle name="40% - Accent4 2 5 2 2 5" xfId="16875" xr:uid="{670F6A82-4394-4DFA-A070-BBD4C87160AD}"/>
    <cellStyle name="40% - Accent4 2 5 2 3" xfId="38850" xr:uid="{1C9BEA29-ABEE-4A6F-AE22-D746CED52EFC}"/>
    <cellStyle name="40% - Accent4 2 5 2 4" xfId="30402" xr:uid="{1193D838-051C-47E9-AC44-952FDC959E43}"/>
    <cellStyle name="40% - Accent4 2 5 2 5" xfId="21955" xr:uid="{DD82C190-3A27-49EE-B391-F0DD8CC0CEFC}"/>
    <cellStyle name="40% - Accent4 2 5 2 6" xfId="12658" xr:uid="{C62537C6-F3C5-4636-9F59-448C0E04E615}"/>
    <cellStyle name="40% - Accent4 2 5 3" xfId="5404" xr:uid="{00000000-0005-0000-0000-0000E6050000}"/>
    <cellStyle name="40% - Accent4 2 5 3 2" xfId="40922" xr:uid="{EE7D7170-BE48-49A4-94F6-DECEEDDAEF35}"/>
    <cellStyle name="40% - Accent4 2 5 3 3" xfId="32475" xr:uid="{1A980042-C57F-4B13-AC3F-4E3408717BCF}"/>
    <cellStyle name="40% - Accent4 2 5 3 4" xfId="24027" xr:uid="{F2120FC3-5C4A-4313-A2F8-F31E3F9B3F85}"/>
    <cellStyle name="40% - Accent4 2 5 3 5" xfId="14730" xr:uid="{A8713D5D-29A7-4ADB-80BB-FB9BCC3CC738}"/>
    <cellStyle name="40% - Accent4 2 5 4" xfId="36705" xr:uid="{8C47A20C-DA74-4253-B03E-EBC5C6C15DFB}"/>
    <cellStyle name="40% - Accent4 2 5 5" xfId="28257" xr:uid="{6A34CEEE-522B-467E-94BF-CE7CF3ECF2FE}"/>
    <cellStyle name="40% - Accent4 2 5 6" xfId="19810" xr:uid="{64E8C24B-4DA1-4CFA-B86B-05A297484BDF}"/>
    <cellStyle name="40% - Accent4 2 5 7" xfId="10513" xr:uid="{BEC85AF1-A8B6-4CAA-BFFC-BF9051BE0D7F}"/>
    <cellStyle name="40% - Accent4 2 6" xfId="1510" xr:uid="{00000000-0005-0000-0000-0000E7050000}"/>
    <cellStyle name="40% - Accent4 2 6 2" xfId="3740" xr:uid="{00000000-0005-0000-0000-0000E8050000}"/>
    <cellStyle name="40% - Accent4 2 6 2 2" xfId="7962" xr:uid="{00000000-0005-0000-0000-0000E9050000}"/>
    <cellStyle name="40% - Accent4 2 6 2 2 2" xfId="43480" xr:uid="{D1A69244-4289-428B-ACEC-5ED28BA0341E}"/>
    <cellStyle name="40% - Accent4 2 6 2 2 3" xfId="35033" xr:uid="{32AFEB73-D703-47FD-8B10-9A0ADEA61262}"/>
    <cellStyle name="40% - Accent4 2 6 2 2 4" xfId="26585" xr:uid="{EC156351-3C07-4ABF-9789-797A3A0C64D3}"/>
    <cellStyle name="40% - Accent4 2 6 2 2 5" xfId="17288" xr:uid="{6A77B71A-CAEF-4658-8C01-410C2E7F3EFB}"/>
    <cellStyle name="40% - Accent4 2 6 2 3" xfId="39263" xr:uid="{CF7EAE7D-CE12-467C-851D-97FA4952EABE}"/>
    <cellStyle name="40% - Accent4 2 6 2 4" xfId="30815" xr:uid="{C84D5170-AD3A-46DD-BDF3-73A038CF23E2}"/>
    <cellStyle name="40% - Accent4 2 6 2 5" xfId="22368" xr:uid="{24DB34FE-12F5-4C79-829D-58A1302367A4}"/>
    <cellStyle name="40% - Accent4 2 6 2 6" xfId="13071" xr:uid="{BD3FBC45-7605-41BE-9843-52F1B3C31942}"/>
    <cellStyle name="40% - Accent4 2 6 3" xfId="5817" xr:uid="{00000000-0005-0000-0000-0000EA050000}"/>
    <cellStyle name="40% - Accent4 2 6 3 2" xfId="41335" xr:uid="{3A3AD5DB-F1DD-4382-A9DF-5FF331E12CE8}"/>
    <cellStyle name="40% - Accent4 2 6 3 3" xfId="32888" xr:uid="{E6E145BC-4BCC-4730-868B-33F986203392}"/>
    <cellStyle name="40% - Accent4 2 6 3 4" xfId="24440" xr:uid="{049521A4-3E71-4A18-B2EB-CE22020DD1E3}"/>
    <cellStyle name="40% - Accent4 2 6 3 5" xfId="15143" xr:uid="{E1E3F29F-AD48-44D0-8CCF-7918C24C1007}"/>
    <cellStyle name="40% - Accent4 2 6 4" xfId="37118" xr:uid="{D95939EA-7465-4F24-A593-FCF69B1FFC0A}"/>
    <cellStyle name="40% - Accent4 2 6 5" xfId="28670" xr:uid="{FA9F01A3-A123-4D17-8DD7-49716614CB59}"/>
    <cellStyle name="40% - Accent4 2 6 6" xfId="20223" xr:uid="{E6F09307-B3C5-417B-A875-D50DA98B05D3}"/>
    <cellStyle name="40% - Accent4 2 6 7" xfId="10926" xr:uid="{ACFEC322-28A7-4399-932E-21D8FFB6D03D}"/>
    <cellStyle name="40% - Accent4 2 7" xfId="1924" xr:uid="{00000000-0005-0000-0000-0000EB050000}"/>
    <cellStyle name="40% - Accent4 2 7 2" xfId="4153" xr:uid="{00000000-0005-0000-0000-0000EC050000}"/>
    <cellStyle name="40% - Accent4 2 7 2 2" xfId="8375" xr:uid="{00000000-0005-0000-0000-0000ED050000}"/>
    <cellStyle name="40% - Accent4 2 7 2 2 2" xfId="43893" xr:uid="{5279081D-B1B7-41F2-9FD6-CC4EC6B184CC}"/>
    <cellStyle name="40% - Accent4 2 7 2 2 3" xfId="35446" xr:uid="{59117C2D-CABC-43B4-ABDE-A855390F83BB}"/>
    <cellStyle name="40% - Accent4 2 7 2 2 4" xfId="26998" xr:uid="{D42218EC-EF64-4D9E-9884-12933A0B3826}"/>
    <cellStyle name="40% - Accent4 2 7 2 2 5" xfId="17701" xr:uid="{07D49157-AF39-48E1-B80D-5486BD08C716}"/>
    <cellStyle name="40% - Accent4 2 7 2 3" xfId="39676" xr:uid="{9D5E1F1A-2362-4953-86FA-FC9475FD7771}"/>
    <cellStyle name="40% - Accent4 2 7 2 4" xfId="31228" xr:uid="{5B934130-053A-471B-88EE-9FE51160A115}"/>
    <cellStyle name="40% - Accent4 2 7 2 5" xfId="22781" xr:uid="{98538E5E-6439-4D91-9DAE-479AAB6C44D2}"/>
    <cellStyle name="40% - Accent4 2 7 2 6" xfId="13484" xr:uid="{252E9682-C217-48A4-9C16-D95BAB47BD8D}"/>
    <cellStyle name="40% - Accent4 2 7 3" xfId="6230" xr:uid="{00000000-0005-0000-0000-0000EE050000}"/>
    <cellStyle name="40% - Accent4 2 7 3 2" xfId="41748" xr:uid="{05F6048D-E06F-45DB-A2AE-41F52EFAF3BB}"/>
    <cellStyle name="40% - Accent4 2 7 3 3" xfId="33301" xr:uid="{5261C91A-DAEF-4542-BCCF-BAF884622BFD}"/>
    <cellStyle name="40% - Accent4 2 7 3 4" xfId="24853" xr:uid="{9749A5C9-AFE1-4578-9840-DA01DC645989}"/>
    <cellStyle name="40% - Accent4 2 7 3 5" xfId="15556" xr:uid="{6D3A71E0-7F66-4527-9801-9F5E6AC9A9D5}"/>
    <cellStyle name="40% - Accent4 2 7 4" xfId="37531" xr:uid="{5CF41F59-71AC-4A9C-A582-04DFA412A8B3}"/>
    <cellStyle name="40% - Accent4 2 7 5" xfId="29083" xr:uid="{E5745985-17D8-492C-A87E-7D4E01655B50}"/>
    <cellStyle name="40% - Accent4 2 7 6" xfId="20636" xr:uid="{1639B9E0-8171-4A9B-A7F5-FA3B375971B7}"/>
    <cellStyle name="40% - Accent4 2 7 7" xfId="11339" xr:uid="{A5C3E929-F9F6-4623-A86A-6E37841D88E4}"/>
    <cellStyle name="40% - Accent4 2 8" xfId="2337" xr:uid="{00000000-0005-0000-0000-0000EF050000}"/>
    <cellStyle name="40% - Accent4 2 8 2" xfId="6643" xr:uid="{00000000-0005-0000-0000-0000F0050000}"/>
    <cellStyle name="40% - Accent4 2 8 2 2" xfId="42161" xr:uid="{21ACD331-F1DE-4A97-93CE-A1F4265E1D17}"/>
    <cellStyle name="40% - Accent4 2 8 2 3" xfId="33714" xr:uid="{418F13D9-418A-45D0-AEB3-645556E8A97F}"/>
    <cellStyle name="40% - Accent4 2 8 2 4" xfId="25266" xr:uid="{2220176A-096C-493C-8742-DFDDB8FA4CB4}"/>
    <cellStyle name="40% - Accent4 2 8 2 5" xfId="15969" xr:uid="{9591BCD2-45F1-4CEC-833A-2AB5E32A7644}"/>
    <cellStyle name="40% - Accent4 2 8 3" xfId="37944" xr:uid="{DDD5686B-436C-4BE5-96CD-7114186C3E67}"/>
    <cellStyle name="40% - Accent4 2 8 4" xfId="29496" xr:uid="{6F7D37D3-3BCA-43E8-BBCF-8273C52A4B46}"/>
    <cellStyle name="40% - Accent4 2 8 5" xfId="21049" xr:uid="{91639E10-8B3D-498E-A5DB-5B448EF44EB8}"/>
    <cellStyle name="40% - Accent4 2 8 6" xfId="11752" xr:uid="{36C1F4C4-7D56-47AF-BEC5-0FDF2BE862F0}"/>
    <cellStyle name="40% - Accent4 2 9" xfId="4577" xr:uid="{00000000-0005-0000-0000-0000F1050000}"/>
    <cellStyle name="40% - Accent4 2 9 2" xfId="40095" xr:uid="{D0C9D5B0-FE27-4D18-BB7A-51A048C58F7E}"/>
    <cellStyle name="40% - Accent4 2 9 3" xfId="31648" xr:uid="{D6BD9627-8127-4401-B540-73BBB6960E85}"/>
    <cellStyle name="40% - Accent4 2 9 4" xfId="23200" xr:uid="{310F6503-3492-4434-BB31-F2E49E75144B}"/>
    <cellStyle name="40% - Accent4 2 9 5" xfId="13903" xr:uid="{DFEC2986-CBEA-407A-9CDA-3C774E315BB4}"/>
    <cellStyle name="40% - Accent4 3" xfId="78" xr:uid="{00000000-0005-0000-0000-0000F2050000}"/>
    <cellStyle name="40% - Accent4 3 10" xfId="27434" xr:uid="{4888A366-19BF-40F1-86B8-856F4DE73244}"/>
    <cellStyle name="40% - Accent4 3 11" xfId="18987" xr:uid="{39ED18AC-83F5-4E66-9D25-83EC1B48B6AB}"/>
    <cellStyle name="40% - Accent4 3 12" xfId="9690" xr:uid="{AE5F2E23-7B05-40AE-98B6-175D159060C9}"/>
    <cellStyle name="40% - Accent4 3 2" xfId="79" xr:uid="{00000000-0005-0000-0000-0000F3050000}"/>
    <cellStyle name="40% - Accent4 3 2 10" xfId="18988" xr:uid="{C757182E-264A-4941-A5FC-E5FFF667DDA1}"/>
    <cellStyle name="40% - Accent4 3 2 11" xfId="9691" xr:uid="{92F58B25-C99D-4FF1-88B0-0E634068A9AE}"/>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42659" xr:uid="{5200911C-4C1B-47D2-B4E5-4D5F03E86814}"/>
    <cellStyle name="40% - Accent4 3 2 2 2 2 3" xfId="34212" xr:uid="{07E09C8F-9A2F-49DD-AC93-AB71A4C8E2CD}"/>
    <cellStyle name="40% - Accent4 3 2 2 2 2 4" xfId="25764" xr:uid="{C19A1905-75BC-4156-8A84-1D64657762AB}"/>
    <cellStyle name="40% - Accent4 3 2 2 2 2 5" xfId="16467" xr:uid="{10A8D22C-B621-456B-A16F-E79E18463593}"/>
    <cellStyle name="40% - Accent4 3 2 2 2 3" xfId="38442" xr:uid="{B7046AE3-E892-4F92-B73D-3CD66577CF48}"/>
    <cellStyle name="40% - Accent4 3 2 2 2 4" xfId="29994" xr:uid="{1698C076-864C-4F47-9A61-B59C158EA1CB}"/>
    <cellStyle name="40% - Accent4 3 2 2 2 5" xfId="21547" xr:uid="{D0566949-BD6B-4590-97D7-333E6F44429A}"/>
    <cellStyle name="40% - Accent4 3 2 2 2 6" xfId="12250" xr:uid="{640D52D1-EFC8-49D4-B5E3-927DF38E6E60}"/>
    <cellStyle name="40% - Accent4 3 2 2 3" xfId="4996" xr:uid="{00000000-0005-0000-0000-0000F7050000}"/>
    <cellStyle name="40% - Accent4 3 2 2 3 2" xfId="40514" xr:uid="{30DCDDEA-8865-4A0F-B726-E0B012C44915}"/>
    <cellStyle name="40% - Accent4 3 2 2 3 3" xfId="32067" xr:uid="{2584E04E-9E4F-4013-BCA7-E67C32B5F961}"/>
    <cellStyle name="40% - Accent4 3 2 2 3 4" xfId="23619" xr:uid="{5BFD58E1-AF7B-4040-A40C-DE4B70F788F9}"/>
    <cellStyle name="40% - Accent4 3 2 2 3 5" xfId="14322" xr:uid="{C72D9E17-C015-4725-AEA5-E6846CD51AD5}"/>
    <cellStyle name="40% - Accent4 3 2 2 4" xfId="9500" xr:uid="{EAAAC99F-A3A1-40FB-B78D-6862EF121B7A}"/>
    <cellStyle name="40% - Accent4 3 2 2 4 2" xfId="36297" xr:uid="{9867A4E9-73F1-4646-8204-BC203951234C}"/>
    <cellStyle name="40% - Accent4 3 2 2 4 3" xfId="18813" xr:uid="{0B34A6EB-B1D6-455F-B6C9-99FF2A124009}"/>
    <cellStyle name="40% - Accent4 3 2 2 5" xfId="27849" xr:uid="{AC46C5D1-38AE-4BEF-AABA-2986D1C2A89D}"/>
    <cellStyle name="40% - Accent4 3 2 2 6" xfId="19402" xr:uid="{150EB0F9-1726-4477-B8ED-BF58B53CE84E}"/>
    <cellStyle name="40% - Accent4 3 2 2 7" xfId="10105" xr:uid="{D87713F8-98C9-4AA7-A5F9-52977209D26E}"/>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43072" xr:uid="{B5CD7C32-D305-47E8-B3C9-7F83D1816337}"/>
    <cellStyle name="40% - Accent4 3 2 3 2 2 3" xfId="34625" xr:uid="{89DA52B8-E153-4B3C-AA6F-0FEB09E9A8BB}"/>
    <cellStyle name="40% - Accent4 3 2 3 2 2 4" xfId="26177" xr:uid="{6941E9E0-E22F-4083-AADE-0DC9AF33482D}"/>
    <cellStyle name="40% - Accent4 3 2 3 2 2 5" xfId="16880" xr:uid="{D08CC6B9-06E3-45A2-8128-865AB834EDF9}"/>
    <cellStyle name="40% - Accent4 3 2 3 2 3" xfId="38855" xr:uid="{782BCAC2-F282-4CF1-B10C-1A45916B1D53}"/>
    <cellStyle name="40% - Accent4 3 2 3 2 4" xfId="30407" xr:uid="{7A994322-C3D3-4B5C-B5A8-82354DBD3F82}"/>
    <cellStyle name="40% - Accent4 3 2 3 2 5" xfId="21960" xr:uid="{A85F32D3-B507-4953-A1AB-A1CE5B4C6060}"/>
    <cellStyle name="40% - Accent4 3 2 3 2 6" xfId="12663" xr:uid="{333323B2-91DF-4CB6-ABA8-3873F5514D53}"/>
    <cellStyle name="40% - Accent4 3 2 3 3" xfId="5409" xr:uid="{00000000-0005-0000-0000-0000FB050000}"/>
    <cellStyle name="40% - Accent4 3 2 3 3 2" xfId="40927" xr:uid="{B2891B5C-9394-4379-9244-A9A6F46BB778}"/>
    <cellStyle name="40% - Accent4 3 2 3 3 3" xfId="32480" xr:uid="{9049128A-3B01-4059-8716-FB57842D5E3E}"/>
    <cellStyle name="40% - Accent4 3 2 3 3 4" xfId="24032" xr:uid="{95EBD34F-E661-4F47-9353-8CC8C851CE2F}"/>
    <cellStyle name="40% - Accent4 3 2 3 3 5" xfId="14735" xr:uid="{CFE19C93-B89C-4351-9782-6C0D50B841BB}"/>
    <cellStyle name="40% - Accent4 3 2 3 4" xfId="36710" xr:uid="{6C3DEA88-104B-44A0-9D1E-3DAF07D33D5E}"/>
    <cellStyle name="40% - Accent4 3 2 3 5" xfId="28262" xr:uid="{5FB4CEBB-24A6-4A86-9FCF-B38BAD461CF8}"/>
    <cellStyle name="40% - Accent4 3 2 3 6" xfId="19815" xr:uid="{454DB7CE-5502-4040-A12D-235FC4F8CD22}"/>
    <cellStyle name="40% - Accent4 3 2 3 7" xfId="10518" xr:uid="{56F82ED1-CDC8-40DD-A771-3E3B569A152D}"/>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43485" xr:uid="{EE0967A3-E0BC-470D-B91B-BFEC4162374B}"/>
    <cellStyle name="40% - Accent4 3 2 4 2 2 3" xfId="35038" xr:uid="{6164AA55-3BBB-4B47-BD03-F85FE4481E60}"/>
    <cellStyle name="40% - Accent4 3 2 4 2 2 4" xfId="26590" xr:uid="{6DCBE577-11C3-4937-BE8C-542ED4AC9C5B}"/>
    <cellStyle name="40% - Accent4 3 2 4 2 2 5" xfId="17293" xr:uid="{EA44A31D-5080-4C8E-8F5B-16D3C5C8C964}"/>
    <cellStyle name="40% - Accent4 3 2 4 2 3" xfId="39268" xr:uid="{7698D63D-CF01-47CF-8FE4-AD21E57CB891}"/>
    <cellStyle name="40% - Accent4 3 2 4 2 4" xfId="30820" xr:uid="{77FE79D8-02AC-4A47-811B-510423130759}"/>
    <cellStyle name="40% - Accent4 3 2 4 2 5" xfId="22373" xr:uid="{6B726F2D-FCEF-4EE2-B0CE-3E9A58D1727E}"/>
    <cellStyle name="40% - Accent4 3 2 4 2 6" xfId="13076" xr:uid="{DB34CA7E-E066-4EF0-B50F-77E68C00D577}"/>
    <cellStyle name="40% - Accent4 3 2 4 3" xfId="5822" xr:uid="{00000000-0005-0000-0000-0000FF050000}"/>
    <cellStyle name="40% - Accent4 3 2 4 3 2" xfId="41340" xr:uid="{DAE288FB-B5E1-4648-8A41-289DB73A9AFB}"/>
    <cellStyle name="40% - Accent4 3 2 4 3 3" xfId="32893" xr:uid="{0F796128-D269-486B-B481-28D826CFCA54}"/>
    <cellStyle name="40% - Accent4 3 2 4 3 4" xfId="24445" xr:uid="{D44EB546-6B4B-40C7-80B1-054F976E7180}"/>
    <cellStyle name="40% - Accent4 3 2 4 3 5" xfId="15148" xr:uid="{C6D4DD2C-E8A1-4F4A-9F7E-E9AD01C8EC48}"/>
    <cellStyle name="40% - Accent4 3 2 4 4" xfId="37123" xr:uid="{FC852CDD-FDC1-4FB2-B67C-7A78899E61A6}"/>
    <cellStyle name="40% - Accent4 3 2 4 5" xfId="28675" xr:uid="{30196B7A-1799-403A-8822-E05A4C54E380}"/>
    <cellStyle name="40% - Accent4 3 2 4 6" xfId="20228" xr:uid="{F2304EAD-CC8F-4396-9AD4-F34B2C20FCB1}"/>
    <cellStyle name="40% - Accent4 3 2 4 7" xfId="10931" xr:uid="{8AFF93B1-1C04-4D64-BA14-443A9EAFBB7B}"/>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43898" xr:uid="{D018C145-6D9B-4CD8-AD92-5528837148A6}"/>
    <cellStyle name="40% - Accent4 3 2 5 2 2 3" xfId="35451" xr:uid="{1CC91438-5DCD-4256-9BCC-E3F87E01E38B}"/>
    <cellStyle name="40% - Accent4 3 2 5 2 2 4" xfId="27003" xr:uid="{C7BD52CD-2A05-49EC-8EF8-6486029DB187}"/>
    <cellStyle name="40% - Accent4 3 2 5 2 2 5" xfId="17706" xr:uid="{90925F39-62EC-445E-8B77-E3244FFE5BE3}"/>
    <cellStyle name="40% - Accent4 3 2 5 2 3" xfId="39681" xr:uid="{774B4D4F-24F8-48E8-A4B3-CCE218443065}"/>
    <cellStyle name="40% - Accent4 3 2 5 2 4" xfId="31233" xr:uid="{688E234D-3089-4415-9D1B-D9B50DDDEC7C}"/>
    <cellStyle name="40% - Accent4 3 2 5 2 5" xfId="22786" xr:uid="{F562B2B1-124A-483C-BBFF-A0C57B059375}"/>
    <cellStyle name="40% - Accent4 3 2 5 2 6" xfId="13489" xr:uid="{E16621B9-7177-42AC-9454-6645674FB42B}"/>
    <cellStyle name="40% - Accent4 3 2 5 3" xfId="6235" xr:uid="{00000000-0005-0000-0000-000003060000}"/>
    <cellStyle name="40% - Accent4 3 2 5 3 2" xfId="41753" xr:uid="{DA341EBD-7B09-43E2-975B-562A392B8918}"/>
    <cellStyle name="40% - Accent4 3 2 5 3 3" xfId="33306" xr:uid="{3DA59C83-78BF-4E5D-B4AB-E74A5E20BA65}"/>
    <cellStyle name="40% - Accent4 3 2 5 3 4" xfId="24858" xr:uid="{B6B2BAD1-B05C-45DB-8408-D9685D10B294}"/>
    <cellStyle name="40% - Accent4 3 2 5 3 5" xfId="15561" xr:uid="{C578AFB5-35F3-40BF-86AC-C5C84D9A783E}"/>
    <cellStyle name="40% - Accent4 3 2 5 4" xfId="37536" xr:uid="{52785DE6-55E7-44DC-9696-7ABC8EE177EC}"/>
    <cellStyle name="40% - Accent4 3 2 5 5" xfId="29088" xr:uid="{2DAE74C3-DBAE-4A77-8AA7-97E61779BFB8}"/>
    <cellStyle name="40% - Accent4 3 2 5 6" xfId="20641" xr:uid="{D1ACE9BA-350E-455B-A836-617C16EDE70D}"/>
    <cellStyle name="40% - Accent4 3 2 5 7" xfId="11344" xr:uid="{E0F13BB4-D385-405E-B015-12713F884C56}"/>
    <cellStyle name="40% - Accent4 3 2 6" xfId="2342" xr:uid="{00000000-0005-0000-0000-000004060000}"/>
    <cellStyle name="40% - Accent4 3 2 6 2" xfId="6648" xr:uid="{00000000-0005-0000-0000-000005060000}"/>
    <cellStyle name="40% - Accent4 3 2 6 2 2" xfId="42166" xr:uid="{5047DD3A-CF59-40A1-BB39-3F685D202656}"/>
    <cellStyle name="40% - Accent4 3 2 6 2 3" xfId="33719" xr:uid="{20502A2A-0E80-4DE8-9FCC-C0F333447317}"/>
    <cellStyle name="40% - Accent4 3 2 6 2 4" xfId="25271" xr:uid="{924EDA24-7CD5-4B5D-A3BA-79551E24B226}"/>
    <cellStyle name="40% - Accent4 3 2 6 2 5" xfId="15974" xr:uid="{B3D38E9D-8A06-407A-AE68-E2434A5DEF5F}"/>
    <cellStyle name="40% - Accent4 3 2 6 3" xfId="37949" xr:uid="{79330051-9288-46A9-8224-6F4B97925EB4}"/>
    <cellStyle name="40% - Accent4 3 2 6 4" xfId="29501" xr:uid="{45DA82BB-96A4-48DD-8C6D-6573F87F81EE}"/>
    <cellStyle name="40% - Accent4 3 2 6 5" xfId="21054" xr:uid="{1C16CEBA-253A-4FCF-98CA-4E70D5FC077D}"/>
    <cellStyle name="40% - Accent4 3 2 6 6" xfId="11757" xr:uid="{EBB70B7F-B403-4EBB-9480-00AFA8D2A6EA}"/>
    <cellStyle name="40% - Accent4 3 2 7" xfId="4582" xr:uid="{00000000-0005-0000-0000-000006060000}"/>
    <cellStyle name="40% - Accent4 3 2 7 2" xfId="40100" xr:uid="{3E6B8F33-BB8A-4C6F-A453-9B3545A25159}"/>
    <cellStyle name="40% - Accent4 3 2 7 3" xfId="31653" xr:uid="{42D19FE1-CD11-4316-B4F9-D3CC07BC4362}"/>
    <cellStyle name="40% - Accent4 3 2 7 4" xfId="23205" xr:uid="{2BE37C4F-252D-4424-BD8A-C35F75A8C03A}"/>
    <cellStyle name="40% - Accent4 3 2 7 5" xfId="13908" xr:uid="{7EC5F933-4A57-408A-9A03-217F34A885E4}"/>
    <cellStyle name="40% - Accent4 3 2 8" xfId="9075" xr:uid="{6C51FF47-5618-4E1E-BC97-01FFF287A6C3}"/>
    <cellStyle name="40% - Accent4 3 2 8 2" xfId="35883" xr:uid="{13B364D5-8718-48FE-907A-BAAFF9428D49}"/>
    <cellStyle name="40% - Accent4 3 2 8 3" xfId="18398" xr:uid="{913D4169-D8A9-4B73-AACA-839154B7C718}"/>
    <cellStyle name="40% - Accent4 3 2 9" xfId="27435" xr:uid="{889B6BBF-6797-45A4-99C1-E656B2AA2F3D}"/>
    <cellStyle name="40% - Accent4 3 3" xfId="647" xr:uid="{00000000-0005-0000-0000-000007060000}"/>
    <cellStyle name="40% - Accent4 3 3 2" xfId="2918" xr:uid="{00000000-0005-0000-0000-000008060000}"/>
    <cellStyle name="40% - Accent4 3 3 2 2" xfId="7140" xr:uid="{00000000-0005-0000-0000-000009060000}"/>
    <cellStyle name="40% - Accent4 3 3 2 2 2" xfId="42658" xr:uid="{806AC6A3-A38A-4253-A742-619AA577B3B0}"/>
    <cellStyle name="40% - Accent4 3 3 2 2 3" xfId="34211" xr:uid="{E59578DE-A0EA-47AE-B825-C6A0EF73D828}"/>
    <cellStyle name="40% - Accent4 3 3 2 2 4" xfId="25763" xr:uid="{407039DF-08F9-45D8-9377-8D3ACDCB27A3}"/>
    <cellStyle name="40% - Accent4 3 3 2 2 5" xfId="16466" xr:uid="{1B5680C9-CFD9-402B-B4A6-E9BC60256B95}"/>
    <cellStyle name="40% - Accent4 3 3 2 3" xfId="38441" xr:uid="{AE7886AD-A4DC-4655-A777-C57B5ABBAC9D}"/>
    <cellStyle name="40% - Accent4 3 3 2 4" xfId="29993" xr:uid="{4C2B8078-21B3-42F8-B77B-975E7BA10038}"/>
    <cellStyle name="40% - Accent4 3 3 2 5" xfId="21546" xr:uid="{6CAFCBD8-0BA1-4F13-A2B3-6C542BF50020}"/>
    <cellStyle name="40% - Accent4 3 3 2 6" xfId="12249" xr:uid="{6418FE53-BFC6-4F09-8118-25EFB44BA260}"/>
    <cellStyle name="40% - Accent4 3 3 3" xfId="4995" xr:uid="{00000000-0005-0000-0000-00000A060000}"/>
    <cellStyle name="40% - Accent4 3 3 3 2" xfId="40513" xr:uid="{1BA252CF-5414-457D-8ACF-968018183AB7}"/>
    <cellStyle name="40% - Accent4 3 3 3 3" xfId="32066" xr:uid="{F2341858-2E4A-42D2-841B-4A1E1045D6C3}"/>
    <cellStyle name="40% - Accent4 3 3 3 4" xfId="23618" xr:uid="{774BA8CB-4A60-4DF9-8F4E-6D07F00C5A5C}"/>
    <cellStyle name="40% - Accent4 3 3 3 5" xfId="14321" xr:uid="{3FF28D3B-F5F7-4F98-AC02-BDB95748E940}"/>
    <cellStyle name="40% - Accent4 3 3 4" xfId="9293" xr:uid="{4A28D7F5-3617-45DC-A350-6C6596CDA765}"/>
    <cellStyle name="40% - Accent4 3 3 4 2" xfId="36296" xr:uid="{FD1EF892-15F1-42F4-8847-172D7152B680}"/>
    <cellStyle name="40% - Accent4 3 3 4 3" xfId="18606" xr:uid="{E76C3D28-A8A4-4E3E-8881-53D077728600}"/>
    <cellStyle name="40% - Accent4 3 3 5" xfId="27848" xr:uid="{94A44E4B-0AE0-4FE1-B586-4188B2950D6A}"/>
    <cellStyle name="40% - Accent4 3 3 6" xfId="19401" xr:uid="{FF06EC9A-2374-447A-B5EF-DC11E273CC37}"/>
    <cellStyle name="40% - Accent4 3 3 7" xfId="10104" xr:uid="{E0CEFBEB-5ED5-4EA3-AD80-416EC9028F1F}"/>
    <cellStyle name="40% - Accent4 3 4" xfId="1100" xr:uid="{00000000-0005-0000-0000-00000B060000}"/>
    <cellStyle name="40% - Accent4 3 4 2" xfId="3331" xr:uid="{00000000-0005-0000-0000-00000C060000}"/>
    <cellStyle name="40% - Accent4 3 4 2 2" xfId="7553" xr:uid="{00000000-0005-0000-0000-00000D060000}"/>
    <cellStyle name="40% - Accent4 3 4 2 2 2" xfId="43071" xr:uid="{0461E0CF-4DF1-4E94-BEC2-72B0DB440A44}"/>
    <cellStyle name="40% - Accent4 3 4 2 2 3" xfId="34624" xr:uid="{87BE9942-B21F-4291-A2BD-833CE537C417}"/>
    <cellStyle name="40% - Accent4 3 4 2 2 4" xfId="26176" xr:uid="{45E4C0D4-BAF7-4083-85AB-73E58A3ACF44}"/>
    <cellStyle name="40% - Accent4 3 4 2 2 5" xfId="16879" xr:uid="{7A64B514-81F9-49DC-B054-500E39A7088B}"/>
    <cellStyle name="40% - Accent4 3 4 2 3" xfId="38854" xr:uid="{BBBE5F26-85F1-41BB-AEE3-EA456E703A48}"/>
    <cellStyle name="40% - Accent4 3 4 2 4" xfId="30406" xr:uid="{28058518-DD75-4D06-9358-FF65BEB8C086}"/>
    <cellStyle name="40% - Accent4 3 4 2 5" xfId="21959" xr:uid="{01BC034B-9BE0-4C91-B78D-56111E07B78D}"/>
    <cellStyle name="40% - Accent4 3 4 2 6" xfId="12662" xr:uid="{98321150-105F-41D9-AD9D-C21B651C9786}"/>
    <cellStyle name="40% - Accent4 3 4 3" xfId="5408" xr:uid="{00000000-0005-0000-0000-00000E060000}"/>
    <cellStyle name="40% - Accent4 3 4 3 2" xfId="40926" xr:uid="{74874A15-8B2D-4EC9-954D-EE4B221291CC}"/>
    <cellStyle name="40% - Accent4 3 4 3 3" xfId="32479" xr:uid="{BCDA4FC2-0BB1-410A-8AC6-41CF0426C1B2}"/>
    <cellStyle name="40% - Accent4 3 4 3 4" xfId="24031" xr:uid="{0F478867-98E2-410A-8163-2FAE5F5D3F3F}"/>
    <cellStyle name="40% - Accent4 3 4 3 5" xfId="14734" xr:uid="{E23DAA2D-05D5-4E51-9558-B386D7BD8CC3}"/>
    <cellStyle name="40% - Accent4 3 4 4" xfId="36709" xr:uid="{8FF3B26E-E1B6-43DC-8E0D-531D4983D007}"/>
    <cellStyle name="40% - Accent4 3 4 5" xfId="28261" xr:uid="{FD680014-FAFA-4EEA-B4CF-9D058E4459FE}"/>
    <cellStyle name="40% - Accent4 3 4 6" xfId="19814" xr:uid="{F1CDADEE-DB72-4EB1-9517-00EC5780C06C}"/>
    <cellStyle name="40% - Accent4 3 4 7" xfId="10517" xr:uid="{000EE8F2-34B2-4441-BF84-47CC3C929602}"/>
    <cellStyle name="40% - Accent4 3 5" xfId="1514" xr:uid="{00000000-0005-0000-0000-00000F060000}"/>
    <cellStyle name="40% - Accent4 3 5 2" xfId="3744" xr:uid="{00000000-0005-0000-0000-000010060000}"/>
    <cellStyle name="40% - Accent4 3 5 2 2" xfId="7966" xr:uid="{00000000-0005-0000-0000-000011060000}"/>
    <cellStyle name="40% - Accent4 3 5 2 2 2" xfId="43484" xr:uid="{977F8D88-F0AA-4B7F-BE46-56033A5F33E5}"/>
    <cellStyle name="40% - Accent4 3 5 2 2 3" xfId="35037" xr:uid="{AE1060ED-EB90-4002-B5D8-66B6138DF053}"/>
    <cellStyle name="40% - Accent4 3 5 2 2 4" xfId="26589" xr:uid="{D2591982-2BA5-45A1-B670-0F76A95A649E}"/>
    <cellStyle name="40% - Accent4 3 5 2 2 5" xfId="17292" xr:uid="{DD68F293-9FE7-4D00-97D6-69C9AF77431C}"/>
    <cellStyle name="40% - Accent4 3 5 2 3" xfId="39267" xr:uid="{D494C7FA-302E-48CC-B8E4-42F65D0B0BEC}"/>
    <cellStyle name="40% - Accent4 3 5 2 4" xfId="30819" xr:uid="{F757E6FD-9168-4DD3-9B23-25A6E270645A}"/>
    <cellStyle name="40% - Accent4 3 5 2 5" xfId="22372" xr:uid="{60787B29-5604-4EEA-9BA7-46BD17260C87}"/>
    <cellStyle name="40% - Accent4 3 5 2 6" xfId="13075" xr:uid="{21346650-29CA-400C-A0F0-679231E3A6F4}"/>
    <cellStyle name="40% - Accent4 3 5 3" xfId="5821" xr:uid="{00000000-0005-0000-0000-000012060000}"/>
    <cellStyle name="40% - Accent4 3 5 3 2" xfId="41339" xr:uid="{7C772D27-6B90-4701-87E1-8496B209D5A7}"/>
    <cellStyle name="40% - Accent4 3 5 3 3" xfId="32892" xr:uid="{F9904F2A-0FC6-41F7-8EB5-EAB1820B026D}"/>
    <cellStyle name="40% - Accent4 3 5 3 4" xfId="24444" xr:uid="{65E937F2-A2BF-46C5-B301-ADD65C8CF89F}"/>
    <cellStyle name="40% - Accent4 3 5 3 5" xfId="15147" xr:uid="{3611691E-40DB-417E-AB88-5D2FF8D904B5}"/>
    <cellStyle name="40% - Accent4 3 5 4" xfId="37122" xr:uid="{CDF845AE-F14D-461D-A9CB-C7C9A9481A84}"/>
    <cellStyle name="40% - Accent4 3 5 5" xfId="28674" xr:uid="{D4AA8C81-599B-446F-898E-726E49206FAA}"/>
    <cellStyle name="40% - Accent4 3 5 6" xfId="20227" xr:uid="{2EC0E355-18E5-45EC-87F5-DC6701914330}"/>
    <cellStyle name="40% - Accent4 3 5 7" xfId="10930" xr:uid="{E078FD11-ABCB-4F27-8439-F58C5B29E65C}"/>
    <cellStyle name="40% - Accent4 3 6" xfId="1928" xr:uid="{00000000-0005-0000-0000-000013060000}"/>
    <cellStyle name="40% - Accent4 3 6 2" xfId="4157" xr:uid="{00000000-0005-0000-0000-000014060000}"/>
    <cellStyle name="40% - Accent4 3 6 2 2" xfId="8379" xr:uid="{00000000-0005-0000-0000-000015060000}"/>
    <cellStyle name="40% - Accent4 3 6 2 2 2" xfId="43897" xr:uid="{49A1C1EA-5092-4751-8AC7-FBF8B6B4B9E9}"/>
    <cellStyle name="40% - Accent4 3 6 2 2 3" xfId="35450" xr:uid="{D3EF086C-F1F6-4B86-A336-F73B01652C90}"/>
    <cellStyle name="40% - Accent4 3 6 2 2 4" xfId="27002" xr:uid="{9F2B719A-2283-4AE9-BA5C-8AC84FEF847A}"/>
    <cellStyle name="40% - Accent4 3 6 2 2 5" xfId="17705" xr:uid="{3ACE227E-C513-4FB8-A27E-E55FCCF71560}"/>
    <cellStyle name="40% - Accent4 3 6 2 3" xfId="39680" xr:uid="{9D2498C1-3D96-4CCF-9CC3-5E2703E29588}"/>
    <cellStyle name="40% - Accent4 3 6 2 4" xfId="31232" xr:uid="{97792E32-54A4-429C-A57F-18F3275B14C9}"/>
    <cellStyle name="40% - Accent4 3 6 2 5" xfId="22785" xr:uid="{484EDD9A-2D94-4409-B8B1-8FE55510CAFF}"/>
    <cellStyle name="40% - Accent4 3 6 2 6" xfId="13488" xr:uid="{CDA31DE9-4E74-40C8-8FA4-33A9A9324A78}"/>
    <cellStyle name="40% - Accent4 3 6 3" xfId="6234" xr:uid="{00000000-0005-0000-0000-000016060000}"/>
    <cellStyle name="40% - Accent4 3 6 3 2" xfId="41752" xr:uid="{0429E9E9-0C29-45AA-B7F2-F190A32C5E51}"/>
    <cellStyle name="40% - Accent4 3 6 3 3" xfId="33305" xr:uid="{85AE06B6-07F3-41F4-BBAF-E12D63132EBC}"/>
    <cellStyle name="40% - Accent4 3 6 3 4" xfId="24857" xr:uid="{606E512D-BA5C-4DEF-9740-ED3D86FBCFCF}"/>
    <cellStyle name="40% - Accent4 3 6 3 5" xfId="15560" xr:uid="{1B417F7B-60D6-4132-9640-50C317E2EE09}"/>
    <cellStyle name="40% - Accent4 3 6 4" xfId="37535" xr:uid="{4EBBA64B-B60C-437B-A2D5-52C5B36273CE}"/>
    <cellStyle name="40% - Accent4 3 6 5" xfId="29087" xr:uid="{C3B56E3E-2864-413E-97E2-054B0D7ED817}"/>
    <cellStyle name="40% - Accent4 3 6 6" xfId="20640" xr:uid="{BFA08949-CC50-44C7-A76F-841664D8F5F3}"/>
    <cellStyle name="40% - Accent4 3 6 7" xfId="11343" xr:uid="{8F9B7A65-5DA5-414A-8FDC-D2EBB48CA3B8}"/>
    <cellStyle name="40% - Accent4 3 7" xfId="2341" xr:uid="{00000000-0005-0000-0000-000017060000}"/>
    <cellStyle name="40% - Accent4 3 7 2" xfId="6647" xr:uid="{00000000-0005-0000-0000-000018060000}"/>
    <cellStyle name="40% - Accent4 3 7 2 2" xfId="42165" xr:uid="{AA938F48-8522-4395-A12C-53F9CE4A3C52}"/>
    <cellStyle name="40% - Accent4 3 7 2 3" xfId="33718" xr:uid="{21DDF028-4061-4914-83C2-CC5B134745AE}"/>
    <cellStyle name="40% - Accent4 3 7 2 4" xfId="25270" xr:uid="{67567404-5A66-4352-8223-363501024080}"/>
    <cellStyle name="40% - Accent4 3 7 2 5" xfId="15973" xr:uid="{C866F93D-2B51-4A51-A481-40F4BA7553EE}"/>
    <cellStyle name="40% - Accent4 3 7 3" xfId="37948" xr:uid="{5B033D0A-879B-4BA4-925B-5FFFBED61075}"/>
    <cellStyle name="40% - Accent4 3 7 4" xfId="29500" xr:uid="{A398354A-C972-40FE-899A-900853F6E6CC}"/>
    <cellStyle name="40% - Accent4 3 7 5" xfId="21053" xr:uid="{17EB4D94-3F0C-45A9-A3C0-1349EFC55C99}"/>
    <cellStyle name="40% - Accent4 3 7 6" xfId="11756" xr:uid="{F38106DD-7C6E-4F56-AF88-1BB4C6137436}"/>
    <cellStyle name="40% - Accent4 3 8" xfId="4581" xr:uid="{00000000-0005-0000-0000-000019060000}"/>
    <cellStyle name="40% - Accent4 3 8 2" xfId="40099" xr:uid="{666CF6E1-1BF7-41ED-B3E0-9539D9E36A00}"/>
    <cellStyle name="40% - Accent4 3 8 3" xfId="31652" xr:uid="{55ED4EC6-EE3F-4A1F-8FE8-75F3B94438B7}"/>
    <cellStyle name="40% - Accent4 3 8 4" xfId="23204" xr:uid="{22EC781B-1B4B-47BB-BEB6-9A779808A5D4}"/>
    <cellStyle name="40% - Accent4 3 8 5" xfId="13907" xr:uid="{F1FC2981-A26C-45AF-BB6B-09730AF67750}"/>
    <cellStyle name="40% - Accent4 3 9" xfId="8868" xr:uid="{538D9F50-ACCA-4DB0-A3F1-A129ACFFA0BF}"/>
    <cellStyle name="40% - Accent4 3 9 2" xfId="35882" xr:uid="{4C4F24CE-1004-4018-822B-ED059B56E69C}"/>
    <cellStyle name="40% - Accent4 3 9 3" xfId="18191" xr:uid="{800CEBB9-70CB-4C3E-AD8C-5299B2B1CCE3}"/>
    <cellStyle name="40% - Accent4 4" xfId="80" xr:uid="{00000000-0005-0000-0000-00001A060000}"/>
    <cellStyle name="40% - Accent4 4 10" xfId="18989" xr:uid="{5937FC35-0E78-491C-BA18-A6D985606158}"/>
    <cellStyle name="40% - Accent4 4 11" xfId="9692" xr:uid="{51D12CDE-3962-402A-878E-23CB5677EB37}"/>
    <cellStyle name="40% - Accent4 4 2" xfId="649" xr:uid="{00000000-0005-0000-0000-00001B060000}"/>
    <cellStyle name="40% - Accent4 4 2 2" xfId="2920" xr:uid="{00000000-0005-0000-0000-00001C060000}"/>
    <cellStyle name="40% - Accent4 4 2 2 2" xfId="7142" xr:uid="{00000000-0005-0000-0000-00001D060000}"/>
    <cellStyle name="40% - Accent4 4 2 2 2 2" xfId="42660" xr:uid="{B4CDBD69-99B6-43AB-B82E-0D8461FFFC92}"/>
    <cellStyle name="40% - Accent4 4 2 2 2 3" xfId="34213" xr:uid="{0E305C52-C48C-47AC-B332-625576192AF6}"/>
    <cellStyle name="40% - Accent4 4 2 2 2 4" xfId="25765" xr:uid="{2F6BB5EF-6B4C-4C1B-9B30-FA28C761AB72}"/>
    <cellStyle name="40% - Accent4 4 2 2 2 5" xfId="16468" xr:uid="{28AF1E20-C5D8-4447-944B-4A34BC8976CD}"/>
    <cellStyle name="40% - Accent4 4 2 2 3" xfId="38443" xr:uid="{5D43B14C-7263-4F0C-A5C5-97CE4EE18DEB}"/>
    <cellStyle name="40% - Accent4 4 2 2 4" xfId="29995" xr:uid="{17CA642E-A5A7-42B8-BC60-D99710F1E6A9}"/>
    <cellStyle name="40% - Accent4 4 2 2 5" xfId="21548" xr:uid="{5BC32984-3949-4E21-AE90-62202F9F4474}"/>
    <cellStyle name="40% - Accent4 4 2 2 6" xfId="12251" xr:uid="{E00C49E9-687A-449F-9D0B-3EA0250ACDDF}"/>
    <cellStyle name="40% - Accent4 4 2 3" xfId="4997" xr:uid="{00000000-0005-0000-0000-00001E060000}"/>
    <cellStyle name="40% - Accent4 4 2 3 2" xfId="40515" xr:uid="{9A28BC92-ABA4-45C9-82A4-47B47589490E}"/>
    <cellStyle name="40% - Accent4 4 2 3 3" xfId="32068" xr:uid="{0D0A1717-6D99-478C-B0E6-FAC16A1BFC1E}"/>
    <cellStyle name="40% - Accent4 4 2 3 4" xfId="23620" xr:uid="{73C01C53-28CA-45EC-9EEA-3796BE2861AB}"/>
    <cellStyle name="40% - Accent4 4 2 3 5" xfId="14323" xr:uid="{3A6736A6-CAD3-4B1C-A6B3-555A518910DB}"/>
    <cellStyle name="40% - Accent4 4 2 4" xfId="9379" xr:uid="{EE31EAE0-1741-4D6E-B7B4-C5DB59044F55}"/>
    <cellStyle name="40% - Accent4 4 2 4 2" xfId="36298" xr:uid="{13E40380-20D3-43E0-98E4-855E7C857DE2}"/>
    <cellStyle name="40% - Accent4 4 2 4 3" xfId="18692" xr:uid="{9933579C-EEDE-40AD-A4B5-1511B3DB8015}"/>
    <cellStyle name="40% - Accent4 4 2 5" xfId="27850" xr:uid="{AE57BA76-B93A-4ACA-A4E3-B3CFB99A73D0}"/>
    <cellStyle name="40% - Accent4 4 2 6" xfId="19403" xr:uid="{B9DADC4F-02F6-4C0C-9A1A-9F20B5B8B435}"/>
    <cellStyle name="40% - Accent4 4 2 7" xfId="10106" xr:uid="{6DD5B42C-21A0-4ED7-A3BC-84CE23C83B5F}"/>
    <cellStyle name="40% - Accent4 4 3" xfId="1102" xr:uid="{00000000-0005-0000-0000-00001F060000}"/>
    <cellStyle name="40% - Accent4 4 3 2" xfId="3333" xr:uid="{00000000-0005-0000-0000-000020060000}"/>
    <cellStyle name="40% - Accent4 4 3 2 2" xfId="7555" xr:uid="{00000000-0005-0000-0000-000021060000}"/>
    <cellStyle name="40% - Accent4 4 3 2 2 2" xfId="43073" xr:uid="{ED270AD7-41E3-4AFB-BD12-3913898428E2}"/>
    <cellStyle name="40% - Accent4 4 3 2 2 3" xfId="34626" xr:uid="{15A70DAD-BFF4-4172-B30A-1BFACC7BD969}"/>
    <cellStyle name="40% - Accent4 4 3 2 2 4" xfId="26178" xr:uid="{690F8C66-02BD-4B6C-B8DD-DC8DFB54C3D2}"/>
    <cellStyle name="40% - Accent4 4 3 2 2 5" xfId="16881" xr:uid="{A19B29EE-F1CE-4498-AD57-A568F6DEC4F8}"/>
    <cellStyle name="40% - Accent4 4 3 2 3" xfId="38856" xr:uid="{971EFD1A-9077-4E19-9061-3AED84BF1B95}"/>
    <cellStyle name="40% - Accent4 4 3 2 4" xfId="30408" xr:uid="{4835FC36-48D7-418B-A715-E54DFAA9DC59}"/>
    <cellStyle name="40% - Accent4 4 3 2 5" xfId="21961" xr:uid="{17281BC2-EC50-463A-AEDF-C89ADB027A80}"/>
    <cellStyle name="40% - Accent4 4 3 2 6" xfId="12664" xr:uid="{C9978DEA-5ADD-4408-A356-7A57EA7CE8AF}"/>
    <cellStyle name="40% - Accent4 4 3 3" xfId="5410" xr:uid="{00000000-0005-0000-0000-000022060000}"/>
    <cellStyle name="40% - Accent4 4 3 3 2" xfId="40928" xr:uid="{61A9E950-E0C4-4447-8884-92EEE2C71FD9}"/>
    <cellStyle name="40% - Accent4 4 3 3 3" xfId="32481" xr:uid="{8E9267EE-2A30-4F48-A49E-089E2628C662}"/>
    <cellStyle name="40% - Accent4 4 3 3 4" xfId="24033" xr:uid="{29012907-783A-467D-B2F3-820034FA8F1E}"/>
    <cellStyle name="40% - Accent4 4 3 3 5" xfId="14736" xr:uid="{03555517-148D-48F0-9420-45CF1BA87B5A}"/>
    <cellStyle name="40% - Accent4 4 3 4" xfId="36711" xr:uid="{A609F46F-5C39-4BD0-BDD2-173FDB54D78F}"/>
    <cellStyle name="40% - Accent4 4 3 5" xfId="28263" xr:uid="{A09C683A-C824-4A22-B541-03103D6CF7B2}"/>
    <cellStyle name="40% - Accent4 4 3 6" xfId="19816" xr:uid="{803CCB43-5DD5-410A-8C1A-979F93337A45}"/>
    <cellStyle name="40% - Accent4 4 3 7" xfId="10519" xr:uid="{167C6C8E-DC54-4148-A129-67BE2C16E12A}"/>
    <cellStyle name="40% - Accent4 4 4" xfId="1516" xr:uid="{00000000-0005-0000-0000-000023060000}"/>
    <cellStyle name="40% - Accent4 4 4 2" xfId="3746" xr:uid="{00000000-0005-0000-0000-000024060000}"/>
    <cellStyle name="40% - Accent4 4 4 2 2" xfId="7968" xr:uid="{00000000-0005-0000-0000-000025060000}"/>
    <cellStyle name="40% - Accent4 4 4 2 2 2" xfId="43486" xr:uid="{DA83AA44-FD51-4096-B8BF-2F7BF3F4600D}"/>
    <cellStyle name="40% - Accent4 4 4 2 2 3" xfId="35039" xr:uid="{2769884F-0B13-42AC-8266-1C292BE6BA10}"/>
    <cellStyle name="40% - Accent4 4 4 2 2 4" xfId="26591" xr:uid="{F2D06BD6-74B9-44B1-BC7E-8F10039F4E06}"/>
    <cellStyle name="40% - Accent4 4 4 2 2 5" xfId="17294" xr:uid="{47602BFE-1489-4B99-BB85-4C05D1E83C91}"/>
    <cellStyle name="40% - Accent4 4 4 2 3" xfId="39269" xr:uid="{21135DDA-7723-4718-9F5D-318BCF8B69C9}"/>
    <cellStyle name="40% - Accent4 4 4 2 4" xfId="30821" xr:uid="{49C7FF8A-B056-483E-82C8-4FA2B446B1BD}"/>
    <cellStyle name="40% - Accent4 4 4 2 5" xfId="22374" xr:uid="{605E57EC-CEC8-40A7-A17C-245777F25CA8}"/>
    <cellStyle name="40% - Accent4 4 4 2 6" xfId="13077" xr:uid="{09B389BE-D58A-4D05-A13F-C2144F9E4173}"/>
    <cellStyle name="40% - Accent4 4 4 3" xfId="5823" xr:uid="{00000000-0005-0000-0000-000026060000}"/>
    <cellStyle name="40% - Accent4 4 4 3 2" xfId="41341" xr:uid="{0A9820EC-9FA2-459E-A5B5-48B75BE37B98}"/>
    <cellStyle name="40% - Accent4 4 4 3 3" xfId="32894" xr:uid="{E7AD2E91-96B3-4110-8EFE-674CC71EC524}"/>
    <cellStyle name="40% - Accent4 4 4 3 4" xfId="24446" xr:uid="{F68DBD0D-6845-44BC-B2E1-EE717BF57216}"/>
    <cellStyle name="40% - Accent4 4 4 3 5" xfId="15149" xr:uid="{B4BE4295-3378-4266-84CE-37430744B4CB}"/>
    <cellStyle name="40% - Accent4 4 4 4" xfId="37124" xr:uid="{E1760F01-76F3-492F-A242-B5855C82C909}"/>
    <cellStyle name="40% - Accent4 4 4 5" xfId="28676" xr:uid="{AF12DD20-2815-4BAD-8BB8-F6DEDEADA66D}"/>
    <cellStyle name="40% - Accent4 4 4 6" xfId="20229" xr:uid="{47F1312A-72C7-430A-A595-84D26FAAA4E6}"/>
    <cellStyle name="40% - Accent4 4 4 7" xfId="10932" xr:uid="{66D11311-879E-4479-A156-6E05EE30BF7A}"/>
    <cellStyle name="40% - Accent4 4 5" xfId="1930" xr:uid="{00000000-0005-0000-0000-000027060000}"/>
    <cellStyle name="40% - Accent4 4 5 2" xfId="4159" xr:uid="{00000000-0005-0000-0000-000028060000}"/>
    <cellStyle name="40% - Accent4 4 5 2 2" xfId="8381" xr:uid="{00000000-0005-0000-0000-000029060000}"/>
    <cellStyle name="40% - Accent4 4 5 2 2 2" xfId="43899" xr:uid="{D947A793-C44B-428A-83B7-345FCD5000AB}"/>
    <cellStyle name="40% - Accent4 4 5 2 2 3" xfId="35452" xr:uid="{D8604ACD-53FB-45E2-890C-B7750ACB34C4}"/>
    <cellStyle name="40% - Accent4 4 5 2 2 4" xfId="27004" xr:uid="{378E4068-6144-48D2-A4A9-E47C52F0654C}"/>
    <cellStyle name="40% - Accent4 4 5 2 2 5" xfId="17707" xr:uid="{779BBBEA-C887-4C6D-A01C-D9694122B52D}"/>
    <cellStyle name="40% - Accent4 4 5 2 3" xfId="39682" xr:uid="{A9E115FE-3859-44AE-BA62-42550E54A8F4}"/>
    <cellStyle name="40% - Accent4 4 5 2 4" xfId="31234" xr:uid="{1ECD8AA2-5E91-4E92-9BBD-C5773FDF106D}"/>
    <cellStyle name="40% - Accent4 4 5 2 5" xfId="22787" xr:uid="{56AAEBED-82CE-4919-95F2-3A61292DAF6F}"/>
    <cellStyle name="40% - Accent4 4 5 2 6" xfId="13490" xr:uid="{137BE512-8178-42FC-9CC2-22032EA277EF}"/>
    <cellStyle name="40% - Accent4 4 5 3" xfId="6236" xr:uid="{00000000-0005-0000-0000-00002A060000}"/>
    <cellStyle name="40% - Accent4 4 5 3 2" xfId="41754" xr:uid="{57F2AA43-22C0-4CF0-BC61-7C3A24E68193}"/>
    <cellStyle name="40% - Accent4 4 5 3 3" xfId="33307" xr:uid="{B20F656A-5B98-411D-8F34-C34EA9C41CF1}"/>
    <cellStyle name="40% - Accent4 4 5 3 4" xfId="24859" xr:uid="{C087BC22-DA8B-4B61-9895-57888485F3B9}"/>
    <cellStyle name="40% - Accent4 4 5 3 5" xfId="15562" xr:uid="{BC8A981D-2D81-4522-982E-F08696DC9E63}"/>
    <cellStyle name="40% - Accent4 4 5 4" xfId="37537" xr:uid="{B7F2D0CA-4CFE-4578-B0CC-281956F26B36}"/>
    <cellStyle name="40% - Accent4 4 5 5" xfId="29089" xr:uid="{D65D963E-F443-462A-84A5-DB7C51A7FDB2}"/>
    <cellStyle name="40% - Accent4 4 5 6" xfId="20642" xr:uid="{4B9FBCDE-7DAC-40B0-ACD1-60624B3B5B9D}"/>
    <cellStyle name="40% - Accent4 4 5 7" xfId="11345" xr:uid="{7D4AF2BB-890C-4481-9670-CBBB19DC3947}"/>
    <cellStyle name="40% - Accent4 4 6" xfId="2343" xr:uid="{00000000-0005-0000-0000-00002B060000}"/>
    <cellStyle name="40% - Accent4 4 6 2" xfId="6649" xr:uid="{00000000-0005-0000-0000-00002C060000}"/>
    <cellStyle name="40% - Accent4 4 6 2 2" xfId="42167" xr:uid="{E4A9F276-C717-4C3E-9505-10F85DFAC607}"/>
    <cellStyle name="40% - Accent4 4 6 2 3" xfId="33720" xr:uid="{CB4BC990-EE1A-4A7A-86E0-33A3E1EE502C}"/>
    <cellStyle name="40% - Accent4 4 6 2 4" xfId="25272" xr:uid="{A2431623-FC41-493C-B353-6E1293870A01}"/>
    <cellStyle name="40% - Accent4 4 6 2 5" xfId="15975" xr:uid="{2CD1919E-E71D-4B46-934D-C988AFF9B059}"/>
    <cellStyle name="40% - Accent4 4 6 3" xfId="37950" xr:uid="{D38DA7ED-1D63-4E05-8F77-187DE206007F}"/>
    <cellStyle name="40% - Accent4 4 6 4" xfId="29502" xr:uid="{874B33EC-1FAF-41D8-8B91-7C43F0421C54}"/>
    <cellStyle name="40% - Accent4 4 6 5" xfId="21055" xr:uid="{583C830F-E004-45F8-B0B6-DD4DD9172749}"/>
    <cellStyle name="40% - Accent4 4 6 6" xfId="11758" xr:uid="{71396CAC-054D-4EC2-B5A2-C47014E2CD06}"/>
    <cellStyle name="40% - Accent4 4 7" xfId="4583" xr:uid="{00000000-0005-0000-0000-00002D060000}"/>
    <cellStyle name="40% - Accent4 4 7 2" xfId="40101" xr:uid="{F9C8B001-5956-49B8-975A-FA9A15103E7E}"/>
    <cellStyle name="40% - Accent4 4 7 3" xfId="31654" xr:uid="{5EA995F2-9DBE-4634-ABCE-90E6F20A23C5}"/>
    <cellStyle name="40% - Accent4 4 7 4" xfId="23206" xr:uid="{458241C2-BF79-4AD3-A060-13E70EE836FF}"/>
    <cellStyle name="40% - Accent4 4 7 5" xfId="13909" xr:uid="{25AAFA3C-BDAB-4929-965F-94D7680D7DAF}"/>
    <cellStyle name="40% - Accent4 4 8" xfId="8954" xr:uid="{2C178683-58B3-4513-85E7-15FAC3AC035D}"/>
    <cellStyle name="40% - Accent4 4 8 2" xfId="35884" xr:uid="{FEE961F4-A34A-43F0-9378-6A7592267053}"/>
    <cellStyle name="40% - Accent4 4 8 3" xfId="18277" xr:uid="{49F71E06-D587-4F4E-8CC9-556E25DBF4D5}"/>
    <cellStyle name="40% - Accent4 4 9" xfId="27436" xr:uid="{4EA77355-8EE0-49A2-B19A-06F097C6994E}"/>
    <cellStyle name="40% - Accent4 5" xfId="642" xr:uid="{00000000-0005-0000-0000-00002E060000}"/>
    <cellStyle name="40% - Accent4 5 2" xfId="2913" xr:uid="{00000000-0005-0000-0000-00002F060000}"/>
    <cellStyle name="40% - Accent4 5 2 2" xfId="7135" xr:uid="{00000000-0005-0000-0000-000030060000}"/>
    <cellStyle name="40% - Accent4 5 2 2 2" xfId="42653" xr:uid="{E42ACDB7-3985-45A8-9B11-DF2EA19EE476}"/>
    <cellStyle name="40% - Accent4 5 2 2 3" xfId="34206" xr:uid="{2AF85699-AE81-444E-88E6-3EE2989BCC2B}"/>
    <cellStyle name="40% - Accent4 5 2 2 4" xfId="25758" xr:uid="{6FBCA720-BF6D-406A-973E-059EEDB3726E}"/>
    <cellStyle name="40% - Accent4 5 2 2 5" xfId="16461" xr:uid="{99139391-11C8-4846-B00C-8FEA3C9DA05A}"/>
    <cellStyle name="40% - Accent4 5 2 3" xfId="38436" xr:uid="{B59F339B-E13F-45DA-8210-3D8A4BBCE117}"/>
    <cellStyle name="40% - Accent4 5 2 4" xfId="29988" xr:uid="{F7EAF1EC-6F15-4300-A33C-33F3F0ED397A}"/>
    <cellStyle name="40% - Accent4 5 2 5" xfId="21541" xr:uid="{825312FA-7F2F-41FF-952E-1B89FDE6C1E4}"/>
    <cellStyle name="40% - Accent4 5 2 6" xfId="12244" xr:uid="{660FF3F9-2C30-4CEA-BDB9-F17D43DA65C4}"/>
    <cellStyle name="40% - Accent4 5 3" xfId="4990" xr:uid="{00000000-0005-0000-0000-000031060000}"/>
    <cellStyle name="40% - Accent4 5 3 2" xfId="40508" xr:uid="{7498F81E-8CBE-4F37-9DC2-AFAF7D81492D}"/>
    <cellStyle name="40% - Accent4 5 3 3" xfId="32061" xr:uid="{907EE41B-2817-46C6-A54F-8DE7A1C4A453}"/>
    <cellStyle name="40% - Accent4 5 3 4" xfId="23613" xr:uid="{4C2A6E7C-ADA6-4D09-B22D-0491E9705806}"/>
    <cellStyle name="40% - Accent4 5 3 5" xfId="14316" xr:uid="{E922B32D-6C73-4DF2-AC33-BF0684EA85CC}"/>
    <cellStyle name="40% - Accent4 5 4" xfId="9187" xr:uid="{33022C89-0CDD-4091-8005-358F63FF8F46}"/>
    <cellStyle name="40% - Accent4 5 4 2" xfId="36291" xr:uid="{2B6E5DCD-274D-4796-8FB3-C2707264AFAC}"/>
    <cellStyle name="40% - Accent4 5 4 3" xfId="18503" xr:uid="{D448257C-AB1C-4B58-B99D-E77708D5AE3D}"/>
    <cellStyle name="40% - Accent4 5 5" xfId="27843" xr:uid="{D1254CF7-EEC3-4F0B-8749-A34628E5984D}"/>
    <cellStyle name="40% - Accent4 5 6" xfId="19396" xr:uid="{6553DA8D-0311-482A-BA5B-06490EA50D0F}"/>
    <cellStyle name="40% - Accent4 5 7" xfId="10099" xr:uid="{5175C60D-8495-41FC-B134-2BFF74305EFE}"/>
    <cellStyle name="40% - Accent4 6" xfId="1095" xr:uid="{00000000-0005-0000-0000-000032060000}"/>
    <cellStyle name="40% - Accent4 6 2" xfId="3326" xr:uid="{00000000-0005-0000-0000-000033060000}"/>
    <cellStyle name="40% - Accent4 6 2 2" xfId="7548" xr:uid="{00000000-0005-0000-0000-000034060000}"/>
    <cellStyle name="40% - Accent4 6 2 2 2" xfId="43066" xr:uid="{0DC9B9CD-1855-45C7-840E-B4BDAAA0287E}"/>
    <cellStyle name="40% - Accent4 6 2 2 3" xfId="34619" xr:uid="{B4A1F0D9-FD25-4734-AD24-22254A76DD17}"/>
    <cellStyle name="40% - Accent4 6 2 2 4" xfId="26171" xr:uid="{071D540F-21D0-407D-B61E-D2F5BC1984EF}"/>
    <cellStyle name="40% - Accent4 6 2 2 5" xfId="16874" xr:uid="{79FD3D44-3ACB-42E2-A6C7-88F3FC4EE9FA}"/>
    <cellStyle name="40% - Accent4 6 2 3" xfId="38849" xr:uid="{0256BA96-6578-43B9-AD64-3DB9B704FC5E}"/>
    <cellStyle name="40% - Accent4 6 2 4" xfId="30401" xr:uid="{0A3EB93C-CE64-4505-A57B-2F3F1DB6855F}"/>
    <cellStyle name="40% - Accent4 6 2 5" xfId="21954" xr:uid="{60785C7B-6557-4053-9878-F436B5B9EEC6}"/>
    <cellStyle name="40% - Accent4 6 2 6" xfId="12657" xr:uid="{4D0CF868-3F81-4168-BAD7-E5400340EF26}"/>
    <cellStyle name="40% - Accent4 6 3" xfId="5403" xr:uid="{00000000-0005-0000-0000-000035060000}"/>
    <cellStyle name="40% - Accent4 6 3 2" xfId="40921" xr:uid="{FC7E919D-52A3-4A80-9BF8-201D438F2440}"/>
    <cellStyle name="40% - Accent4 6 3 3" xfId="32474" xr:uid="{AFFF4C80-63A9-4747-8622-265941C83EF5}"/>
    <cellStyle name="40% - Accent4 6 3 4" xfId="24026" xr:uid="{47DF1047-8918-426B-BA4C-92CC30C54617}"/>
    <cellStyle name="40% - Accent4 6 3 5" xfId="14729" xr:uid="{B2354D7B-3955-4530-986C-26A619BAD5B5}"/>
    <cellStyle name="40% - Accent4 6 4" xfId="36704" xr:uid="{6740398F-4921-4A4C-B8CE-8FCC0D360993}"/>
    <cellStyle name="40% - Accent4 6 5" xfId="28256" xr:uid="{152924EB-A225-4A7B-939E-F009B89CFE79}"/>
    <cellStyle name="40% - Accent4 6 6" xfId="19809" xr:uid="{E22EBFA4-5BEE-44F2-BFED-B41BD3B68E29}"/>
    <cellStyle name="40% - Accent4 6 7" xfId="10512" xr:uid="{F1BD7600-939E-4144-B9EE-F96B3126DE79}"/>
    <cellStyle name="40% - Accent4 7" xfId="1509" xr:uid="{00000000-0005-0000-0000-000036060000}"/>
    <cellStyle name="40% - Accent4 7 2" xfId="3739" xr:uid="{00000000-0005-0000-0000-000037060000}"/>
    <cellStyle name="40% - Accent4 7 2 2" xfId="7961" xr:uid="{00000000-0005-0000-0000-000038060000}"/>
    <cellStyle name="40% - Accent4 7 2 2 2" xfId="43479" xr:uid="{6A332F48-9FCD-4C94-A62D-7FD117D35CED}"/>
    <cellStyle name="40% - Accent4 7 2 2 3" xfId="35032" xr:uid="{1E727677-F485-4B56-9E91-D72655CB36E8}"/>
    <cellStyle name="40% - Accent4 7 2 2 4" xfId="26584" xr:uid="{4111237F-685A-4352-9FCA-AB3AF90F43D7}"/>
    <cellStyle name="40% - Accent4 7 2 2 5" xfId="17287" xr:uid="{5D726C82-8FE3-4047-8E7E-15EBFC2E7945}"/>
    <cellStyle name="40% - Accent4 7 2 3" xfId="39262" xr:uid="{5D57FB93-67BB-49CA-8912-678419CDD12D}"/>
    <cellStyle name="40% - Accent4 7 2 4" xfId="30814" xr:uid="{33F03DF3-AE1A-49D2-86E6-93407C7E591F}"/>
    <cellStyle name="40% - Accent4 7 2 5" xfId="22367" xr:uid="{0871B73C-4BFB-4DDE-BEBE-20D78C34071A}"/>
    <cellStyle name="40% - Accent4 7 2 6" xfId="13070" xr:uid="{EC93BED3-42FB-4A46-8A3E-9AD246545198}"/>
    <cellStyle name="40% - Accent4 7 3" xfId="5816" xr:uid="{00000000-0005-0000-0000-000039060000}"/>
    <cellStyle name="40% - Accent4 7 3 2" xfId="41334" xr:uid="{8DE982D5-8633-4F36-802C-A045EBA42658}"/>
    <cellStyle name="40% - Accent4 7 3 3" xfId="32887" xr:uid="{763254B6-B87C-4133-9758-9C0A0E249789}"/>
    <cellStyle name="40% - Accent4 7 3 4" xfId="24439" xr:uid="{188CC68C-6BC1-4BEA-85F5-119049D410A5}"/>
    <cellStyle name="40% - Accent4 7 3 5" xfId="15142" xr:uid="{93AED6E0-C13F-4135-88FE-AB43980D0635}"/>
    <cellStyle name="40% - Accent4 7 4" xfId="37117" xr:uid="{CDF4C07F-B9DF-4F77-85AC-146B29F10FF2}"/>
    <cellStyle name="40% - Accent4 7 5" xfId="28669" xr:uid="{3FF8AAEA-EC66-4ECE-A8AE-E777CAC1B640}"/>
    <cellStyle name="40% - Accent4 7 6" xfId="20222" xr:uid="{6A5290E1-5F78-4EE5-B86E-E9EE0D13FA4E}"/>
    <cellStyle name="40% - Accent4 7 7" xfId="10925" xr:uid="{80469EE8-548D-4B54-BE36-5AB0EC0F297F}"/>
    <cellStyle name="40% - Accent4 8" xfId="1923" xr:uid="{00000000-0005-0000-0000-00003A060000}"/>
    <cellStyle name="40% - Accent4 8 2" xfId="4152" xr:uid="{00000000-0005-0000-0000-00003B060000}"/>
    <cellStyle name="40% - Accent4 8 2 2" xfId="8374" xr:uid="{00000000-0005-0000-0000-00003C060000}"/>
    <cellStyle name="40% - Accent4 8 2 2 2" xfId="43892" xr:uid="{529D46BD-4AB7-491B-9AC0-436314F8E9FC}"/>
    <cellStyle name="40% - Accent4 8 2 2 3" xfId="35445" xr:uid="{AC5087F2-474F-44AE-A989-7E8B60BB52DA}"/>
    <cellStyle name="40% - Accent4 8 2 2 4" xfId="26997" xr:uid="{F86B2CBF-20C4-42CA-949B-4397AD127C38}"/>
    <cellStyle name="40% - Accent4 8 2 2 5" xfId="17700" xr:uid="{52D61913-A057-47E3-9271-DED94976CA35}"/>
    <cellStyle name="40% - Accent4 8 2 3" xfId="39675" xr:uid="{34B7A722-48C3-4174-BAF7-1094B5A13383}"/>
    <cellStyle name="40% - Accent4 8 2 4" xfId="31227" xr:uid="{8D2F92D5-B9CC-4D71-81C2-11DAA3E5B4FC}"/>
    <cellStyle name="40% - Accent4 8 2 5" xfId="22780" xr:uid="{C05CF2E9-4171-42D3-BF4A-51EF7A6BC7C1}"/>
    <cellStyle name="40% - Accent4 8 2 6" xfId="13483" xr:uid="{D093F8AA-6EA5-40AB-8408-17E00D77FAEA}"/>
    <cellStyle name="40% - Accent4 8 3" xfId="6229" xr:uid="{00000000-0005-0000-0000-00003D060000}"/>
    <cellStyle name="40% - Accent4 8 3 2" xfId="41747" xr:uid="{66B7DEC1-FF41-4A98-B720-D4CA599E87DA}"/>
    <cellStyle name="40% - Accent4 8 3 3" xfId="33300" xr:uid="{24AF1091-7FA5-4BBC-9E8B-AB131DAA3FBA}"/>
    <cellStyle name="40% - Accent4 8 3 4" xfId="24852" xr:uid="{21035C3F-8CFB-4B37-8CC4-39CC7EAEAB28}"/>
    <cellStyle name="40% - Accent4 8 3 5" xfId="15555" xr:uid="{91070680-2631-41A5-B350-09E8559D8230}"/>
    <cellStyle name="40% - Accent4 8 4" xfId="37530" xr:uid="{9B923475-8C48-45BB-8A29-CE47E6F930B0}"/>
    <cellStyle name="40% - Accent4 8 5" xfId="29082" xr:uid="{D3FA6786-4DEA-41F7-8B0A-70D09639CA27}"/>
    <cellStyle name="40% - Accent4 8 6" xfId="20635" xr:uid="{CA4DE351-49E2-4891-A1DD-FD13AC7EC9A9}"/>
    <cellStyle name="40% - Accent4 8 7" xfId="11338" xr:uid="{A011227B-DDE4-4CF6-B308-EB3CB20AE7B4}"/>
    <cellStyle name="40% - Accent4 9" xfId="2336" xr:uid="{00000000-0005-0000-0000-00003E060000}"/>
    <cellStyle name="40% - Accent4 9 2" xfId="6642" xr:uid="{00000000-0005-0000-0000-00003F060000}"/>
    <cellStyle name="40% - Accent4 9 2 2" xfId="42160" xr:uid="{F202D98D-3D6C-4503-B637-1419D86696C2}"/>
    <cellStyle name="40% - Accent4 9 2 3" xfId="33713" xr:uid="{193B3605-C24F-47A4-BE01-76A13BB5D63D}"/>
    <cellStyle name="40% - Accent4 9 2 4" xfId="25265" xr:uid="{AA611E02-5834-4A68-8743-3B1F353F4222}"/>
    <cellStyle name="40% - Accent4 9 2 5" xfId="15968" xr:uid="{F0AA015C-2497-4AB1-B40F-662BEFDB77FE}"/>
    <cellStyle name="40% - Accent4 9 3" xfId="37943" xr:uid="{0E446923-7090-471F-9666-217D5544E183}"/>
    <cellStyle name="40% - Accent4 9 4" xfId="29495" xr:uid="{C6F8CA7E-5737-424B-8D2A-E3B143C57D90}"/>
    <cellStyle name="40% - Accent4 9 5" xfId="21048" xr:uid="{CE3D003E-F81F-4DB3-ACFF-5A460FC788A2}"/>
    <cellStyle name="40% - Accent4 9 6" xfId="11751" xr:uid="{403D3EF9-D61D-435A-BD26-B18B7CFD19B3}"/>
    <cellStyle name="40% - Accent5" xfId="81" builtinId="47" customBuiltin="1"/>
    <cellStyle name="40% - Accent5 10" xfId="4584" xr:uid="{00000000-0005-0000-0000-000041060000}"/>
    <cellStyle name="40% - Accent5 10 2" xfId="40102" xr:uid="{6F260A06-EA7F-42A6-AA4C-D9CDCEAF5F3D}"/>
    <cellStyle name="40% - Accent5 10 3" xfId="31655" xr:uid="{5F0A720A-BC9A-4AAE-AB2F-BD07D696E629}"/>
    <cellStyle name="40% - Accent5 10 4" xfId="23207" xr:uid="{97869245-5B7A-4071-A323-17DB44978056}"/>
    <cellStyle name="40% - Accent5 10 5" xfId="13910" xr:uid="{0E977C3A-2805-4A76-9408-4C9F1E2372A6}"/>
    <cellStyle name="40% - Accent5 11" xfId="8767" xr:uid="{7A46ADF8-3420-4D4A-A3FE-8E96F0FA38E7}"/>
    <cellStyle name="40% - Accent5 11 2" xfId="35885" xr:uid="{5FDD8C5F-EAE3-4EFA-84EE-3AA6DC2F4736}"/>
    <cellStyle name="40% - Accent5 11 3" xfId="18090" xr:uid="{E4DE5470-1878-4989-9E9B-DF2B5F66D87E}"/>
    <cellStyle name="40% - Accent5 12" xfId="27437" xr:uid="{90C564AA-7DB5-426E-A438-9EB3C75C9CD2}"/>
    <cellStyle name="40% - Accent5 13" xfId="18990" xr:uid="{A3E15D02-1BB1-4C33-A0CB-AED151DBA53B}"/>
    <cellStyle name="40% - Accent5 14" xfId="9693" xr:uid="{DA1E2B6E-D5DF-4B7A-B83F-C82C93BA9F33}"/>
    <cellStyle name="40% - Accent5 2" xfId="82" xr:uid="{00000000-0005-0000-0000-000042060000}"/>
    <cellStyle name="40% - Accent5 2 10" xfId="8802" xr:uid="{CF9BFF45-99AC-47A3-8B01-051C55FBB24D}"/>
    <cellStyle name="40% - Accent5 2 10 2" xfId="35886" xr:uid="{A4A7AEED-A0DE-4529-AF0F-EFFAC8782F93}"/>
    <cellStyle name="40% - Accent5 2 10 3" xfId="18125" xr:uid="{F90965E4-0581-48FD-B915-9DCDD344FCCB}"/>
    <cellStyle name="40% - Accent5 2 11" xfId="27438" xr:uid="{B3C4D894-3834-493E-B1A9-6DB15993CD79}"/>
    <cellStyle name="40% - Accent5 2 12" xfId="18991" xr:uid="{04553330-DCD9-4076-846F-5B0808560D28}"/>
    <cellStyle name="40% - Accent5 2 13" xfId="9694" xr:uid="{007055CB-DC25-4E3B-AB73-975B0319D3B4}"/>
    <cellStyle name="40% - Accent5 2 2" xfId="83" xr:uid="{00000000-0005-0000-0000-000043060000}"/>
    <cellStyle name="40% - Accent5 2 2 10" xfId="27439" xr:uid="{7F2372DD-4FB0-4C29-B712-F4DE48065C64}"/>
    <cellStyle name="40% - Accent5 2 2 11" xfId="18992" xr:uid="{C7721EED-15ED-4CB8-942F-28454CC97A23}"/>
    <cellStyle name="40% - Accent5 2 2 12" xfId="9695" xr:uid="{E8C0B4AE-9298-48B7-ADA5-DEDA73378708}"/>
    <cellStyle name="40% - Accent5 2 2 2" xfId="84" xr:uid="{00000000-0005-0000-0000-000044060000}"/>
    <cellStyle name="40% - Accent5 2 2 2 10" xfId="18993" xr:uid="{CB41A041-AF91-4FD1-A821-39A50338F928}"/>
    <cellStyle name="40% - Accent5 2 2 2 11" xfId="9696" xr:uid="{2F6E05EB-C8D5-4636-B16D-9096D906D6A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42664" xr:uid="{EF003A5C-9F02-4363-8030-8F564E0871BE}"/>
    <cellStyle name="40% - Accent5 2 2 2 2 2 2 3" xfId="34217" xr:uid="{773AB8CE-F508-4134-AAAC-81EE673B7F7A}"/>
    <cellStyle name="40% - Accent5 2 2 2 2 2 2 4" xfId="25769" xr:uid="{DABFB730-E413-4C5B-B942-BFB005EC6A29}"/>
    <cellStyle name="40% - Accent5 2 2 2 2 2 2 5" xfId="16472" xr:uid="{07DB9173-1B2E-4FE7-A9D8-D0CBAB17E60D}"/>
    <cellStyle name="40% - Accent5 2 2 2 2 2 3" xfId="38447" xr:uid="{7D877A29-F4A9-433E-A377-5452D0FEBBF7}"/>
    <cellStyle name="40% - Accent5 2 2 2 2 2 4" xfId="29999" xr:uid="{FF743E4D-B6EB-45E3-98F3-84A72E3C96BF}"/>
    <cellStyle name="40% - Accent5 2 2 2 2 2 5" xfId="21552" xr:uid="{62612E77-FC95-4373-9006-CEC2FF914458}"/>
    <cellStyle name="40% - Accent5 2 2 2 2 2 6" xfId="12255" xr:uid="{BB328F2D-64B5-433C-9F2D-F5D96E00F185}"/>
    <cellStyle name="40% - Accent5 2 2 2 2 3" xfId="5001" xr:uid="{00000000-0005-0000-0000-000048060000}"/>
    <cellStyle name="40% - Accent5 2 2 2 2 3 2" xfId="40519" xr:uid="{0B642621-B8FF-46D8-8DC3-1D1B7D766BD8}"/>
    <cellStyle name="40% - Accent5 2 2 2 2 3 3" xfId="32072" xr:uid="{71F0F22F-BF97-4594-9C6F-6BA5C70D71FE}"/>
    <cellStyle name="40% - Accent5 2 2 2 2 3 4" xfId="23624" xr:uid="{230C12E8-D990-476C-AB27-14C938011261}"/>
    <cellStyle name="40% - Accent5 2 2 2 2 3 5" xfId="14327" xr:uid="{091AD0DB-CA3D-47CA-8A2E-235160787885}"/>
    <cellStyle name="40% - Accent5 2 2 2 2 4" xfId="9537" xr:uid="{83834145-5D3F-4083-A609-6DB90651C4CE}"/>
    <cellStyle name="40% - Accent5 2 2 2 2 4 2" xfId="36302" xr:uid="{062B810E-C127-426A-BD2F-9B76EF5D2266}"/>
    <cellStyle name="40% - Accent5 2 2 2 2 4 3" xfId="18850" xr:uid="{38E824FB-C480-482C-8865-3B6F95B264B6}"/>
    <cellStyle name="40% - Accent5 2 2 2 2 5" xfId="27854" xr:uid="{90A1DF81-A949-4F3A-99F7-87CEC5514CBC}"/>
    <cellStyle name="40% - Accent5 2 2 2 2 6" xfId="19407" xr:uid="{F95B06A0-45D1-464A-8A79-94967810D1AA}"/>
    <cellStyle name="40% - Accent5 2 2 2 2 7" xfId="10110" xr:uid="{56A7919F-26E3-41A8-ABB2-08B0663C79BC}"/>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43077" xr:uid="{B51CFFE5-FF88-4A01-8B3A-A5E977857EDD}"/>
    <cellStyle name="40% - Accent5 2 2 2 3 2 2 3" xfId="34630" xr:uid="{F46CFCAD-CE44-4B83-8BC6-209DFFFFEA9E}"/>
    <cellStyle name="40% - Accent5 2 2 2 3 2 2 4" xfId="26182" xr:uid="{B9AE2506-32F1-47E6-8262-F8B50A3B799A}"/>
    <cellStyle name="40% - Accent5 2 2 2 3 2 2 5" xfId="16885" xr:uid="{22A860C5-36AC-4A1B-966B-7B942E292626}"/>
    <cellStyle name="40% - Accent5 2 2 2 3 2 3" xfId="38860" xr:uid="{D67CE5CF-B4E8-4C84-832F-E5541D0DFF5D}"/>
    <cellStyle name="40% - Accent5 2 2 2 3 2 4" xfId="30412" xr:uid="{2E0D3D20-DBBF-4464-B282-73F715A3E2DE}"/>
    <cellStyle name="40% - Accent5 2 2 2 3 2 5" xfId="21965" xr:uid="{CAD64EAF-455D-4EE8-9283-24CC9495A8CB}"/>
    <cellStyle name="40% - Accent5 2 2 2 3 2 6" xfId="12668" xr:uid="{21F3F08F-7042-4C58-9968-3A12DCB83FBA}"/>
    <cellStyle name="40% - Accent5 2 2 2 3 3" xfId="5414" xr:uid="{00000000-0005-0000-0000-00004C060000}"/>
    <cellStyle name="40% - Accent5 2 2 2 3 3 2" xfId="40932" xr:uid="{0F4A553E-B70A-4605-863B-16CA1E8C7C0A}"/>
    <cellStyle name="40% - Accent5 2 2 2 3 3 3" xfId="32485" xr:uid="{340623B2-D975-4BDA-8473-B642A1CBF4C6}"/>
    <cellStyle name="40% - Accent5 2 2 2 3 3 4" xfId="24037" xr:uid="{0EEDDE4C-AB29-4B4A-B9C7-9AF0A261A048}"/>
    <cellStyle name="40% - Accent5 2 2 2 3 3 5" xfId="14740" xr:uid="{24C14D49-95D9-48D7-A7CA-A66B919068C3}"/>
    <cellStyle name="40% - Accent5 2 2 2 3 4" xfId="36715" xr:uid="{F7F2D6B9-692C-4D6D-9617-63CCCF16291F}"/>
    <cellStyle name="40% - Accent5 2 2 2 3 5" xfId="28267" xr:uid="{B1E2EDB5-84D5-4FF5-AF9B-C6E5CF161B53}"/>
    <cellStyle name="40% - Accent5 2 2 2 3 6" xfId="19820" xr:uid="{68280E4F-9DE2-47D1-B01F-31EB9BB30823}"/>
    <cellStyle name="40% - Accent5 2 2 2 3 7" xfId="10523" xr:uid="{47325752-BEA7-4272-9569-179D9E1CF53F}"/>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43490" xr:uid="{A9C97AB5-76A6-48AB-B8B4-CA68BA68F052}"/>
    <cellStyle name="40% - Accent5 2 2 2 4 2 2 3" xfId="35043" xr:uid="{25AEF2E8-F6E6-4156-87B7-5531936E7F76}"/>
    <cellStyle name="40% - Accent5 2 2 2 4 2 2 4" xfId="26595" xr:uid="{2F49EA9D-3905-4094-B069-06A560C141CF}"/>
    <cellStyle name="40% - Accent5 2 2 2 4 2 2 5" xfId="17298" xr:uid="{FCFAE497-9D88-45AE-9EB2-C4A6588FAE76}"/>
    <cellStyle name="40% - Accent5 2 2 2 4 2 3" xfId="39273" xr:uid="{2A5D0FAB-2922-456F-BD4C-11341F21DBC0}"/>
    <cellStyle name="40% - Accent5 2 2 2 4 2 4" xfId="30825" xr:uid="{0B5271E5-165E-4D32-8973-4EA5128AFF0F}"/>
    <cellStyle name="40% - Accent5 2 2 2 4 2 5" xfId="22378" xr:uid="{1FD66E3A-5556-473C-B760-F5DA4A82588E}"/>
    <cellStyle name="40% - Accent5 2 2 2 4 2 6" xfId="13081" xr:uid="{729A0EAD-4BC4-48CD-BF60-9C6548FC94D0}"/>
    <cellStyle name="40% - Accent5 2 2 2 4 3" xfId="5827" xr:uid="{00000000-0005-0000-0000-000050060000}"/>
    <cellStyle name="40% - Accent5 2 2 2 4 3 2" xfId="41345" xr:uid="{264A66CA-4B0A-4DCB-BAA3-0B1702B779DD}"/>
    <cellStyle name="40% - Accent5 2 2 2 4 3 3" xfId="32898" xr:uid="{456440EB-A8F7-4CA5-AB8E-3F26DDA2A336}"/>
    <cellStyle name="40% - Accent5 2 2 2 4 3 4" xfId="24450" xr:uid="{285C8E19-6BA3-4B54-87A4-F904A3CC1923}"/>
    <cellStyle name="40% - Accent5 2 2 2 4 3 5" xfId="15153" xr:uid="{3E0B8777-64BF-4064-8ED4-195AF9528507}"/>
    <cellStyle name="40% - Accent5 2 2 2 4 4" xfId="37128" xr:uid="{DFC1F52F-1F03-4E10-AB21-FC2486CD5AF7}"/>
    <cellStyle name="40% - Accent5 2 2 2 4 5" xfId="28680" xr:uid="{62E02B87-567D-4EF9-878B-96CD6B3A7C21}"/>
    <cellStyle name="40% - Accent5 2 2 2 4 6" xfId="20233" xr:uid="{E6244D2A-9107-4DA8-9603-16F42430ED7C}"/>
    <cellStyle name="40% - Accent5 2 2 2 4 7" xfId="10936" xr:uid="{72389C49-B96D-4BDF-A1BC-2AF269EDB957}"/>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43903" xr:uid="{4038DFEF-FD4E-4AB6-AD9D-338FC1F377E1}"/>
    <cellStyle name="40% - Accent5 2 2 2 5 2 2 3" xfId="35456" xr:uid="{4C67EBBA-D161-4EF4-97F0-0D2066FAEB51}"/>
    <cellStyle name="40% - Accent5 2 2 2 5 2 2 4" xfId="27008" xr:uid="{219BF96B-0825-4C65-B2AA-1071108C909A}"/>
    <cellStyle name="40% - Accent5 2 2 2 5 2 2 5" xfId="17711" xr:uid="{3EFA4ADF-1B14-4F11-85F6-0777508C8558}"/>
    <cellStyle name="40% - Accent5 2 2 2 5 2 3" xfId="39686" xr:uid="{56D31D7C-4CB5-46F3-8307-FC4DD72BE3ED}"/>
    <cellStyle name="40% - Accent5 2 2 2 5 2 4" xfId="31238" xr:uid="{F808F1C8-3B12-4F6D-86FD-6BC41D8BA3CA}"/>
    <cellStyle name="40% - Accent5 2 2 2 5 2 5" xfId="22791" xr:uid="{1AB977D9-2CB7-4C46-847D-BF82AD458542}"/>
    <cellStyle name="40% - Accent5 2 2 2 5 2 6" xfId="13494" xr:uid="{2CC9CE5B-9E29-4C95-B229-6D5E2A519F60}"/>
    <cellStyle name="40% - Accent5 2 2 2 5 3" xfId="6240" xr:uid="{00000000-0005-0000-0000-000054060000}"/>
    <cellStyle name="40% - Accent5 2 2 2 5 3 2" xfId="41758" xr:uid="{0EC4F094-09EE-4625-BC5E-90E38621D6FC}"/>
    <cellStyle name="40% - Accent5 2 2 2 5 3 3" xfId="33311" xr:uid="{E45A0EC3-1498-45A5-81F9-A27E030BD0F0}"/>
    <cellStyle name="40% - Accent5 2 2 2 5 3 4" xfId="24863" xr:uid="{637F5484-1DC7-4B74-89E5-1E7605AC648A}"/>
    <cellStyle name="40% - Accent5 2 2 2 5 3 5" xfId="15566" xr:uid="{77F33275-567E-4FF6-AC6F-3E5D137E4E0D}"/>
    <cellStyle name="40% - Accent5 2 2 2 5 4" xfId="37541" xr:uid="{9FCC27A9-3720-43E8-8D49-74588C89C369}"/>
    <cellStyle name="40% - Accent5 2 2 2 5 5" xfId="29093" xr:uid="{EA9733A8-98B4-4550-BCE0-7006A80BE44C}"/>
    <cellStyle name="40% - Accent5 2 2 2 5 6" xfId="20646" xr:uid="{B4BE36A4-7413-454D-9747-C384C8E79A1B}"/>
    <cellStyle name="40% - Accent5 2 2 2 5 7" xfId="11349" xr:uid="{49EBA575-11F1-4FA6-94EF-06706650F05E}"/>
    <cellStyle name="40% - Accent5 2 2 2 6" xfId="2347" xr:uid="{00000000-0005-0000-0000-000055060000}"/>
    <cellStyle name="40% - Accent5 2 2 2 6 2" xfId="6653" xr:uid="{00000000-0005-0000-0000-000056060000}"/>
    <cellStyle name="40% - Accent5 2 2 2 6 2 2" xfId="42171" xr:uid="{A6B421FC-F299-4ABE-AFCC-F8EDAE5DF7DC}"/>
    <cellStyle name="40% - Accent5 2 2 2 6 2 3" xfId="33724" xr:uid="{62A41930-7BFC-44EC-88AE-86C67682C8B8}"/>
    <cellStyle name="40% - Accent5 2 2 2 6 2 4" xfId="25276" xr:uid="{2424BC6B-B1F8-4D16-B4BB-76D6BB65B392}"/>
    <cellStyle name="40% - Accent5 2 2 2 6 2 5" xfId="15979" xr:uid="{94B04361-DC65-4BBE-BF36-DCD12BFE2911}"/>
    <cellStyle name="40% - Accent5 2 2 2 6 3" xfId="37954" xr:uid="{5697AF9D-A7B7-4D3C-8230-E9C6F7BA57E7}"/>
    <cellStyle name="40% - Accent5 2 2 2 6 4" xfId="29506" xr:uid="{FE049C82-078E-4696-916D-E7AE31417F65}"/>
    <cellStyle name="40% - Accent5 2 2 2 6 5" xfId="21059" xr:uid="{A373CCB6-D278-44E2-A20E-B1DA2597EA19}"/>
    <cellStyle name="40% - Accent5 2 2 2 6 6" xfId="11762" xr:uid="{86E2D22F-9A2B-428A-9A13-CB18B4E9E8CE}"/>
    <cellStyle name="40% - Accent5 2 2 2 7" xfId="4587" xr:uid="{00000000-0005-0000-0000-000057060000}"/>
    <cellStyle name="40% - Accent5 2 2 2 7 2" xfId="40105" xr:uid="{2B17F34A-BBCD-42C3-BBCB-902AA6E8D44F}"/>
    <cellStyle name="40% - Accent5 2 2 2 7 3" xfId="31658" xr:uid="{30BE9379-1429-4D14-B69B-B6162EA0B8D2}"/>
    <cellStyle name="40% - Accent5 2 2 2 7 4" xfId="23210" xr:uid="{F7679416-1D93-40CD-BFDA-45BBCA7F17DA}"/>
    <cellStyle name="40% - Accent5 2 2 2 7 5" xfId="13913" xr:uid="{067FE573-ACE8-471D-A5AE-0D060E64D03D}"/>
    <cellStyle name="40% - Accent5 2 2 2 8" xfId="9112" xr:uid="{65D0CC40-E9D0-4CE3-B684-8DE4A2C7BCD7}"/>
    <cellStyle name="40% - Accent5 2 2 2 8 2" xfId="35888" xr:uid="{966BA662-7F39-4122-9F80-EBA418C47287}"/>
    <cellStyle name="40% - Accent5 2 2 2 8 3" xfId="18435" xr:uid="{8D0DA0FA-B1D2-4E0D-91C1-3DA590414DF5}"/>
    <cellStyle name="40% - Accent5 2 2 2 9" xfId="27440" xr:uid="{C48EC74C-C7AA-4734-AD8E-2372EE6F9CF9}"/>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42663" xr:uid="{9CCAADB7-A212-4161-A34F-342A09595E3F}"/>
    <cellStyle name="40% - Accent5 2 2 3 2 2 3" xfId="34216" xr:uid="{06AA169A-AA1D-4985-BCB1-BBD877CCC137}"/>
    <cellStyle name="40% - Accent5 2 2 3 2 2 4" xfId="25768" xr:uid="{3F15796C-2F83-440C-8276-D1A2387BF8F9}"/>
    <cellStyle name="40% - Accent5 2 2 3 2 2 5" xfId="16471" xr:uid="{2B0C3754-FB66-49B9-A111-244C0DA2C0EE}"/>
    <cellStyle name="40% - Accent5 2 2 3 2 3" xfId="38446" xr:uid="{AC681381-E6CA-404C-A786-48553C3C7900}"/>
    <cellStyle name="40% - Accent5 2 2 3 2 4" xfId="29998" xr:uid="{CB44A54B-73A1-422F-8860-9ABE81049D11}"/>
    <cellStyle name="40% - Accent5 2 2 3 2 5" xfId="21551" xr:uid="{9EBD4228-D713-4B3C-9759-FBC616935BCB}"/>
    <cellStyle name="40% - Accent5 2 2 3 2 6" xfId="12254" xr:uid="{A376DA81-2FC7-47E0-B480-7101B425B6FB}"/>
    <cellStyle name="40% - Accent5 2 2 3 3" xfId="5000" xr:uid="{00000000-0005-0000-0000-00005B060000}"/>
    <cellStyle name="40% - Accent5 2 2 3 3 2" xfId="40518" xr:uid="{3120DBC9-CA1C-4BF1-A8E8-3AEF09834ADF}"/>
    <cellStyle name="40% - Accent5 2 2 3 3 3" xfId="32071" xr:uid="{A297314C-0C31-44C7-B707-FFA3BA53C6CD}"/>
    <cellStyle name="40% - Accent5 2 2 3 3 4" xfId="23623" xr:uid="{C615189F-3301-4A58-AE64-D260117A5716}"/>
    <cellStyle name="40% - Accent5 2 2 3 3 5" xfId="14326" xr:uid="{3F313391-68BB-4EC1-ACFD-D47975E78CE1}"/>
    <cellStyle name="40% - Accent5 2 2 3 4" xfId="9330" xr:uid="{75959B30-FD84-42A5-95AE-69048CCC8361}"/>
    <cellStyle name="40% - Accent5 2 2 3 4 2" xfId="36301" xr:uid="{74C456DA-5559-463A-8C8A-FD8DCE8B0F51}"/>
    <cellStyle name="40% - Accent5 2 2 3 4 3" xfId="18643" xr:uid="{73F6FFC4-99EE-414A-B235-896F58AC512B}"/>
    <cellStyle name="40% - Accent5 2 2 3 5" xfId="27853" xr:uid="{3D0A68A2-1A0B-4EA0-8D7B-E67BA9B2195F}"/>
    <cellStyle name="40% - Accent5 2 2 3 6" xfId="19406" xr:uid="{D4706DF0-CBB1-42D7-82AB-6BAF37D5DBFD}"/>
    <cellStyle name="40% - Accent5 2 2 3 7" xfId="10109" xr:uid="{705CC196-C1CE-4070-A5BA-66F6633D01A2}"/>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43076" xr:uid="{FA92FC47-7961-47FF-8947-4CAD9162D9F8}"/>
    <cellStyle name="40% - Accent5 2 2 4 2 2 3" xfId="34629" xr:uid="{D81ABF75-D0E0-409E-860E-1003C8906FDA}"/>
    <cellStyle name="40% - Accent5 2 2 4 2 2 4" xfId="26181" xr:uid="{2892A0C5-E7BD-436B-82AE-D8AF27D5C29D}"/>
    <cellStyle name="40% - Accent5 2 2 4 2 2 5" xfId="16884" xr:uid="{05EE0143-4D66-4C98-B2DA-41D0425ECB50}"/>
    <cellStyle name="40% - Accent5 2 2 4 2 3" xfId="38859" xr:uid="{7B3B31F1-9038-4085-853F-67290DEFD9FE}"/>
    <cellStyle name="40% - Accent5 2 2 4 2 4" xfId="30411" xr:uid="{A7C3CDF8-8A8A-4CCB-85FF-537870AB0EB3}"/>
    <cellStyle name="40% - Accent5 2 2 4 2 5" xfId="21964" xr:uid="{A95F6EF1-3CCB-49D8-A5F2-F4927A8FD773}"/>
    <cellStyle name="40% - Accent5 2 2 4 2 6" xfId="12667" xr:uid="{9DB3CC74-3C27-4374-9CC8-A0AB500409D6}"/>
    <cellStyle name="40% - Accent5 2 2 4 3" xfId="5413" xr:uid="{00000000-0005-0000-0000-00005F060000}"/>
    <cellStyle name="40% - Accent5 2 2 4 3 2" xfId="40931" xr:uid="{D8BB2121-EC0C-4821-BAA8-C2032E32E80C}"/>
    <cellStyle name="40% - Accent5 2 2 4 3 3" xfId="32484" xr:uid="{3859C2BE-2EF4-4E14-9523-FB53ED7A9AE1}"/>
    <cellStyle name="40% - Accent5 2 2 4 3 4" xfId="24036" xr:uid="{FFBD2E70-7478-4DB9-80CA-6683DC2D332E}"/>
    <cellStyle name="40% - Accent5 2 2 4 3 5" xfId="14739" xr:uid="{4D930CED-7757-4B9A-9521-DC97701386A2}"/>
    <cellStyle name="40% - Accent5 2 2 4 4" xfId="36714" xr:uid="{D1B91604-6675-451D-B02E-6BD8375ABE11}"/>
    <cellStyle name="40% - Accent5 2 2 4 5" xfId="28266" xr:uid="{B4B12ED3-476C-45B6-80BC-2D35F5EF3122}"/>
    <cellStyle name="40% - Accent5 2 2 4 6" xfId="19819" xr:uid="{5FAE50EB-6835-4EF0-8937-A99338C77707}"/>
    <cellStyle name="40% - Accent5 2 2 4 7" xfId="10522" xr:uid="{AAC994EF-03C8-4D3E-80C2-29A52BE01A1F}"/>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43489" xr:uid="{E3BB1BFA-AA33-48C5-96EF-44599F158230}"/>
    <cellStyle name="40% - Accent5 2 2 5 2 2 3" xfId="35042" xr:uid="{FF52DD8B-27C2-41CD-A242-73B5A7E8DA3D}"/>
    <cellStyle name="40% - Accent5 2 2 5 2 2 4" xfId="26594" xr:uid="{B7940B2F-9BFD-42E8-927B-F1F0FAF5FA59}"/>
    <cellStyle name="40% - Accent5 2 2 5 2 2 5" xfId="17297" xr:uid="{4F2A13FD-A7E3-444A-883A-735093FB117A}"/>
    <cellStyle name="40% - Accent5 2 2 5 2 3" xfId="39272" xr:uid="{D9AEF63A-C7A8-45C3-811D-3B7A3CC8A4DD}"/>
    <cellStyle name="40% - Accent5 2 2 5 2 4" xfId="30824" xr:uid="{A3C61302-2E33-4562-9022-3C0750098E7D}"/>
    <cellStyle name="40% - Accent5 2 2 5 2 5" xfId="22377" xr:uid="{3CEF9936-E062-4BA8-9831-A4B57A79DB2E}"/>
    <cellStyle name="40% - Accent5 2 2 5 2 6" xfId="13080" xr:uid="{23298277-0D3B-49DD-AB84-573AC66A27BF}"/>
    <cellStyle name="40% - Accent5 2 2 5 3" xfId="5826" xr:uid="{00000000-0005-0000-0000-000063060000}"/>
    <cellStyle name="40% - Accent5 2 2 5 3 2" xfId="41344" xr:uid="{8C51A3EA-23AA-4101-92CD-20CBB29A68BE}"/>
    <cellStyle name="40% - Accent5 2 2 5 3 3" xfId="32897" xr:uid="{1C80D58B-6C1A-4A91-9972-F60C3E251518}"/>
    <cellStyle name="40% - Accent5 2 2 5 3 4" xfId="24449" xr:uid="{F79B445D-212E-4916-BD26-EA46E02849EC}"/>
    <cellStyle name="40% - Accent5 2 2 5 3 5" xfId="15152" xr:uid="{93F25F9F-DC5B-4EA4-944D-D8DC49CBD7A5}"/>
    <cellStyle name="40% - Accent5 2 2 5 4" xfId="37127" xr:uid="{402EF721-0E27-4A92-A240-F8E31684ED64}"/>
    <cellStyle name="40% - Accent5 2 2 5 5" xfId="28679" xr:uid="{8B123579-25F1-483B-806D-07A05C203588}"/>
    <cellStyle name="40% - Accent5 2 2 5 6" xfId="20232" xr:uid="{E8B3F75C-8A8B-46EC-8C07-9A3D89544672}"/>
    <cellStyle name="40% - Accent5 2 2 5 7" xfId="10935" xr:uid="{8AB4FCC7-1B89-43F4-9118-21DD8F3B5282}"/>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43902" xr:uid="{007ED2F4-92EC-49B4-AEAA-A98F3D2661E4}"/>
    <cellStyle name="40% - Accent5 2 2 6 2 2 3" xfId="35455" xr:uid="{7C944D9D-460F-44FF-BC24-7B59686178F9}"/>
    <cellStyle name="40% - Accent5 2 2 6 2 2 4" xfId="27007" xr:uid="{7200E1BB-5599-4D96-88DD-C375F3100846}"/>
    <cellStyle name="40% - Accent5 2 2 6 2 2 5" xfId="17710" xr:uid="{37AA9F21-439E-408C-892D-EC5E23783BE4}"/>
    <cellStyle name="40% - Accent5 2 2 6 2 3" xfId="39685" xr:uid="{31C6669D-D34A-43C3-AE39-01F38D03CD9B}"/>
    <cellStyle name="40% - Accent5 2 2 6 2 4" xfId="31237" xr:uid="{505F961B-AFD2-4FDB-8A5E-8D84EF02FBD0}"/>
    <cellStyle name="40% - Accent5 2 2 6 2 5" xfId="22790" xr:uid="{C5F353D4-2C79-41FF-984F-06377847588A}"/>
    <cellStyle name="40% - Accent5 2 2 6 2 6" xfId="13493" xr:uid="{CDC3B12C-C1CF-4DD6-B7E3-5F5BD7552680}"/>
    <cellStyle name="40% - Accent5 2 2 6 3" xfId="6239" xr:uid="{00000000-0005-0000-0000-000067060000}"/>
    <cellStyle name="40% - Accent5 2 2 6 3 2" xfId="41757" xr:uid="{4A2C40B5-604A-4954-A409-94A35A652125}"/>
    <cellStyle name="40% - Accent5 2 2 6 3 3" xfId="33310" xr:uid="{5FFD6BE5-1956-47FA-BC04-5352F42E239F}"/>
    <cellStyle name="40% - Accent5 2 2 6 3 4" xfId="24862" xr:uid="{7CF609EA-141A-4478-8A46-211A087F626B}"/>
    <cellStyle name="40% - Accent5 2 2 6 3 5" xfId="15565" xr:uid="{50D081C6-F51D-4D7E-9329-BB2DAEA41C71}"/>
    <cellStyle name="40% - Accent5 2 2 6 4" xfId="37540" xr:uid="{3B5F08E7-3D8A-4847-A82A-5302E5760DB3}"/>
    <cellStyle name="40% - Accent5 2 2 6 5" xfId="29092" xr:uid="{028B1710-12FF-4728-8BD1-B8C6090A5F84}"/>
    <cellStyle name="40% - Accent5 2 2 6 6" xfId="20645" xr:uid="{94D92871-73E4-427F-9BBC-4F5AB3ABC98B}"/>
    <cellStyle name="40% - Accent5 2 2 6 7" xfId="11348" xr:uid="{B05F5357-76B5-4E67-B42C-655BD8024C01}"/>
    <cellStyle name="40% - Accent5 2 2 7" xfId="2346" xr:uid="{00000000-0005-0000-0000-000068060000}"/>
    <cellStyle name="40% - Accent5 2 2 7 2" xfId="6652" xr:uid="{00000000-0005-0000-0000-000069060000}"/>
    <cellStyle name="40% - Accent5 2 2 7 2 2" xfId="42170" xr:uid="{7DBEA0C0-D915-4C5B-A94E-BEBE55BB1151}"/>
    <cellStyle name="40% - Accent5 2 2 7 2 3" xfId="33723" xr:uid="{DDEA9124-0734-462E-852C-8E6D35A9DCDF}"/>
    <cellStyle name="40% - Accent5 2 2 7 2 4" xfId="25275" xr:uid="{934DDD74-44E8-4D1F-AEDC-D655E253B5F6}"/>
    <cellStyle name="40% - Accent5 2 2 7 2 5" xfId="15978" xr:uid="{318E915F-D7D1-4567-9346-D40E6B042ACC}"/>
    <cellStyle name="40% - Accent5 2 2 7 3" xfId="37953" xr:uid="{1E9E4270-0C6B-487A-BE6E-AE4A90852A7C}"/>
    <cellStyle name="40% - Accent5 2 2 7 4" xfId="29505" xr:uid="{EA81BCA2-36AB-48EB-ACDB-EACBB69A3FDD}"/>
    <cellStyle name="40% - Accent5 2 2 7 5" xfId="21058" xr:uid="{6090FBD6-37DD-496E-953C-64B758CDE272}"/>
    <cellStyle name="40% - Accent5 2 2 7 6" xfId="11761" xr:uid="{CDA1C24C-CF63-42D3-BC69-00067AD55505}"/>
    <cellStyle name="40% - Accent5 2 2 8" xfId="4586" xr:uid="{00000000-0005-0000-0000-00006A060000}"/>
    <cellStyle name="40% - Accent5 2 2 8 2" xfId="40104" xr:uid="{450B6B05-826E-4646-AA4D-841465A46FEC}"/>
    <cellStyle name="40% - Accent5 2 2 8 3" xfId="31657" xr:uid="{1B2B8025-8F41-4A11-8770-DD7FECFB24CA}"/>
    <cellStyle name="40% - Accent5 2 2 8 4" xfId="23209" xr:uid="{79873624-36A2-4924-8007-4AC6B94C78C1}"/>
    <cellStyle name="40% - Accent5 2 2 8 5" xfId="13912" xr:uid="{E14CB1DC-9BA1-40C4-A6BE-491B97329DF6}"/>
    <cellStyle name="40% - Accent5 2 2 9" xfId="8905" xr:uid="{3B48B2AE-2C2B-47FB-A8F4-43FECCDBCFEF}"/>
    <cellStyle name="40% - Accent5 2 2 9 2" xfId="35887" xr:uid="{D1B56A41-872B-4044-B78E-6F682D926CE4}"/>
    <cellStyle name="40% - Accent5 2 2 9 3" xfId="18228" xr:uid="{41150C87-CB4B-4F15-9CD9-EEC9EA87E78D}"/>
    <cellStyle name="40% - Accent5 2 3" xfId="85" xr:uid="{00000000-0005-0000-0000-00006B060000}"/>
    <cellStyle name="40% - Accent5 2 3 10" xfId="18994" xr:uid="{9051E54A-42B7-4D0C-942C-A1D8A0EB4BBB}"/>
    <cellStyle name="40% - Accent5 2 3 11" xfId="9697" xr:uid="{9133F241-85D4-454D-9E04-2052AA7FBFD5}"/>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42665" xr:uid="{1591AC36-AD33-4D37-AB70-2DBB068A3AA5}"/>
    <cellStyle name="40% - Accent5 2 3 2 2 2 3" xfId="34218" xr:uid="{165463F2-59EE-437F-BD70-B9B920C77452}"/>
    <cellStyle name="40% - Accent5 2 3 2 2 2 4" xfId="25770" xr:uid="{3FEB9BB0-2F4B-464B-ACE9-6AD0DEE84376}"/>
    <cellStyle name="40% - Accent5 2 3 2 2 2 5" xfId="16473" xr:uid="{6FB0B1D8-559C-472B-9A98-9B0823B0E59E}"/>
    <cellStyle name="40% - Accent5 2 3 2 2 3" xfId="38448" xr:uid="{6973C91B-E200-46FB-A244-61FA39191BAE}"/>
    <cellStyle name="40% - Accent5 2 3 2 2 4" xfId="30000" xr:uid="{2E99884D-97A2-4A30-86D1-2B462125F5D4}"/>
    <cellStyle name="40% - Accent5 2 3 2 2 5" xfId="21553" xr:uid="{3A80C2D5-A855-4192-8DCB-221FFA899205}"/>
    <cellStyle name="40% - Accent5 2 3 2 2 6" xfId="12256" xr:uid="{886E55F4-157A-4E41-8281-101B6F203CEB}"/>
    <cellStyle name="40% - Accent5 2 3 2 3" xfId="5002" xr:uid="{00000000-0005-0000-0000-00006F060000}"/>
    <cellStyle name="40% - Accent5 2 3 2 3 2" xfId="40520" xr:uid="{C3AAB152-1F99-459D-9108-CCF2AAF9FFBB}"/>
    <cellStyle name="40% - Accent5 2 3 2 3 3" xfId="32073" xr:uid="{287D9FED-DCC1-44C3-AE89-87109F864FCA}"/>
    <cellStyle name="40% - Accent5 2 3 2 3 4" xfId="23625" xr:uid="{C1B311BD-9C39-4689-A6EC-5948F8D57349}"/>
    <cellStyle name="40% - Accent5 2 3 2 3 5" xfId="14328" xr:uid="{2613B442-FF56-4AE4-ABB9-FB6DD60E4404}"/>
    <cellStyle name="40% - Accent5 2 3 2 4" xfId="9434" xr:uid="{512EAA64-F150-4B15-8534-EB34D6D41408}"/>
    <cellStyle name="40% - Accent5 2 3 2 4 2" xfId="36303" xr:uid="{94F82A03-94B2-4CAF-B548-185BCBF2339F}"/>
    <cellStyle name="40% - Accent5 2 3 2 4 3" xfId="18747" xr:uid="{3539DF4E-4505-48F5-A410-B143B3939D2F}"/>
    <cellStyle name="40% - Accent5 2 3 2 5" xfId="27855" xr:uid="{ABCCF7FC-3B2D-4949-B30C-079AFBC44657}"/>
    <cellStyle name="40% - Accent5 2 3 2 6" xfId="19408" xr:uid="{6122F3B3-C56B-4790-89D1-24C9B17BAF87}"/>
    <cellStyle name="40% - Accent5 2 3 2 7" xfId="10111" xr:uid="{E07EB180-75AA-40E0-9195-7AEC0B99AF7E}"/>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43078" xr:uid="{56C6B87C-1E13-4E5A-A42A-731B882CB1AA}"/>
    <cellStyle name="40% - Accent5 2 3 3 2 2 3" xfId="34631" xr:uid="{271994CD-47EF-479F-9580-93E2D6E19578}"/>
    <cellStyle name="40% - Accent5 2 3 3 2 2 4" xfId="26183" xr:uid="{4430A44D-78CD-4F02-A3E2-5A11928506FE}"/>
    <cellStyle name="40% - Accent5 2 3 3 2 2 5" xfId="16886" xr:uid="{3A1B51C3-3131-41A9-A5BD-4F4A8840D535}"/>
    <cellStyle name="40% - Accent5 2 3 3 2 3" xfId="38861" xr:uid="{882B4E90-1A48-4AFD-8C25-35EC6FF65CC9}"/>
    <cellStyle name="40% - Accent5 2 3 3 2 4" xfId="30413" xr:uid="{6F7A8764-DA4E-48B4-B480-6BA86D930422}"/>
    <cellStyle name="40% - Accent5 2 3 3 2 5" xfId="21966" xr:uid="{77FF913F-12F9-4F6F-A9A3-C857D79586FE}"/>
    <cellStyle name="40% - Accent5 2 3 3 2 6" xfId="12669" xr:uid="{7D1D38EC-1E41-4FCD-AD7A-22F2193F704E}"/>
    <cellStyle name="40% - Accent5 2 3 3 3" xfId="5415" xr:uid="{00000000-0005-0000-0000-000073060000}"/>
    <cellStyle name="40% - Accent5 2 3 3 3 2" xfId="40933" xr:uid="{7193C16C-613C-4285-BC4B-99FAB5582B51}"/>
    <cellStyle name="40% - Accent5 2 3 3 3 3" xfId="32486" xr:uid="{7BF5CAF0-5032-4F64-8195-D34BDE2EC5FC}"/>
    <cellStyle name="40% - Accent5 2 3 3 3 4" xfId="24038" xr:uid="{F605ADBF-1BD1-4376-AFE2-5921F64F8658}"/>
    <cellStyle name="40% - Accent5 2 3 3 3 5" xfId="14741" xr:uid="{2EDF7828-90BC-4F3C-AD4F-FD9D750BD6BA}"/>
    <cellStyle name="40% - Accent5 2 3 3 4" xfId="36716" xr:uid="{85BC0C74-2390-4BFA-BF24-5F132A226AA3}"/>
    <cellStyle name="40% - Accent5 2 3 3 5" xfId="28268" xr:uid="{C48D19B8-64F9-448E-A1E8-36C3EA7AF416}"/>
    <cellStyle name="40% - Accent5 2 3 3 6" xfId="19821" xr:uid="{B2482E45-3C18-464E-8AB9-4B923413601B}"/>
    <cellStyle name="40% - Accent5 2 3 3 7" xfId="10524" xr:uid="{B6F32AF1-7748-41CA-A52F-53683C88C025}"/>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43491" xr:uid="{C9F194F6-B32B-44B2-82F6-130B589BE26C}"/>
    <cellStyle name="40% - Accent5 2 3 4 2 2 3" xfId="35044" xr:uid="{9012FAF7-FCBD-4AB7-A643-98C17F8BC3E5}"/>
    <cellStyle name="40% - Accent5 2 3 4 2 2 4" xfId="26596" xr:uid="{75C8AC7D-EED9-46C0-9DDE-D8EF61162632}"/>
    <cellStyle name="40% - Accent5 2 3 4 2 2 5" xfId="17299" xr:uid="{69E83B43-655B-475B-9B65-F5A3882C1A2B}"/>
    <cellStyle name="40% - Accent5 2 3 4 2 3" xfId="39274" xr:uid="{510C145B-1843-4D3C-A4BC-58999D3D3996}"/>
    <cellStyle name="40% - Accent5 2 3 4 2 4" xfId="30826" xr:uid="{E7492CBF-A7D4-44D9-BB56-12853D3C99F6}"/>
    <cellStyle name="40% - Accent5 2 3 4 2 5" xfId="22379" xr:uid="{7DE6B92B-1056-437B-AA33-CDEFEA9FEA0A}"/>
    <cellStyle name="40% - Accent5 2 3 4 2 6" xfId="13082" xr:uid="{A2008EAE-6629-4A6B-BBCD-9F3D86F93ED7}"/>
    <cellStyle name="40% - Accent5 2 3 4 3" xfId="5828" xr:uid="{00000000-0005-0000-0000-000077060000}"/>
    <cellStyle name="40% - Accent5 2 3 4 3 2" xfId="41346" xr:uid="{D2D44AD3-D2C9-4520-B0D7-171B856E46A5}"/>
    <cellStyle name="40% - Accent5 2 3 4 3 3" xfId="32899" xr:uid="{E9CCF3A0-D52F-42C1-B621-67C926055D42}"/>
    <cellStyle name="40% - Accent5 2 3 4 3 4" xfId="24451" xr:uid="{89280432-583A-4748-96BC-52BC4ACF1B53}"/>
    <cellStyle name="40% - Accent5 2 3 4 3 5" xfId="15154" xr:uid="{751557F7-0C60-4A2E-9B9A-6A223819BB9F}"/>
    <cellStyle name="40% - Accent5 2 3 4 4" xfId="37129" xr:uid="{7727FA92-5846-4365-8ED4-2A6B57D5B8A9}"/>
    <cellStyle name="40% - Accent5 2 3 4 5" xfId="28681" xr:uid="{362F9020-2C17-4BB2-9AE2-D2538870F89C}"/>
    <cellStyle name="40% - Accent5 2 3 4 6" xfId="20234" xr:uid="{A1EA11FF-A8B9-4081-A318-67E6404C5E3B}"/>
    <cellStyle name="40% - Accent5 2 3 4 7" xfId="10937" xr:uid="{35827640-ACF7-4569-8EA6-A73C6ADDA6F1}"/>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43904" xr:uid="{CE393424-0526-4924-9018-91386EF36F9F}"/>
    <cellStyle name="40% - Accent5 2 3 5 2 2 3" xfId="35457" xr:uid="{32EDF5FC-5EF8-48BB-8822-A69700D3F515}"/>
    <cellStyle name="40% - Accent5 2 3 5 2 2 4" xfId="27009" xr:uid="{C2589E33-138F-47B9-BD47-ABA62D8BAE85}"/>
    <cellStyle name="40% - Accent5 2 3 5 2 2 5" xfId="17712" xr:uid="{0E7F619C-15FF-4F59-A45C-DC502703BE39}"/>
    <cellStyle name="40% - Accent5 2 3 5 2 3" xfId="39687" xr:uid="{0A658C48-6250-4409-86C8-EA257CB953DC}"/>
    <cellStyle name="40% - Accent5 2 3 5 2 4" xfId="31239" xr:uid="{75B30930-60AC-43D8-82AB-2E4E078B349E}"/>
    <cellStyle name="40% - Accent5 2 3 5 2 5" xfId="22792" xr:uid="{D50F81F2-C445-43F3-9221-2215F3C0FD2E}"/>
    <cellStyle name="40% - Accent5 2 3 5 2 6" xfId="13495" xr:uid="{90BAFEDD-45FD-4D36-B9CC-91EF697C5F09}"/>
    <cellStyle name="40% - Accent5 2 3 5 3" xfId="6241" xr:uid="{00000000-0005-0000-0000-00007B060000}"/>
    <cellStyle name="40% - Accent5 2 3 5 3 2" xfId="41759" xr:uid="{31291660-3E57-471A-BFBF-22174326FF68}"/>
    <cellStyle name="40% - Accent5 2 3 5 3 3" xfId="33312" xr:uid="{84B9719D-307D-4449-B828-B04EDB549180}"/>
    <cellStyle name="40% - Accent5 2 3 5 3 4" xfId="24864" xr:uid="{6E8E6E6A-7558-45FD-9E0F-3FC64F78C119}"/>
    <cellStyle name="40% - Accent5 2 3 5 3 5" xfId="15567" xr:uid="{54A1D3ED-8D71-4437-A489-B3151417E2EB}"/>
    <cellStyle name="40% - Accent5 2 3 5 4" xfId="37542" xr:uid="{7FCD68E2-5E15-4475-B7B0-C21D247B5421}"/>
    <cellStyle name="40% - Accent5 2 3 5 5" xfId="29094" xr:uid="{51279523-C8AC-47AE-8B81-475B3484FB8C}"/>
    <cellStyle name="40% - Accent5 2 3 5 6" xfId="20647" xr:uid="{454CADE7-1810-4F99-8C48-E2C62A09E549}"/>
    <cellStyle name="40% - Accent5 2 3 5 7" xfId="11350" xr:uid="{28970599-687C-4534-86C7-916F42A26AB5}"/>
    <cellStyle name="40% - Accent5 2 3 6" xfId="2348" xr:uid="{00000000-0005-0000-0000-00007C060000}"/>
    <cellStyle name="40% - Accent5 2 3 6 2" xfId="6654" xr:uid="{00000000-0005-0000-0000-00007D060000}"/>
    <cellStyle name="40% - Accent5 2 3 6 2 2" xfId="42172" xr:uid="{77DB6A60-D010-4138-8FD6-D79D4F4F9632}"/>
    <cellStyle name="40% - Accent5 2 3 6 2 3" xfId="33725" xr:uid="{7A48E2FB-8CD1-4F3B-B5FF-C3E1FAB6ED4E}"/>
    <cellStyle name="40% - Accent5 2 3 6 2 4" xfId="25277" xr:uid="{E3C4DA48-006D-4FCF-8B55-8D772175E916}"/>
    <cellStyle name="40% - Accent5 2 3 6 2 5" xfId="15980" xr:uid="{3117240A-7811-4E51-8C2E-C823F256B857}"/>
    <cellStyle name="40% - Accent5 2 3 6 3" xfId="37955" xr:uid="{EC7F385D-5837-47CA-B5C1-F5187FDEBEB5}"/>
    <cellStyle name="40% - Accent5 2 3 6 4" xfId="29507" xr:uid="{F008F99F-58A5-4C32-BB1A-0D5E1B9925CD}"/>
    <cellStyle name="40% - Accent5 2 3 6 5" xfId="21060" xr:uid="{BD3565D9-B2C5-4299-A5F2-B34ED0479DCF}"/>
    <cellStyle name="40% - Accent5 2 3 6 6" xfId="11763" xr:uid="{13EF0A82-AF54-48E9-A73C-D1C6A742B9A0}"/>
    <cellStyle name="40% - Accent5 2 3 7" xfId="4588" xr:uid="{00000000-0005-0000-0000-00007E060000}"/>
    <cellStyle name="40% - Accent5 2 3 7 2" xfId="40106" xr:uid="{2C543F8C-E31B-4DDA-A7AE-75BB057B0F3F}"/>
    <cellStyle name="40% - Accent5 2 3 7 3" xfId="31659" xr:uid="{20527CA2-4C6B-490E-B92C-02BE8AA64221}"/>
    <cellStyle name="40% - Accent5 2 3 7 4" xfId="23211" xr:uid="{4F3C5939-C028-4F3F-91D1-9A7C1D077122}"/>
    <cellStyle name="40% - Accent5 2 3 7 5" xfId="13914" xr:uid="{2ACD4BEC-4387-4804-8EEB-515C6DCDD9CC}"/>
    <cellStyle name="40% - Accent5 2 3 8" xfId="9009" xr:uid="{DE8B6E41-761F-4ED0-BA8A-00A6A898A2FC}"/>
    <cellStyle name="40% - Accent5 2 3 8 2" xfId="35889" xr:uid="{35F6FAA8-57A1-430F-BB61-A43DA57524C9}"/>
    <cellStyle name="40% - Accent5 2 3 8 3" xfId="18332" xr:uid="{F5CE1D7B-A145-4D34-B93B-FD78F9D41A2C}"/>
    <cellStyle name="40% - Accent5 2 3 9" xfId="27441" xr:uid="{3FB6ABAA-CDEA-4761-86B2-F6CF63CBAD3D}"/>
    <cellStyle name="40% - Accent5 2 4" xfId="651" xr:uid="{00000000-0005-0000-0000-00007F060000}"/>
    <cellStyle name="40% - Accent5 2 4 2" xfId="2922" xr:uid="{00000000-0005-0000-0000-000080060000}"/>
    <cellStyle name="40% - Accent5 2 4 2 2" xfId="7144" xr:uid="{00000000-0005-0000-0000-000081060000}"/>
    <cellStyle name="40% - Accent5 2 4 2 2 2" xfId="42662" xr:uid="{FF756D46-6942-47B3-B6FC-D2B49F96A9AD}"/>
    <cellStyle name="40% - Accent5 2 4 2 2 3" xfId="34215" xr:uid="{5AA6E71D-8756-407D-8193-12F6A49B7D3C}"/>
    <cellStyle name="40% - Accent5 2 4 2 2 4" xfId="25767" xr:uid="{4D1896A9-5694-4FC7-AFAE-E378B95B7D76}"/>
    <cellStyle name="40% - Accent5 2 4 2 2 5" xfId="16470" xr:uid="{432F2FE9-4D9F-4CA3-B3BB-5B43C758887E}"/>
    <cellStyle name="40% - Accent5 2 4 2 3" xfId="38445" xr:uid="{EEF4B028-AFC5-4B6A-A971-53A6271BB23B}"/>
    <cellStyle name="40% - Accent5 2 4 2 4" xfId="29997" xr:uid="{740DA280-3086-40D8-A295-DED701F0B425}"/>
    <cellStyle name="40% - Accent5 2 4 2 5" xfId="21550" xr:uid="{064059C5-55EA-46A6-AFC0-8CCF5AC2292E}"/>
    <cellStyle name="40% - Accent5 2 4 2 6" xfId="12253" xr:uid="{82FC81CF-6A6D-4140-AFFE-B399706EF292}"/>
    <cellStyle name="40% - Accent5 2 4 3" xfId="4999" xr:uid="{00000000-0005-0000-0000-000082060000}"/>
    <cellStyle name="40% - Accent5 2 4 3 2" xfId="40517" xr:uid="{F4BB942D-C5A5-413C-8F1C-CC9CD7E278F2}"/>
    <cellStyle name="40% - Accent5 2 4 3 3" xfId="32070" xr:uid="{0172ABD0-8858-4046-ACCE-35392DC06CC1}"/>
    <cellStyle name="40% - Accent5 2 4 3 4" xfId="23622" xr:uid="{1425FB4E-40AC-4A1E-A105-6D0AFB2A64E5}"/>
    <cellStyle name="40% - Accent5 2 4 3 5" xfId="14325" xr:uid="{9B611F6D-0729-4435-9ECB-4F2A2F7CF383}"/>
    <cellStyle name="40% - Accent5 2 4 4" xfId="9226" xr:uid="{6A688709-D29B-458C-973B-231279FAFEF5}"/>
    <cellStyle name="40% - Accent5 2 4 4 2" xfId="36300" xr:uid="{112584B3-4F8E-460F-96A2-E18926D237EC}"/>
    <cellStyle name="40% - Accent5 2 4 4 3" xfId="18540" xr:uid="{30D10072-44DA-44EF-AE7E-8B5D92653DAC}"/>
    <cellStyle name="40% - Accent5 2 4 5" xfId="27852" xr:uid="{B2A85C98-9E53-4E54-A339-6CA224CEB893}"/>
    <cellStyle name="40% - Accent5 2 4 6" xfId="19405" xr:uid="{DFBD8267-5E11-4B30-A486-237786BF85B1}"/>
    <cellStyle name="40% - Accent5 2 4 7" xfId="10108" xr:uid="{DE2167E8-6C1E-4D22-9574-071F26867138}"/>
    <cellStyle name="40% - Accent5 2 5" xfId="1104" xr:uid="{00000000-0005-0000-0000-000083060000}"/>
    <cellStyle name="40% - Accent5 2 5 2" xfId="3335" xr:uid="{00000000-0005-0000-0000-000084060000}"/>
    <cellStyle name="40% - Accent5 2 5 2 2" xfId="7557" xr:uid="{00000000-0005-0000-0000-000085060000}"/>
    <cellStyle name="40% - Accent5 2 5 2 2 2" xfId="43075" xr:uid="{6D5767B6-6462-4A88-AB14-58E88BBA5F93}"/>
    <cellStyle name="40% - Accent5 2 5 2 2 3" xfId="34628" xr:uid="{A878B604-035B-408B-8BBF-9746512C69A6}"/>
    <cellStyle name="40% - Accent5 2 5 2 2 4" xfId="26180" xr:uid="{216E299B-9AB1-45B2-B76C-AF8F93BB2367}"/>
    <cellStyle name="40% - Accent5 2 5 2 2 5" xfId="16883" xr:uid="{FD0A6C79-1B06-4876-96D9-D2D98325B1AB}"/>
    <cellStyle name="40% - Accent5 2 5 2 3" xfId="38858" xr:uid="{4E7EA969-4E5F-4852-AE5D-9A6FFFE99453}"/>
    <cellStyle name="40% - Accent5 2 5 2 4" xfId="30410" xr:uid="{FEAC4DC1-0D56-42E6-B401-7FCD6F49F33D}"/>
    <cellStyle name="40% - Accent5 2 5 2 5" xfId="21963" xr:uid="{99312AD1-489F-4520-9D32-8FAD8F23B7F2}"/>
    <cellStyle name="40% - Accent5 2 5 2 6" xfId="12666" xr:uid="{EFF75E95-B317-4548-9A43-A4BA5F947004}"/>
    <cellStyle name="40% - Accent5 2 5 3" xfId="5412" xr:uid="{00000000-0005-0000-0000-000086060000}"/>
    <cellStyle name="40% - Accent5 2 5 3 2" xfId="40930" xr:uid="{B7334A81-5FD6-41C6-AAF3-CD72D56146DE}"/>
    <cellStyle name="40% - Accent5 2 5 3 3" xfId="32483" xr:uid="{ED2E6414-83CA-4173-BD59-C1BF1ACA84DB}"/>
    <cellStyle name="40% - Accent5 2 5 3 4" xfId="24035" xr:uid="{DE280520-B727-4EAD-BCFF-8547F5608101}"/>
    <cellStyle name="40% - Accent5 2 5 3 5" xfId="14738" xr:uid="{AAACA061-9323-4D7F-991C-57F7643B0B3A}"/>
    <cellStyle name="40% - Accent5 2 5 4" xfId="36713" xr:uid="{B8914D0F-3779-487B-AFBC-67B84EBC6230}"/>
    <cellStyle name="40% - Accent5 2 5 5" xfId="28265" xr:uid="{30ECB769-FFF5-4CF8-8460-02E2F8E56BC5}"/>
    <cellStyle name="40% - Accent5 2 5 6" xfId="19818" xr:uid="{C79F8C2A-60B9-4641-9EBE-CB2909D3E8AF}"/>
    <cellStyle name="40% - Accent5 2 5 7" xfId="10521" xr:uid="{001EB1F0-DDB1-4A44-9137-898F52A18E57}"/>
    <cellStyle name="40% - Accent5 2 6" xfId="1518" xr:uid="{00000000-0005-0000-0000-000087060000}"/>
    <cellStyle name="40% - Accent5 2 6 2" xfId="3748" xr:uid="{00000000-0005-0000-0000-000088060000}"/>
    <cellStyle name="40% - Accent5 2 6 2 2" xfId="7970" xr:uid="{00000000-0005-0000-0000-000089060000}"/>
    <cellStyle name="40% - Accent5 2 6 2 2 2" xfId="43488" xr:uid="{8657DFA1-1AEA-48AF-99B5-544937B4CBC4}"/>
    <cellStyle name="40% - Accent5 2 6 2 2 3" xfId="35041" xr:uid="{BF75FDE8-6C27-40F8-A019-E318D889BD65}"/>
    <cellStyle name="40% - Accent5 2 6 2 2 4" xfId="26593" xr:uid="{D7A4E0D9-FB97-4E1E-9F94-C93C6B13530D}"/>
    <cellStyle name="40% - Accent5 2 6 2 2 5" xfId="17296" xr:uid="{47787831-B91A-4322-BC7A-62D5D089D0A0}"/>
    <cellStyle name="40% - Accent5 2 6 2 3" xfId="39271" xr:uid="{9B1C3C87-FCED-42C0-8BE8-2593CE1E3576}"/>
    <cellStyle name="40% - Accent5 2 6 2 4" xfId="30823" xr:uid="{7DD4B745-C5E9-4984-87ED-820C04918FEB}"/>
    <cellStyle name="40% - Accent5 2 6 2 5" xfId="22376" xr:uid="{A0269C55-3E86-442D-B10C-62C2120C56FA}"/>
    <cellStyle name="40% - Accent5 2 6 2 6" xfId="13079" xr:uid="{C12B163A-E99B-43B2-9BE2-FC6A3281231E}"/>
    <cellStyle name="40% - Accent5 2 6 3" xfId="5825" xr:uid="{00000000-0005-0000-0000-00008A060000}"/>
    <cellStyle name="40% - Accent5 2 6 3 2" xfId="41343" xr:uid="{7DAACEEB-5964-4096-83CE-A308E62008AA}"/>
    <cellStyle name="40% - Accent5 2 6 3 3" xfId="32896" xr:uid="{56EA49C4-474E-49A2-A97F-539F5C02871F}"/>
    <cellStyle name="40% - Accent5 2 6 3 4" xfId="24448" xr:uid="{61B367E6-6FF9-44D2-9AE8-280A2EBF0E96}"/>
    <cellStyle name="40% - Accent5 2 6 3 5" xfId="15151" xr:uid="{00E83AAA-FF36-4B2B-ACC5-CAC57978976E}"/>
    <cellStyle name="40% - Accent5 2 6 4" xfId="37126" xr:uid="{412909FB-BBC4-4BB7-9531-DD35A297287B}"/>
    <cellStyle name="40% - Accent5 2 6 5" xfId="28678" xr:uid="{DB8BF100-A32C-448A-9CC8-8031165FA6B2}"/>
    <cellStyle name="40% - Accent5 2 6 6" xfId="20231" xr:uid="{28A7F7BE-B402-49F1-BFEA-84EF676F3D0C}"/>
    <cellStyle name="40% - Accent5 2 6 7" xfId="10934" xr:uid="{ABCE9DBB-F429-4288-9908-FA1F7687CEF8}"/>
    <cellStyle name="40% - Accent5 2 7" xfId="1932" xr:uid="{00000000-0005-0000-0000-00008B060000}"/>
    <cellStyle name="40% - Accent5 2 7 2" xfId="4161" xr:uid="{00000000-0005-0000-0000-00008C060000}"/>
    <cellStyle name="40% - Accent5 2 7 2 2" xfId="8383" xr:uid="{00000000-0005-0000-0000-00008D060000}"/>
    <cellStyle name="40% - Accent5 2 7 2 2 2" xfId="43901" xr:uid="{9CA858D2-0F5B-4164-851C-9E3AB6AAC628}"/>
    <cellStyle name="40% - Accent5 2 7 2 2 3" xfId="35454" xr:uid="{8D4E8146-1377-443E-ABEC-B9611AFFD297}"/>
    <cellStyle name="40% - Accent5 2 7 2 2 4" xfId="27006" xr:uid="{BE6D91F5-6CB4-4532-BA7F-1FB4FC94141C}"/>
    <cellStyle name="40% - Accent5 2 7 2 2 5" xfId="17709" xr:uid="{773E65D6-58CC-4BFA-820A-77DAF3A1BBA3}"/>
    <cellStyle name="40% - Accent5 2 7 2 3" xfId="39684" xr:uid="{4BBC46C3-BA14-4AC0-B613-8E95134A719E}"/>
    <cellStyle name="40% - Accent5 2 7 2 4" xfId="31236" xr:uid="{7D491F20-7A52-4E23-A43E-C557BDF48C18}"/>
    <cellStyle name="40% - Accent5 2 7 2 5" xfId="22789" xr:uid="{A5CCBDB8-AC13-487E-A175-751D97B22806}"/>
    <cellStyle name="40% - Accent5 2 7 2 6" xfId="13492" xr:uid="{F22369CA-4252-42D9-A298-0C98F74E7FF4}"/>
    <cellStyle name="40% - Accent5 2 7 3" xfId="6238" xr:uid="{00000000-0005-0000-0000-00008E060000}"/>
    <cellStyle name="40% - Accent5 2 7 3 2" xfId="41756" xr:uid="{4699990B-D808-4326-859B-F00BF74954C3}"/>
    <cellStyle name="40% - Accent5 2 7 3 3" xfId="33309" xr:uid="{A465E58E-2504-4731-A96C-898FCD29F251}"/>
    <cellStyle name="40% - Accent5 2 7 3 4" xfId="24861" xr:uid="{9966C132-9C6D-4E84-BF4F-A6528D1C98CB}"/>
    <cellStyle name="40% - Accent5 2 7 3 5" xfId="15564" xr:uid="{02DA22AA-34B4-481A-94D6-C4991680D4C6}"/>
    <cellStyle name="40% - Accent5 2 7 4" xfId="37539" xr:uid="{3C765748-D32D-4E9F-A8A3-02C8EB6589C9}"/>
    <cellStyle name="40% - Accent5 2 7 5" xfId="29091" xr:uid="{606FF496-409B-4D48-B4BA-34BC6AB67166}"/>
    <cellStyle name="40% - Accent5 2 7 6" xfId="20644" xr:uid="{EA1BE59A-5BB8-433A-A038-DBDF5D94CC8A}"/>
    <cellStyle name="40% - Accent5 2 7 7" xfId="11347" xr:uid="{5C6DF876-EB2C-465D-9352-DB54B5698383}"/>
    <cellStyle name="40% - Accent5 2 8" xfId="2345" xr:uid="{00000000-0005-0000-0000-00008F060000}"/>
    <cellStyle name="40% - Accent5 2 8 2" xfId="6651" xr:uid="{00000000-0005-0000-0000-000090060000}"/>
    <cellStyle name="40% - Accent5 2 8 2 2" xfId="42169" xr:uid="{C026F0B2-E1BB-4D66-B34F-077C92BD1363}"/>
    <cellStyle name="40% - Accent5 2 8 2 3" xfId="33722" xr:uid="{90228564-2AAC-4455-853F-97A504C652BA}"/>
    <cellStyle name="40% - Accent5 2 8 2 4" xfId="25274" xr:uid="{92CCBF7E-F72A-441D-95F5-0A1E0A34643E}"/>
    <cellStyle name="40% - Accent5 2 8 2 5" xfId="15977" xr:uid="{F60DD36D-2902-4626-B104-EC38B0CD57F6}"/>
    <cellStyle name="40% - Accent5 2 8 3" xfId="37952" xr:uid="{5D3A6718-D389-41AC-AFC2-C1254D3F032C}"/>
    <cellStyle name="40% - Accent5 2 8 4" xfId="29504" xr:uid="{8256554D-1FAA-4DF2-8686-BCB8F4D8DF15}"/>
    <cellStyle name="40% - Accent5 2 8 5" xfId="21057" xr:uid="{628FD323-35A4-420A-9774-613E9FC13BE2}"/>
    <cellStyle name="40% - Accent5 2 8 6" xfId="11760" xr:uid="{7AAF38F5-44D4-47A6-8C65-38F1B7696561}"/>
    <cellStyle name="40% - Accent5 2 9" xfId="4585" xr:uid="{00000000-0005-0000-0000-000091060000}"/>
    <cellStyle name="40% - Accent5 2 9 2" xfId="40103" xr:uid="{EE83331F-B88B-472E-BE38-4406205115DD}"/>
    <cellStyle name="40% - Accent5 2 9 3" xfId="31656" xr:uid="{BA1D6682-B3C2-4317-8EB9-6D535EAFF49F}"/>
    <cellStyle name="40% - Accent5 2 9 4" xfId="23208" xr:uid="{34FBC9B7-A323-447B-ABFC-B377570C99DF}"/>
    <cellStyle name="40% - Accent5 2 9 5" xfId="13911" xr:uid="{8A589A56-7956-433E-A6C1-E049B4A1DC96}"/>
    <cellStyle name="40% - Accent5 3" xfId="86" xr:uid="{00000000-0005-0000-0000-000092060000}"/>
    <cellStyle name="40% - Accent5 3 10" xfId="27442" xr:uid="{32E42FD1-4AA6-478A-93C0-E847328A136D}"/>
    <cellStyle name="40% - Accent5 3 11" xfId="18995" xr:uid="{C9CAD08B-9EBF-49FA-A95C-F4B265B36F08}"/>
    <cellStyle name="40% - Accent5 3 12" xfId="9698" xr:uid="{959DF8D1-0F74-4F98-BDE0-30D12B70758A}"/>
    <cellStyle name="40% - Accent5 3 2" xfId="87" xr:uid="{00000000-0005-0000-0000-000093060000}"/>
    <cellStyle name="40% - Accent5 3 2 10" xfId="18996" xr:uid="{91AC6A05-DFCF-4F31-8FCB-8288D6E41D88}"/>
    <cellStyle name="40% - Accent5 3 2 11" xfId="9699" xr:uid="{E9742FA1-7FA5-4153-B07F-35D26AD54215}"/>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42667" xr:uid="{40805CCB-D6EE-4FFA-855C-8B1F0E394ED4}"/>
    <cellStyle name="40% - Accent5 3 2 2 2 2 3" xfId="34220" xr:uid="{85291A7B-0E1C-4E45-ADB0-0F65830BB6A7}"/>
    <cellStyle name="40% - Accent5 3 2 2 2 2 4" xfId="25772" xr:uid="{07811983-ED7F-42D8-BBB9-2E06E5F83637}"/>
    <cellStyle name="40% - Accent5 3 2 2 2 2 5" xfId="16475" xr:uid="{55991670-0F3F-427F-BF0D-BB442DDE2273}"/>
    <cellStyle name="40% - Accent5 3 2 2 2 3" xfId="38450" xr:uid="{2FF23404-E820-4573-8FB1-F65608EFD1A5}"/>
    <cellStyle name="40% - Accent5 3 2 2 2 4" xfId="30002" xr:uid="{B2698B21-39F8-4152-8438-76D33FC1CBD4}"/>
    <cellStyle name="40% - Accent5 3 2 2 2 5" xfId="21555" xr:uid="{423565CF-D8E1-4300-B42F-9ADE12E43A32}"/>
    <cellStyle name="40% - Accent5 3 2 2 2 6" xfId="12258" xr:uid="{0B01208B-C69E-475F-B10D-696329C57DF2}"/>
    <cellStyle name="40% - Accent5 3 2 2 3" xfId="5004" xr:uid="{00000000-0005-0000-0000-000097060000}"/>
    <cellStyle name="40% - Accent5 3 2 2 3 2" xfId="40522" xr:uid="{111802C8-5EFE-4EF3-9471-419D166D5DB2}"/>
    <cellStyle name="40% - Accent5 3 2 2 3 3" xfId="32075" xr:uid="{7EBF0A75-4DD7-402D-B68E-F821205B15AF}"/>
    <cellStyle name="40% - Accent5 3 2 2 3 4" xfId="23627" xr:uid="{35CD5643-09C8-4C16-9D15-D8A06D4DFC7B}"/>
    <cellStyle name="40% - Accent5 3 2 2 3 5" xfId="14330" xr:uid="{8978B2F1-A911-4A41-9812-65235761B667}"/>
    <cellStyle name="40% - Accent5 3 2 2 4" xfId="9502" xr:uid="{96903B0D-DCFE-4149-8088-461BCB03A73B}"/>
    <cellStyle name="40% - Accent5 3 2 2 4 2" xfId="36305" xr:uid="{BD0BB58A-B654-44EC-8EB2-2F605E92DDF2}"/>
    <cellStyle name="40% - Accent5 3 2 2 4 3" xfId="18815" xr:uid="{8EDA35C1-AB2C-4379-86D9-E3C04AC94D88}"/>
    <cellStyle name="40% - Accent5 3 2 2 5" xfId="27857" xr:uid="{DEFEB562-9374-42EA-8864-9B543941CE46}"/>
    <cellStyle name="40% - Accent5 3 2 2 6" xfId="19410" xr:uid="{98DEECAF-AE16-4669-A2A1-CF08141827A9}"/>
    <cellStyle name="40% - Accent5 3 2 2 7" xfId="10113" xr:uid="{2D5A61D3-EEE3-4D86-8E5C-203C933C61FF}"/>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43080" xr:uid="{3A2FDD0F-8283-4C58-B443-DB758C2208FB}"/>
    <cellStyle name="40% - Accent5 3 2 3 2 2 3" xfId="34633" xr:uid="{399E5DC6-9268-4F4F-A84B-D1E8F14B3BA1}"/>
    <cellStyle name="40% - Accent5 3 2 3 2 2 4" xfId="26185" xr:uid="{8B6A38F0-AEFF-4C95-AF71-DF8D673B2D08}"/>
    <cellStyle name="40% - Accent5 3 2 3 2 2 5" xfId="16888" xr:uid="{1DEAEC1F-5124-4329-8D93-98AD32A34C06}"/>
    <cellStyle name="40% - Accent5 3 2 3 2 3" xfId="38863" xr:uid="{B568AC0D-846E-41B4-A4AC-09A133C3C0EA}"/>
    <cellStyle name="40% - Accent5 3 2 3 2 4" xfId="30415" xr:uid="{AABDF804-716F-412E-9C94-2A0D3840C49D}"/>
    <cellStyle name="40% - Accent5 3 2 3 2 5" xfId="21968" xr:uid="{D16BE692-24DE-4B45-8502-45AE062E95F4}"/>
    <cellStyle name="40% - Accent5 3 2 3 2 6" xfId="12671" xr:uid="{AE2EE481-16F0-4A01-AD48-5153AAFAB824}"/>
    <cellStyle name="40% - Accent5 3 2 3 3" xfId="5417" xr:uid="{00000000-0005-0000-0000-00009B060000}"/>
    <cellStyle name="40% - Accent5 3 2 3 3 2" xfId="40935" xr:uid="{759BF24F-9419-4016-9700-9D56FD6FBECE}"/>
    <cellStyle name="40% - Accent5 3 2 3 3 3" xfId="32488" xr:uid="{C1630B8E-D758-44D8-A3FF-1490E6704EEF}"/>
    <cellStyle name="40% - Accent5 3 2 3 3 4" xfId="24040" xr:uid="{1FD28613-B097-4E70-A6E5-C87DDB42F6E3}"/>
    <cellStyle name="40% - Accent5 3 2 3 3 5" xfId="14743" xr:uid="{DACBDBDF-790C-4899-A5AE-DCF17CCDFD05}"/>
    <cellStyle name="40% - Accent5 3 2 3 4" xfId="36718" xr:uid="{92E92A81-7962-42E5-B6F5-B1EE9C681F0D}"/>
    <cellStyle name="40% - Accent5 3 2 3 5" xfId="28270" xr:uid="{E25946DF-DFCD-4153-8868-C9870E905C04}"/>
    <cellStyle name="40% - Accent5 3 2 3 6" xfId="19823" xr:uid="{CE1F5391-D219-4EC4-893B-9B260E2FF98C}"/>
    <cellStyle name="40% - Accent5 3 2 3 7" xfId="10526" xr:uid="{C4114268-CDDF-4135-8A74-056B8CE51335}"/>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43493" xr:uid="{68FA9462-8B51-43AF-866D-EC4DA233EF7C}"/>
    <cellStyle name="40% - Accent5 3 2 4 2 2 3" xfId="35046" xr:uid="{80DE1588-EA23-4930-B51B-D9AFC65FD37E}"/>
    <cellStyle name="40% - Accent5 3 2 4 2 2 4" xfId="26598" xr:uid="{8E7366D8-9C14-4FCE-BAC1-8AC573E9AB22}"/>
    <cellStyle name="40% - Accent5 3 2 4 2 2 5" xfId="17301" xr:uid="{BAD7A1D0-FF4C-4E90-9126-692F921E70D6}"/>
    <cellStyle name="40% - Accent5 3 2 4 2 3" xfId="39276" xr:uid="{AB15A058-38DE-46EE-987D-C1FCC1103E41}"/>
    <cellStyle name="40% - Accent5 3 2 4 2 4" xfId="30828" xr:uid="{C70665FA-2FA1-46B1-99B2-C8045489E413}"/>
    <cellStyle name="40% - Accent5 3 2 4 2 5" xfId="22381" xr:uid="{D38D6DCA-9C56-4321-9C09-14E5F2626641}"/>
    <cellStyle name="40% - Accent5 3 2 4 2 6" xfId="13084" xr:uid="{5B3F7FC2-A23F-4130-839D-49E8C6278F5F}"/>
    <cellStyle name="40% - Accent5 3 2 4 3" xfId="5830" xr:uid="{00000000-0005-0000-0000-00009F060000}"/>
    <cellStyle name="40% - Accent5 3 2 4 3 2" xfId="41348" xr:uid="{0BBAC84E-7414-4702-B9FC-4A0DF717B5C7}"/>
    <cellStyle name="40% - Accent5 3 2 4 3 3" xfId="32901" xr:uid="{275FCB04-7232-4FEC-8424-59C59AD0C185}"/>
    <cellStyle name="40% - Accent5 3 2 4 3 4" xfId="24453" xr:uid="{F177B939-D771-469B-BE24-0F8B3C3B0478}"/>
    <cellStyle name="40% - Accent5 3 2 4 3 5" xfId="15156" xr:uid="{3427D002-15F6-435B-B830-C74DA72B42CF}"/>
    <cellStyle name="40% - Accent5 3 2 4 4" xfId="37131" xr:uid="{E8FE5B3B-6EFF-4885-99A2-2E72218C0900}"/>
    <cellStyle name="40% - Accent5 3 2 4 5" xfId="28683" xr:uid="{BA4CB26F-6DE5-4B92-B011-E5F154EC36CF}"/>
    <cellStyle name="40% - Accent5 3 2 4 6" xfId="20236" xr:uid="{6A12BF1E-A809-4F3F-87BD-716AAA9637E0}"/>
    <cellStyle name="40% - Accent5 3 2 4 7" xfId="10939" xr:uid="{B52DC7D3-FA30-4338-8BC3-0070CA9D12EC}"/>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43906" xr:uid="{8CC45B4D-E627-42B8-AD6C-4B7ABF402F9A}"/>
    <cellStyle name="40% - Accent5 3 2 5 2 2 3" xfId="35459" xr:uid="{AC58F03E-69A1-4807-92CA-949ADE091AFA}"/>
    <cellStyle name="40% - Accent5 3 2 5 2 2 4" xfId="27011" xr:uid="{3FB6F070-3280-4DEE-A348-F18BC2B6CDC6}"/>
    <cellStyle name="40% - Accent5 3 2 5 2 2 5" xfId="17714" xr:uid="{3B68EC0E-E4E3-4510-9453-8F9504FB1650}"/>
    <cellStyle name="40% - Accent5 3 2 5 2 3" xfId="39689" xr:uid="{E63AC980-B637-4136-8617-4EF441749F9F}"/>
    <cellStyle name="40% - Accent5 3 2 5 2 4" xfId="31241" xr:uid="{FF6794A6-6012-474F-A2DD-5EB994E9F424}"/>
    <cellStyle name="40% - Accent5 3 2 5 2 5" xfId="22794" xr:uid="{2B6E3923-32E3-4974-89F8-BCC8F9817596}"/>
    <cellStyle name="40% - Accent5 3 2 5 2 6" xfId="13497" xr:uid="{37E3624A-EBBE-4EF6-866F-02898D92D2FE}"/>
    <cellStyle name="40% - Accent5 3 2 5 3" xfId="6243" xr:uid="{00000000-0005-0000-0000-0000A3060000}"/>
    <cellStyle name="40% - Accent5 3 2 5 3 2" xfId="41761" xr:uid="{6E79BC55-53C6-42AC-9FF9-855BF3758615}"/>
    <cellStyle name="40% - Accent5 3 2 5 3 3" xfId="33314" xr:uid="{935B448E-F35B-401F-9E12-F79511B1E3BE}"/>
    <cellStyle name="40% - Accent5 3 2 5 3 4" xfId="24866" xr:uid="{B14D2A67-8E96-401D-A16C-829CC80BC64E}"/>
    <cellStyle name="40% - Accent5 3 2 5 3 5" xfId="15569" xr:uid="{5C229415-5018-4340-8858-43F82CBA4E98}"/>
    <cellStyle name="40% - Accent5 3 2 5 4" xfId="37544" xr:uid="{23A149CC-E279-45DC-8F6C-BD8433F7B7D6}"/>
    <cellStyle name="40% - Accent5 3 2 5 5" xfId="29096" xr:uid="{1F2364D8-04FA-4DA7-8D1C-3010F114F2C2}"/>
    <cellStyle name="40% - Accent5 3 2 5 6" xfId="20649" xr:uid="{1B053F19-30BF-42EF-B1A8-BC542294054F}"/>
    <cellStyle name="40% - Accent5 3 2 5 7" xfId="11352" xr:uid="{0AFF3CF0-F018-4AD7-B3FC-ACFD28687F36}"/>
    <cellStyle name="40% - Accent5 3 2 6" xfId="2350" xr:uid="{00000000-0005-0000-0000-0000A4060000}"/>
    <cellStyle name="40% - Accent5 3 2 6 2" xfId="6656" xr:uid="{00000000-0005-0000-0000-0000A5060000}"/>
    <cellStyle name="40% - Accent5 3 2 6 2 2" xfId="42174" xr:uid="{CBE42423-CE4E-4265-A071-1E3BFB91E438}"/>
    <cellStyle name="40% - Accent5 3 2 6 2 3" xfId="33727" xr:uid="{2D6028D0-0E3A-4228-911D-FA8A48B863C2}"/>
    <cellStyle name="40% - Accent5 3 2 6 2 4" xfId="25279" xr:uid="{F5EFDDFF-CAD2-4BBE-93F1-89A23215ADDD}"/>
    <cellStyle name="40% - Accent5 3 2 6 2 5" xfId="15982" xr:uid="{C9E25141-9660-48B1-910E-7B1329C4D8C4}"/>
    <cellStyle name="40% - Accent5 3 2 6 3" xfId="37957" xr:uid="{7566412A-638D-40D4-88B9-9F7866758779}"/>
    <cellStyle name="40% - Accent5 3 2 6 4" xfId="29509" xr:uid="{5871064E-1AB7-4EAB-B83A-AC19D9930447}"/>
    <cellStyle name="40% - Accent5 3 2 6 5" xfId="21062" xr:uid="{586174B0-AE99-4844-B287-8B156C98DF67}"/>
    <cellStyle name="40% - Accent5 3 2 6 6" xfId="11765" xr:uid="{56538E74-8E4F-464C-93EB-D7051174467C}"/>
    <cellStyle name="40% - Accent5 3 2 7" xfId="4590" xr:uid="{00000000-0005-0000-0000-0000A6060000}"/>
    <cellStyle name="40% - Accent5 3 2 7 2" xfId="40108" xr:uid="{45988A3D-4062-4957-AB3D-6A5C886841BB}"/>
    <cellStyle name="40% - Accent5 3 2 7 3" xfId="31661" xr:uid="{DC91C646-A395-4831-A210-97800D0513A9}"/>
    <cellStyle name="40% - Accent5 3 2 7 4" xfId="23213" xr:uid="{BDCA8B00-9FDF-41A6-AA0E-C002E70E89DF}"/>
    <cellStyle name="40% - Accent5 3 2 7 5" xfId="13916" xr:uid="{3A67142B-4C5B-4164-A4A3-9555F5B679A8}"/>
    <cellStyle name="40% - Accent5 3 2 8" xfId="9077" xr:uid="{8842DD15-54E4-487D-B492-3A505722387C}"/>
    <cellStyle name="40% - Accent5 3 2 8 2" xfId="35891" xr:uid="{460B9C6C-E65C-46B5-B7F0-4B59C6E4667F}"/>
    <cellStyle name="40% - Accent5 3 2 8 3" xfId="18400" xr:uid="{CEC755F9-0F97-4DA6-8D33-43CE78571E52}"/>
    <cellStyle name="40% - Accent5 3 2 9" xfId="27443" xr:uid="{A025A448-0093-48E1-BE30-3E855389303D}"/>
    <cellStyle name="40% - Accent5 3 3" xfId="655" xr:uid="{00000000-0005-0000-0000-0000A7060000}"/>
    <cellStyle name="40% - Accent5 3 3 2" xfId="2926" xr:uid="{00000000-0005-0000-0000-0000A8060000}"/>
    <cellStyle name="40% - Accent5 3 3 2 2" xfId="7148" xr:uid="{00000000-0005-0000-0000-0000A9060000}"/>
    <cellStyle name="40% - Accent5 3 3 2 2 2" xfId="42666" xr:uid="{6DEBD021-34DE-44B3-BF07-DC65DE8E0B05}"/>
    <cellStyle name="40% - Accent5 3 3 2 2 3" xfId="34219" xr:uid="{CD061641-946C-4D48-9952-DAD270B88DA4}"/>
    <cellStyle name="40% - Accent5 3 3 2 2 4" xfId="25771" xr:uid="{68521548-2C3D-4CAE-A8B1-A20CE203113B}"/>
    <cellStyle name="40% - Accent5 3 3 2 2 5" xfId="16474" xr:uid="{29B7476F-7ED0-44BE-B4C6-34783A9072A5}"/>
    <cellStyle name="40% - Accent5 3 3 2 3" xfId="38449" xr:uid="{93F99F12-AEE0-47E4-90B0-BE65DE41D334}"/>
    <cellStyle name="40% - Accent5 3 3 2 4" xfId="30001" xr:uid="{5EF3680D-721E-4F38-AA69-5F0F5DFE9FC8}"/>
    <cellStyle name="40% - Accent5 3 3 2 5" xfId="21554" xr:uid="{8C08E8D5-A8EB-4CEC-9A51-6830A28800C2}"/>
    <cellStyle name="40% - Accent5 3 3 2 6" xfId="12257" xr:uid="{AF9417E7-3A7F-485E-BCE6-07F3939BDD83}"/>
    <cellStyle name="40% - Accent5 3 3 3" xfId="5003" xr:uid="{00000000-0005-0000-0000-0000AA060000}"/>
    <cellStyle name="40% - Accent5 3 3 3 2" xfId="40521" xr:uid="{AB1294D4-3B10-4326-860C-9C2DA56487F9}"/>
    <cellStyle name="40% - Accent5 3 3 3 3" xfId="32074" xr:uid="{1C4DF7A1-AD5A-4AF2-ADBE-D7B918BFA1BA}"/>
    <cellStyle name="40% - Accent5 3 3 3 4" xfId="23626" xr:uid="{11EA8DDD-F540-4F34-9BE5-AF9591BBB94B}"/>
    <cellStyle name="40% - Accent5 3 3 3 5" xfId="14329" xr:uid="{328FDAE8-C6E8-4059-842B-46A9F5DCB08B}"/>
    <cellStyle name="40% - Accent5 3 3 4" xfId="9295" xr:uid="{0D42C89E-252E-426A-8E1F-7D3AD6B9FE55}"/>
    <cellStyle name="40% - Accent5 3 3 4 2" xfId="36304" xr:uid="{73EB5517-0B7F-42BE-847B-393005120E8F}"/>
    <cellStyle name="40% - Accent5 3 3 4 3" xfId="18608" xr:uid="{092077A3-B1C8-4947-B9BD-657B41133E27}"/>
    <cellStyle name="40% - Accent5 3 3 5" xfId="27856" xr:uid="{1F8828B6-E11C-4B5B-A1AB-2085CDC53D2C}"/>
    <cellStyle name="40% - Accent5 3 3 6" xfId="19409" xr:uid="{B1DBE0B2-C966-4F94-8AF7-DAC8FBB6E8D6}"/>
    <cellStyle name="40% - Accent5 3 3 7" xfId="10112" xr:uid="{2F6EF4E1-6328-4CE2-A337-578D44BD5D38}"/>
    <cellStyle name="40% - Accent5 3 4" xfId="1108" xr:uid="{00000000-0005-0000-0000-0000AB060000}"/>
    <cellStyle name="40% - Accent5 3 4 2" xfId="3339" xr:uid="{00000000-0005-0000-0000-0000AC060000}"/>
    <cellStyle name="40% - Accent5 3 4 2 2" xfId="7561" xr:uid="{00000000-0005-0000-0000-0000AD060000}"/>
    <cellStyle name="40% - Accent5 3 4 2 2 2" xfId="43079" xr:uid="{A0DD6637-D82E-4179-BF67-1C4CE846ED56}"/>
    <cellStyle name="40% - Accent5 3 4 2 2 3" xfId="34632" xr:uid="{B1CEA1C9-C4B8-41D8-A091-8C7B88ACEC42}"/>
    <cellStyle name="40% - Accent5 3 4 2 2 4" xfId="26184" xr:uid="{CE981698-8358-414D-A8B3-08127D9E1F87}"/>
    <cellStyle name="40% - Accent5 3 4 2 2 5" xfId="16887" xr:uid="{B840C498-B447-46DE-BD3D-A5972F8BFED2}"/>
    <cellStyle name="40% - Accent5 3 4 2 3" xfId="38862" xr:uid="{D6BA6128-06AC-419F-AD67-2F6EFB2D2716}"/>
    <cellStyle name="40% - Accent5 3 4 2 4" xfId="30414" xr:uid="{6F1FD47D-3215-465F-B4DE-5B08BF3DAA53}"/>
    <cellStyle name="40% - Accent5 3 4 2 5" xfId="21967" xr:uid="{84B4F8D8-D2B2-4890-9768-CDFD241B5FF5}"/>
    <cellStyle name="40% - Accent5 3 4 2 6" xfId="12670" xr:uid="{066EC632-479B-4003-8A33-9942B4DCFEB6}"/>
    <cellStyle name="40% - Accent5 3 4 3" xfId="5416" xr:uid="{00000000-0005-0000-0000-0000AE060000}"/>
    <cellStyle name="40% - Accent5 3 4 3 2" xfId="40934" xr:uid="{81987FAB-EF15-4D67-948A-3535E75B6034}"/>
    <cellStyle name="40% - Accent5 3 4 3 3" xfId="32487" xr:uid="{5D4B4EA5-C962-4183-A2A5-EFB7A27C12A1}"/>
    <cellStyle name="40% - Accent5 3 4 3 4" xfId="24039" xr:uid="{A43E83E7-C03F-4869-848F-63754BEB2660}"/>
    <cellStyle name="40% - Accent5 3 4 3 5" xfId="14742" xr:uid="{D26FAEAB-F985-4F52-80C6-8E3EE90C6F7D}"/>
    <cellStyle name="40% - Accent5 3 4 4" xfId="36717" xr:uid="{7A93FC35-B225-4438-9475-51FFB55EF927}"/>
    <cellStyle name="40% - Accent5 3 4 5" xfId="28269" xr:uid="{AC90246F-F840-4766-8414-8FA90C59097F}"/>
    <cellStyle name="40% - Accent5 3 4 6" xfId="19822" xr:uid="{2C9C27EF-4780-4442-9361-8790DAA69B92}"/>
    <cellStyle name="40% - Accent5 3 4 7" xfId="10525" xr:uid="{CA982287-F53D-4099-9C55-534BA106AAB2}"/>
    <cellStyle name="40% - Accent5 3 5" xfId="1522" xr:uid="{00000000-0005-0000-0000-0000AF060000}"/>
    <cellStyle name="40% - Accent5 3 5 2" xfId="3752" xr:uid="{00000000-0005-0000-0000-0000B0060000}"/>
    <cellStyle name="40% - Accent5 3 5 2 2" xfId="7974" xr:uid="{00000000-0005-0000-0000-0000B1060000}"/>
    <cellStyle name="40% - Accent5 3 5 2 2 2" xfId="43492" xr:uid="{A20438B1-CE68-4232-90D0-159E164E06D0}"/>
    <cellStyle name="40% - Accent5 3 5 2 2 3" xfId="35045" xr:uid="{6F42A0F2-3D82-4454-81D4-BCB3A96D1D82}"/>
    <cellStyle name="40% - Accent5 3 5 2 2 4" xfId="26597" xr:uid="{618C3537-8924-4EAD-841F-7D69A8FFE637}"/>
    <cellStyle name="40% - Accent5 3 5 2 2 5" xfId="17300" xr:uid="{4DC0E80F-487E-46C6-AA35-3F68741A9A15}"/>
    <cellStyle name="40% - Accent5 3 5 2 3" xfId="39275" xr:uid="{6225B554-9886-4858-AC3A-F761EBC351B5}"/>
    <cellStyle name="40% - Accent5 3 5 2 4" xfId="30827" xr:uid="{A450C49D-5CCA-4D53-84B0-3253D9E781F5}"/>
    <cellStyle name="40% - Accent5 3 5 2 5" xfId="22380" xr:uid="{7F27BC27-A919-4B2F-82E7-CCF797D801DF}"/>
    <cellStyle name="40% - Accent5 3 5 2 6" xfId="13083" xr:uid="{8CA926C8-A639-4B00-8B91-5F0A33DA87C1}"/>
    <cellStyle name="40% - Accent5 3 5 3" xfId="5829" xr:uid="{00000000-0005-0000-0000-0000B2060000}"/>
    <cellStyle name="40% - Accent5 3 5 3 2" xfId="41347" xr:uid="{35E495D0-AEEB-4741-9707-5900F2971D2C}"/>
    <cellStyle name="40% - Accent5 3 5 3 3" xfId="32900" xr:uid="{3CA0D8BA-6051-407A-BD6D-36FD0926ECE3}"/>
    <cellStyle name="40% - Accent5 3 5 3 4" xfId="24452" xr:uid="{C49DF677-64BD-492F-9186-AE9984AE5828}"/>
    <cellStyle name="40% - Accent5 3 5 3 5" xfId="15155" xr:uid="{F6424D5F-46A7-4729-AE41-845A949A5D57}"/>
    <cellStyle name="40% - Accent5 3 5 4" xfId="37130" xr:uid="{15B06532-8AD5-4BD3-9A9E-8EF9EA941A6D}"/>
    <cellStyle name="40% - Accent5 3 5 5" xfId="28682" xr:uid="{BEE73FA7-8B6A-4B36-A342-96A77FBE9646}"/>
    <cellStyle name="40% - Accent5 3 5 6" xfId="20235" xr:uid="{FDDD081F-E07D-4AA3-8CD7-EB2831EB9DEF}"/>
    <cellStyle name="40% - Accent5 3 5 7" xfId="10938" xr:uid="{5DA450F3-536B-4E8D-AEF7-7B671B504F18}"/>
    <cellStyle name="40% - Accent5 3 6" xfId="1936" xr:uid="{00000000-0005-0000-0000-0000B3060000}"/>
    <cellStyle name="40% - Accent5 3 6 2" xfId="4165" xr:uid="{00000000-0005-0000-0000-0000B4060000}"/>
    <cellStyle name="40% - Accent5 3 6 2 2" xfId="8387" xr:uid="{00000000-0005-0000-0000-0000B5060000}"/>
    <cellStyle name="40% - Accent5 3 6 2 2 2" xfId="43905" xr:uid="{63CD2646-BBBB-4D0F-BCC7-F38AE074F15D}"/>
    <cellStyle name="40% - Accent5 3 6 2 2 3" xfId="35458" xr:uid="{5450E5E5-3626-46B2-8501-EC2C5F2C832D}"/>
    <cellStyle name="40% - Accent5 3 6 2 2 4" xfId="27010" xr:uid="{E6C2742A-6D32-4C92-B865-9A3F61E28562}"/>
    <cellStyle name="40% - Accent5 3 6 2 2 5" xfId="17713" xr:uid="{8A9CB669-36F5-4883-9DE1-40DAB5CB3501}"/>
    <cellStyle name="40% - Accent5 3 6 2 3" xfId="39688" xr:uid="{04ADA94F-7B1C-4C5B-8A58-7986AF839F78}"/>
    <cellStyle name="40% - Accent5 3 6 2 4" xfId="31240" xr:uid="{819021D6-BD0D-4F84-BF08-6CA04D2F9BB3}"/>
    <cellStyle name="40% - Accent5 3 6 2 5" xfId="22793" xr:uid="{0CDCB013-83AB-4009-9B43-412EC85B7BE8}"/>
    <cellStyle name="40% - Accent5 3 6 2 6" xfId="13496" xr:uid="{37A9F5B3-9E8F-433F-9534-3F0D8AC3F216}"/>
    <cellStyle name="40% - Accent5 3 6 3" xfId="6242" xr:uid="{00000000-0005-0000-0000-0000B6060000}"/>
    <cellStyle name="40% - Accent5 3 6 3 2" xfId="41760" xr:uid="{B2981334-AEC0-4F0E-B783-769DA7ABDA5E}"/>
    <cellStyle name="40% - Accent5 3 6 3 3" xfId="33313" xr:uid="{9C1CB854-9B56-4745-995E-9251AA011287}"/>
    <cellStyle name="40% - Accent5 3 6 3 4" xfId="24865" xr:uid="{B008F814-807A-4BEE-81DE-3832C0A361A8}"/>
    <cellStyle name="40% - Accent5 3 6 3 5" xfId="15568" xr:uid="{503B55C0-B249-47D0-B2A7-A90A157A29A5}"/>
    <cellStyle name="40% - Accent5 3 6 4" xfId="37543" xr:uid="{25A845B9-38A6-4389-8D87-DEA7C3AA2872}"/>
    <cellStyle name="40% - Accent5 3 6 5" xfId="29095" xr:uid="{2B11CD1E-E0DB-4E38-9D20-81EB3D3C93A5}"/>
    <cellStyle name="40% - Accent5 3 6 6" xfId="20648" xr:uid="{BA2B2CEF-21FA-44DC-8D83-E3FEC076F724}"/>
    <cellStyle name="40% - Accent5 3 6 7" xfId="11351" xr:uid="{3CB7487C-1483-440B-90AC-B45F0CB59779}"/>
    <cellStyle name="40% - Accent5 3 7" xfId="2349" xr:uid="{00000000-0005-0000-0000-0000B7060000}"/>
    <cellStyle name="40% - Accent5 3 7 2" xfId="6655" xr:uid="{00000000-0005-0000-0000-0000B8060000}"/>
    <cellStyle name="40% - Accent5 3 7 2 2" xfId="42173" xr:uid="{8C6D0672-CB19-451A-91D3-5135C0DBC5DA}"/>
    <cellStyle name="40% - Accent5 3 7 2 3" xfId="33726" xr:uid="{FBED2623-AFCA-4497-817F-35E5E5585DDA}"/>
    <cellStyle name="40% - Accent5 3 7 2 4" xfId="25278" xr:uid="{747260BC-13F5-414F-89FB-F2D779CE2173}"/>
    <cellStyle name="40% - Accent5 3 7 2 5" xfId="15981" xr:uid="{6F630E5C-70F6-4DCC-9BD5-06499548322B}"/>
    <cellStyle name="40% - Accent5 3 7 3" xfId="37956" xr:uid="{CBC7B01E-7DA5-4D15-96DB-E813E8D78B1E}"/>
    <cellStyle name="40% - Accent5 3 7 4" xfId="29508" xr:uid="{4BE777C7-0144-4B82-92A0-D1EB64CF8FAB}"/>
    <cellStyle name="40% - Accent5 3 7 5" xfId="21061" xr:uid="{48EE0D12-CAFA-4331-B703-8E4CEB12C46F}"/>
    <cellStyle name="40% - Accent5 3 7 6" xfId="11764" xr:uid="{C6E864D9-A0F4-4D7A-8617-EF66E8789F7E}"/>
    <cellStyle name="40% - Accent5 3 8" xfId="4589" xr:uid="{00000000-0005-0000-0000-0000B9060000}"/>
    <cellStyle name="40% - Accent5 3 8 2" xfId="40107" xr:uid="{83790F94-6216-43B2-9335-ED4ED40863AA}"/>
    <cellStyle name="40% - Accent5 3 8 3" xfId="31660" xr:uid="{59C85F7D-3093-4602-ADCF-CF46B58B08EB}"/>
    <cellStyle name="40% - Accent5 3 8 4" xfId="23212" xr:uid="{2538B154-2E6F-4A7D-95FB-C82E8A64E7C7}"/>
    <cellStyle name="40% - Accent5 3 8 5" xfId="13915" xr:uid="{2788431B-54AF-4377-8B08-C0DEAD7E6D07}"/>
    <cellStyle name="40% - Accent5 3 9" xfId="8870" xr:uid="{F7DB5D96-1272-4D48-B3B6-48053CFCBA44}"/>
    <cellStyle name="40% - Accent5 3 9 2" xfId="35890" xr:uid="{DF65734C-65A7-465B-B359-AE2254E0C37B}"/>
    <cellStyle name="40% - Accent5 3 9 3" xfId="18193" xr:uid="{5739B7D2-8B62-4591-A440-6652AFA2E3BE}"/>
    <cellStyle name="40% - Accent5 4" xfId="88" xr:uid="{00000000-0005-0000-0000-0000BA060000}"/>
    <cellStyle name="40% - Accent5 4 10" xfId="18997" xr:uid="{045BA372-133E-45A4-9D28-B2B06AD1BB36}"/>
    <cellStyle name="40% - Accent5 4 11" xfId="9700" xr:uid="{2219E7C1-62F7-44D2-ABFA-362A8FA24BDA}"/>
    <cellStyle name="40% - Accent5 4 2" xfId="657" xr:uid="{00000000-0005-0000-0000-0000BB060000}"/>
    <cellStyle name="40% - Accent5 4 2 2" xfId="2928" xr:uid="{00000000-0005-0000-0000-0000BC060000}"/>
    <cellStyle name="40% - Accent5 4 2 2 2" xfId="7150" xr:uid="{00000000-0005-0000-0000-0000BD060000}"/>
    <cellStyle name="40% - Accent5 4 2 2 2 2" xfId="42668" xr:uid="{9083D8C3-8FD0-4F13-B6DC-8B3D3E7F0FD4}"/>
    <cellStyle name="40% - Accent5 4 2 2 2 3" xfId="34221" xr:uid="{4AAA7FEF-AD45-437C-8C9D-8B19C026E888}"/>
    <cellStyle name="40% - Accent5 4 2 2 2 4" xfId="25773" xr:uid="{CCA64C7F-8AD0-45CC-BDA1-F3C3400AC6B3}"/>
    <cellStyle name="40% - Accent5 4 2 2 2 5" xfId="16476" xr:uid="{3E5098FC-3145-4C44-926D-D59C337F2926}"/>
    <cellStyle name="40% - Accent5 4 2 2 3" xfId="38451" xr:uid="{7F5ECA34-B146-481C-8FC4-6E72DD3B94A3}"/>
    <cellStyle name="40% - Accent5 4 2 2 4" xfId="30003" xr:uid="{BC698B13-0F81-497C-8C5D-20F76BBA0E08}"/>
    <cellStyle name="40% - Accent5 4 2 2 5" xfId="21556" xr:uid="{0BE18919-D03E-470D-8501-4D675904A87E}"/>
    <cellStyle name="40% - Accent5 4 2 2 6" xfId="12259" xr:uid="{0E3FFC43-EFD6-4A21-8718-6BD06A41C7FC}"/>
    <cellStyle name="40% - Accent5 4 2 3" xfId="5005" xr:uid="{00000000-0005-0000-0000-0000BE060000}"/>
    <cellStyle name="40% - Accent5 4 2 3 2" xfId="40523" xr:uid="{71E536C7-1445-4B91-A4E2-C1B3270FAE89}"/>
    <cellStyle name="40% - Accent5 4 2 3 3" xfId="32076" xr:uid="{338CE706-B978-4C7E-91CF-3BBC5E076FD3}"/>
    <cellStyle name="40% - Accent5 4 2 3 4" xfId="23628" xr:uid="{F1F9F8C7-A1B3-4258-A574-78248CC0C348}"/>
    <cellStyle name="40% - Accent5 4 2 3 5" xfId="14331" xr:uid="{169CC278-1A03-446C-AE99-E8969C7B5B69}"/>
    <cellStyle name="40% - Accent5 4 2 4" xfId="9381" xr:uid="{6D86932C-AFC4-4FF0-967D-0F56E90E02E1}"/>
    <cellStyle name="40% - Accent5 4 2 4 2" xfId="36306" xr:uid="{F716D7AF-0503-425F-8942-FEC2015F05E1}"/>
    <cellStyle name="40% - Accent5 4 2 4 3" xfId="18694" xr:uid="{FB5B08FE-995F-4C5F-9AD1-CBDBC3183873}"/>
    <cellStyle name="40% - Accent5 4 2 5" xfId="27858" xr:uid="{338A1BF5-6D80-4560-8B0B-8E342DECA4EE}"/>
    <cellStyle name="40% - Accent5 4 2 6" xfId="19411" xr:uid="{56141ADE-623E-48E1-B99C-77B30D408398}"/>
    <cellStyle name="40% - Accent5 4 2 7" xfId="10114" xr:uid="{D0E0527A-BCA7-43A5-A94E-E8D3C035CB80}"/>
    <cellStyle name="40% - Accent5 4 3" xfId="1110" xr:uid="{00000000-0005-0000-0000-0000BF060000}"/>
    <cellStyle name="40% - Accent5 4 3 2" xfId="3341" xr:uid="{00000000-0005-0000-0000-0000C0060000}"/>
    <cellStyle name="40% - Accent5 4 3 2 2" xfId="7563" xr:uid="{00000000-0005-0000-0000-0000C1060000}"/>
    <cellStyle name="40% - Accent5 4 3 2 2 2" xfId="43081" xr:uid="{C1E59520-EC75-4432-BEDD-701C7E6F9909}"/>
    <cellStyle name="40% - Accent5 4 3 2 2 3" xfId="34634" xr:uid="{CDE73053-D0B9-4D7A-B451-BB70C11E2D3B}"/>
    <cellStyle name="40% - Accent5 4 3 2 2 4" xfId="26186" xr:uid="{2A9125B6-79D4-4DFD-9FCB-78397957780A}"/>
    <cellStyle name="40% - Accent5 4 3 2 2 5" xfId="16889" xr:uid="{93615D0F-8ED2-4522-AAC6-9B93F2521E6B}"/>
    <cellStyle name="40% - Accent5 4 3 2 3" xfId="38864" xr:uid="{D9FB92F5-8C38-471E-91A9-DAADEEF26BC1}"/>
    <cellStyle name="40% - Accent5 4 3 2 4" xfId="30416" xr:uid="{607A53CA-9E05-45D3-8866-B89221EE5D8C}"/>
    <cellStyle name="40% - Accent5 4 3 2 5" xfId="21969" xr:uid="{21979D83-E7C3-43E6-81CF-99EA11CFE3A5}"/>
    <cellStyle name="40% - Accent5 4 3 2 6" xfId="12672" xr:uid="{9140CBAA-5C80-4A8E-8CC3-C75072D8C86F}"/>
    <cellStyle name="40% - Accent5 4 3 3" xfId="5418" xr:uid="{00000000-0005-0000-0000-0000C2060000}"/>
    <cellStyle name="40% - Accent5 4 3 3 2" xfId="40936" xr:uid="{FECBCEEA-60FD-4135-A2CC-2B7382B9F320}"/>
    <cellStyle name="40% - Accent5 4 3 3 3" xfId="32489" xr:uid="{97DFE580-BFF3-4D18-93F0-ABE050408654}"/>
    <cellStyle name="40% - Accent5 4 3 3 4" xfId="24041" xr:uid="{6CF128C7-86CB-4611-9B12-866A8667E454}"/>
    <cellStyle name="40% - Accent5 4 3 3 5" xfId="14744" xr:uid="{B6C7EEAC-474C-465F-865E-156651196FF3}"/>
    <cellStyle name="40% - Accent5 4 3 4" xfId="36719" xr:uid="{7E1E2B54-B27D-437B-B370-2856C48760EF}"/>
    <cellStyle name="40% - Accent5 4 3 5" xfId="28271" xr:uid="{0368AD01-FED4-4F5F-9A82-2487971828AA}"/>
    <cellStyle name="40% - Accent5 4 3 6" xfId="19824" xr:uid="{C2609457-98CE-4D62-8B88-1FCD0AE12CC6}"/>
    <cellStyle name="40% - Accent5 4 3 7" xfId="10527" xr:uid="{144868D7-6250-4C83-A7E2-0B9B2E63055B}"/>
    <cellStyle name="40% - Accent5 4 4" xfId="1524" xr:uid="{00000000-0005-0000-0000-0000C3060000}"/>
    <cellStyle name="40% - Accent5 4 4 2" xfId="3754" xr:uid="{00000000-0005-0000-0000-0000C4060000}"/>
    <cellStyle name="40% - Accent5 4 4 2 2" xfId="7976" xr:uid="{00000000-0005-0000-0000-0000C5060000}"/>
    <cellStyle name="40% - Accent5 4 4 2 2 2" xfId="43494" xr:uid="{DCF1F1E6-C7E4-4123-811D-73B629587B65}"/>
    <cellStyle name="40% - Accent5 4 4 2 2 3" xfId="35047" xr:uid="{98988793-D984-406D-A058-CE344D7AB72F}"/>
    <cellStyle name="40% - Accent5 4 4 2 2 4" xfId="26599" xr:uid="{C67122E5-64D8-479C-935B-0256498EE6DB}"/>
    <cellStyle name="40% - Accent5 4 4 2 2 5" xfId="17302" xr:uid="{C1D37C59-3478-469B-97D2-2946E595B0C5}"/>
    <cellStyle name="40% - Accent5 4 4 2 3" xfId="39277" xr:uid="{301B2D2D-4DE2-417A-8223-8DE3B097A9B1}"/>
    <cellStyle name="40% - Accent5 4 4 2 4" xfId="30829" xr:uid="{32D04341-FEE1-4278-B32E-1DE5BCE9B3A0}"/>
    <cellStyle name="40% - Accent5 4 4 2 5" xfId="22382" xr:uid="{332EA251-07B6-4F67-9922-42AF93CE3FCF}"/>
    <cellStyle name="40% - Accent5 4 4 2 6" xfId="13085" xr:uid="{B5105181-9A88-4F65-89D3-46B9B4619742}"/>
    <cellStyle name="40% - Accent5 4 4 3" xfId="5831" xr:uid="{00000000-0005-0000-0000-0000C6060000}"/>
    <cellStyle name="40% - Accent5 4 4 3 2" xfId="41349" xr:uid="{1422F82F-D141-4B5E-8CDC-71EC59775E0B}"/>
    <cellStyle name="40% - Accent5 4 4 3 3" xfId="32902" xr:uid="{177C754C-5B9D-48DF-8644-17EBDF6A2506}"/>
    <cellStyle name="40% - Accent5 4 4 3 4" xfId="24454" xr:uid="{26B1EADA-6613-486C-B27F-075389ACAAB7}"/>
    <cellStyle name="40% - Accent5 4 4 3 5" xfId="15157" xr:uid="{EBF39147-711E-49DE-A618-5564D4BBD394}"/>
    <cellStyle name="40% - Accent5 4 4 4" xfId="37132" xr:uid="{E141E70A-D7C6-4EFA-AF44-543D7B48A820}"/>
    <cellStyle name="40% - Accent5 4 4 5" xfId="28684" xr:uid="{07E703A9-E89F-4973-89CB-6C7BE890E54B}"/>
    <cellStyle name="40% - Accent5 4 4 6" xfId="20237" xr:uid="{D82CEAFB-5A29-4575-8DD0-B55B33708023}"/>
    <cellStyle name="40% - Accent5 4 4 7" xfId="10940" xr:uid="{2BBDA1CE-21B3-41C9-93E6-63CA8C0EBA45}"/>
    <cellStyle name="40% - Accent5 4 5" xfId="1938" xr:uid="{00000000-0005-0000-0000-0000C7060000}"/>
    <cellStyle name="40% - Accent5 4 5 2" xfId="4167" xr:uid="{00000000-0005-0000-0000-0000C8060000}"/>
    <cellStyle name="40% - Accent5 4 5 2 2" xfId="8389" xr:uid="{00000000-0005-0000-0000-0000C9060000}"/>
    <cellStyle name="40% - Accent5 4 5 2 2 2" xfId="43907" xr:uid="{20332F7E-09C4-4BC5-8D66-7E41835A9A24}"/>
    <cellStyle name="40% - Accent5 4 5 2 2 3" xfId="35460" xr:uid="{3A80F1A2-23D5-42B2-A4A9-D0FE095754AB}"/>
    <cellStyle name="40% - Accent5 4 5 2 2 4" xfId="27012" xr:uid="{612F7D98-4E45-4C53-AB70-37E86E8771FD}"/>
    <cellStyle name="40% - Accent5 4 5 2 2 5" xfId="17715" xr:uid="{DBFE02C0-2792-4D5D-A27E-AFAD1EF98067}"/>
    <cellStyle name="40% - Accent5 4 5 2 3" xfId="39690" xr:uid="{82D71353-387B-4FF1-901B-DA77343FF1DF}"/>
    <cellStyle name="40% - Accent5 4 5 2 4" xfId="31242" xr:uid="{3267A2C8-5F92-484B-8F68-E7F9EE5A9BF5}"/>
    <cellStyle name="40% - Accent5 4 5 2 5" xfId="22795" xr:uid="{F5035862-867C-4F8F-9677-B40140492127}"/>
    <cellStyle name="40% - Accent5 4 5 2 6" xfId="13498" xr:uid="{7D4A8085-90B0-4778-84FB-9E078593C0BC}"/>
    <cellStyle name="40% - Accent5 4 5 3" xfId="6244" xr:uid="{00000000-0005-0000-0000-0000CA060000}"/>
    <cellStyle name="40% - Accent5 4 5 3 2" xfId="41762" xr:uid="{900FC013-98D3-4AFF-BFE1-368BF2A57399}"/>
    <cellStyle name="40% - Accent5 4 5 3 3" xfId="33315" xr:uid="{ED4F94B7-26E5-4EDF-A616-1FEEA79C5B16}"/>
    <cellStyle name="40% - Accent5 4 5 3 4" xfId="24867" xr:uid="{94BAF3D1-D420-4434-8964-95E484FFE724}"/>
    <cellStyle name="40% - Accent5 4 5 3 5" xfId="15570" xr:uid="{CCFB3185-06D5-4676-89DA-0E13ECC6A17F}"/>
    <cellStyle name="40% - Accent5 4 5 4" xfId="37545" xr:uid="{4701C8E0-621C-4636-ADAC-10F9A5108311}"/>
    <cellStyle name="40% - Accent5 4 5 5" xfId="29097" xr:uid="{2D352057-C07A-4EBA-AB1D-37049D3B5560}"/>
    <cellStyle name="40% - Accent5 4 5 6" xfId="20650" xr:uid="{C7C6840F-0993-4417-8F0E-385C42FFCABD}"/>
    <cellStyle name="40% - Accent5 4 5 7" xfId="11353" xr:uid="{F81188F0-0B5F-42CA-8A09-0E25AA3A132A}"/>
    <cellStyle name="40% - Accent5 4 6" xfId="2351" xr:uid="{00000000-0005-0000-0000-0000CB060000}"/>
    <cellStyle name="40% - Accent5 4 6 2" xfId="6657" xr:uid="{00000000-0005-0000-0000-0000CC060000}"/>
    <cellStyle name="40% - Accent5 4 6 2 2" xfId="42175" xr:uid="{2424C116-1ABA-431E-A8C0-407FC2BB1442}"/>
    <cellStyle name="40% - Accent5 4 6 2 3" xfId="33728" xr:uid="{D99FA96C-9053-4309-B3C8-03A36AB04A5F}"/>
    <cellStyle name="40% - Accent5 4 6 2 4" xfId="25280" xr:uid="{72F22BF6-1B86-4814-9915-A4F2BE067AFA}"/>
    <cellStyle name="40% - Accent5 4 6 2 5" xfId="15983" xr:uid="{5926C756-0D5C-4766-B01A-138103654E07}"/>
    <cellStyle name="40% - Accent5 4 6 3" xfId="37958" xr:uid="{077CFACC-A7DA-4C69-8ECD-A76A73157094}"/>
    <cellStyle name="40% - Accent5 4 6 4" xfId="29510" xr:uid="{C2B260B7-0CBA-4CD6-8BCF-675FFF39CDE1}"/>
    <cellStyle name="40% - Accent5 4 6 5" xfId="21063" xr:uid="{DAA5D592-2591-4993-A97F-8424D6BDBA42}"/>
    <cellStyle name="40% - Accent5 4 6 6" xfId="11766" xr:uid="{8620E984-8DFD-4215-A692-4669675CD03F}"/>
    <cellStyle name="40% - Accent5 4 7" xfId="4591" xr:uid="{00000000-0005-0000-0000-0000CD060000}"/>
    <cellStyle name="40% - Accent5 4 7 2" xfId="40109" xr:uid="{9E3474CB-7665-483D-B78F-20CE31990B9F}"/>
    <cellStyle name="40% - Accent5 4 7 3" xfId="31662" xr:uid="{D05568C4-8A1D-4C40-B000-2EA001716D60}"/>
    <cellStyle name="40% - Accent5 4 7 4" xfId="23214" xr:uid="{FACF05DC-9B51-4994-BEE9-B67EBDBC72A2}"/>
    <cellStyle name="40% - Accent5 4 7 5" xfId="13917" xr:uid="{DF7DC47C-A649-4FEC-B581-F379DF58A9B2}"/>
    <cellStyle name="40% - Accent5 4 8" xfId="8956" xr:uid="{20EBAEFE-DF5E-4B38-878B-CDA5BD3DABC1}"/>
    <cellStyle name="40% - Accent5 4 8 2" xfId="35892" xr:uid="{70CEEAFF-6892-4D4A-A88D-702A0D63DD60}"/>
    <cellStyle name="40% - Accent5 4 8 3" xfId="18279" xr:uid="{B17CFB8F-53CD-4E98-AB12-795455C1559D}"/>
    <cellStyle name="40% - Accent5 4 9" xfId="27444" xr:uid="{2D2DF710-E70C-4D29-AD92-2ECF2C2A45E6}"/>
    <cellStyle name="40% - Accent5 5" xfId="650" xr:uid="{00000000-0005-0000-0000-0000CE060000}"/>
    <cellStyle name="40% - Accent5 5 2" xfId="2921" xr:uid="{00000000-0005-0000-0000-0000CF060000}"/>
    <cellStyle name="40% - Accent5 5 2 2" xfId="7143" xr:uid="{00000000-0005-0000-0000-0000D0060000}"/>
    <cellStyle name="40% - Accent5 5 2 2 2" xfId="42661" xr:uid="{9D2FD17F-99BC-4290-9192-3AD4D443346E}"/>
    <cellStyle name="40% - Accent5 5 2 2 3" xfId="34214" xr:uid="{F1BA7E54-FBDD-490A-9EF0-C077AC121C04}"/>
    <cellStyle name="40% - Accent5 5 2 2 4" xfId="25766" xr:uid="{7A7F6A8D-DC79-4025-A646-E8A400104629}"/>
    <cellStyle name="40% - Accent5 5 2 2 5" xfId="16469" xr:uid="{BF603BBB-5C39-4B97-9FF5-E9E01F85EE00}"/>
    <cellStyle name="40% - Accent5 5 2 3" xfId="38444" xr:uid="{857F3153-A4F4-487D-B99F-30C43B46B025}"/>
    <cellStyle name="40% - Accent5 5 2 4" xfId="29996" xr:uid="{FC764517-B3C1-4A58-9BBE-69E14979C348}"/>
    <cellStyle name="40% - Accent5 5 2 5" xfId="21549" xr:uid="{9C694368-FF35-442E-92EB-E36A204FCC9C}"/>
    <cellStyle name="40% - Accent5 5 2 6" xfId="12252" xr:uid="{E64ADFFA-0D4F-465A-AEBE-0ABD9F6813D3}"/>
    <cellStyle name="40% - Accent5 5 3" xfId="4998" xr:uid="{00000000-0005-0000-0000-0000D1060000}"/>
    <cellStyle name="40% - Accent5 5 3 2" xfId="40516" xr:uid="{F0EFC657-BFD6-4B0F-A49E-778EB09BD9BD}"/>
    <cellStyle name="40% - Accent5 5 3 3" xfId="32069" xr:uid="{BAAD5ABC-96F3-4A46-8ADC-4502000016F8}"/>
    <cellStyle name="40% - Accent5 5 3 4" xfId="23621" xr:uid="{1E793C3D-672E-4747-AEFD-F14489D294F9}"/>
    <cellStyle name="40% - Accent5 5 3 5" xfId="14324" xr:uid="{12883688-90BC-472B-8CA3-5D4A7AEEA553}"/>
    <cellStyle name="40% - Accent5 5 4" xfId="9189" xr:uid="{AE9A155E-B06B-4FF1-8984-8F7810581B15}"/>
    <cellStyle name="40% - Accent5 5 4 2" xfId="36299" xr:uid="{DA271247-B844-4218-9831-36E7722D7F43}"/>
    <cellStyle name="40% - Accent5 5 4 3" xfId="18505" xr:uid="{44B89A9B-7F26-47A3-8EDA-365486F069B6}"/>
    <cellStyle name="40% - Accent5 5 5" xfId="27851" xr:uid="{C105C4BA-7711-421D-9A28-402B4D11114F}"/>
    <cellStyle name="40% - Accent5 5 6" xfId="19404" xr:uid="{AE0EBD9F-D9B9-4552-A311-88DF793F716A}"/>
    <cellStyle name="40% - Accent5 5 7" xfId="10107" xr:uid="{ECEE3F72-4A9B-4DDE-BCC6-DF0AD9B90E52}"/>
    <cellStyle name="40% - Accent5 6" xfId="1103" xr:uid="{00000000-0005-0000-0000-0000D2060000}"/>
    <cellStyle name="40% - Accent5 6 2" xfId="3334" xr:uid="{00000000-0005-0000-0000-0000D3060000}"/>
    <cellStyle name="40% - Accent5 6 2 2" xfId="7556" xr:uid="{00000000-0005-0000-0000-0000D4060000}"/>
    <cellStyle name="40% - Accent5 6 2 2 2" xfId="43074" xr:uid="{8436099C-E2B0-40D6-9CF0-5E0B004D2753}"/>
    <cellStyle name="40% - Accent5 6 2 2 3" xfId="34627" xr:uid="{CB134CC2-10FC-49F1-9AFA-A09326AE978D}"/>
    <cellStyle name="40% - Accent5 6 2 2 4" xfId="26179" xr:uid="{9B7F71B1-D1E9-4C0D-B013-7BEE0CE577CE}"/>
    <cellStyle name="40% - Accent5 6 2 2 5" xfId="16882" xr:uid="{47AFDB83-2CC6-4786-BF39-D40A8C3C7A05}"/>
    <cellStyle name="40% - Accent5 6 2 3" xfId="38857" xr:uid="{30FE3E82-A09A-49B5-BCAD-4F5F19E02AC3}"/>
    <cellStyle name="40% - Accent5 6 2 4" xfId="30409" xr:uid="{A917CB16-833B-4FD3-B0CA-D5DF812EA2EE}"/>
    <cellStyle name="40% - Accent5 6 2 5" xfId="21962" xr:uid="{8AB6DD77-7FEE-432C-98F8-B030D11B31B8}"/>
    <cellStyle name="40% - Accent5 6 2 6" xfId="12665" xr:uid="{7EF3A6BE-D25A-4051-ADD9-3956992E0A3C}"/>
    <cellStyle name="40% - Accent5 6 3" xfId="5411" xr:uid="{00000000-0005-0000-0000-0000D5060000}"/>
    <cellStyle name="40% - Accent5 6 3 2" xfId="40929" xr:uid="{205AB871-47B8-47F3-905A-2FAAA77D9B8D}"/>
    <cellStyle name="40% - Accent5 6 3 3" xfId="32482" xr:uid="{05620C38-8D51-412C-BEDB-21856957EC05}"/>
    <cellStyle name="40% - Accent5 6 3 4" xfId="24034" xr:uid="{57BA6412-0791-4CDB-979A-1F857DD997DE}"/>
    <cellStyle name="40% - Accent5 6 3 5" xfId="14737" xr:uid="{151AC98A-5576-4424-9C21-236B8C0B215D}"/>
    <cellStyle name="40% - Accent5 6 4" xfId="36712" xr:uid="{456000C3-AA11-44EA-B53C-1E6975D9B00B}"/>
    <cellStyle name="40% - Accent5 6 5" xfId="28264" xr:uid="{FA6FE886-B6E0-4C49-BD33-520FC199724F}"/>
    <cellStyle name="40% - Accent5 6 6" xfId="19817" xr:uid="{BC54BCB8-3354-4FD8-8C4F-59960570D6C3}"/>
    <cellStyle name="40% - Accent5 6 7" xfId="10520" xr:uid="{4DF508FB-DDF5-416E-877B-2344D1F620C6}"/>
    <cellStyle name="40% - Accent5 7" xfId="1517" xr:uid="{00000000-0005-0000-0000-0000D6060000}"/>
    <cellStyle name="40% - Accent5 7 2" xfId="3747" xr:uid="{00000000-0005-0000-0000-0000D7060000}"/>
    <cellStyle name="40% - Accent5 7 2 2" xfId="7969" xr:uid="{00000000-0005-0000-0000-0000D8060000}"/>
    <cellStyle name="40% - Accent5 7 2 2 2" xfId="43487" xr:uid="{E35D888A-7987-4CE5-9AA7-905524974601}"/>
    <cellStyle name="40% - Accent5 7 2 2 3" xfId="35040" xr:uid="{0927E74A-3CA8-40A6-AC6F-A48190752C7F}"/>
    <cellStyle name="40% - Accent5 7 2 2 4" xfId="26592" xr:uid="{51DCA69D-06B5-458E-AA06-496E6C7F5919}"/>
    <cellStyle name="40% - Accent5 7 2 2 5" xfId="17295" xr:uid="{32BD7CC6-10D5-4B2E-845C-9FD28CDC9C6E}"/>
    <cellStyle name="40% - Accent5 7 2 3" xfId="39270" xr:uid="{17FF125A-E799-409A-8FA6-F210A30CDFBF}"/>
    <cellStyle name="40% - Accent5 7 2 4" xfId="30822" xr:uid="{26E98B05-992F-492E-AA00-D752D3D06B56}"/>
    <cellStyle name="40% - Accent5 7 2 5" xfId="22375" xr:uid="{36664908-C30D-4979-856C-0EFD427E1307}"/>
    <cellStyle name="40% - Accent5 7 2 6" xfId="13078" xr:uid="{A5793C4E-6903-4EF1-9ECB-31C39F8A8DDC}"/>
    <cellStyle name="40% - Accent5 7 3" xfId="5824" xr:uid="{00000000-0005-0000-0000-0000D9060000}"/>
    <cellStyle name="40% - Accent5 7 3 2" xfId="41342" xr:uid="{BF37C3EF-6007-44ED-8E9F-AB87A16AE89D}"/>
    <cellStyle name="40% - Accent5 7 3 3" xfId="32895" xr:uid="{02DAAE10-D1E2-446A-8D88-BEFB5E85FE5A}"/>
    <cellStyle name="40% - Accent5 7 3 4" xfId="24447" xr:uid="{B88C64A2-5764-4509-909A-8DC9DD924F4A}"/>
    <cellStyle name="40% - Accent5 7 3 5" xfId="15150" xr:uid="{7B55692F-2EA0-405C-A921-689B55981BDE}"/>
    <cellStyle name="40% - Accent5 7 4" xfId="37125" xr:uid="{5CBAB396-FEE1-4FC7-A20C-3D9ADB15752B}"/>
    <cellStyle name="40% - Accent5 7 5" xfId="28677" xr:uid="{DC82AD09-54EC-44FB-8F8E-63AC721B9796}"/>
    <cellStyle name="40% - Accent5 7 6" xfId="20230" xr:uid="{92D76BF7-C030-45BE-B558-7C9935FEE111}"/>
    <cellStyle name="40% - Accent5 7 7" xfId="10933" xr:uid="{80E5D2ED-538F-4645-9267-03A50F975691}"/>
    <cellStyle name="40% - Accent5 8" xfId="1931" xr:uid="{00000000-0005-0000-0000-0000DA060000}"/>
    <cellStyle name="40% - Accent5 8 2" xfId="4160" xr:uid="{00000000-0005-0000-0000-0000DB060000}"/>
    <cellStyle name="40% - Accent5 8 2 2" xfId="8382" xr:uid="{00000000-0005-0000-0000-0000DC060000}"/>
    <cellStyle name="40% - Accent5 8 2 2 2" xfId="43900" xr:uid="{B0438D61-F25F-4E7E-9BBB-057E74A455DE}"/>
    <cellStyle name="40% - Accent5 8 2 2 3" xfId="35453" xr:uid="{71EBFD59-4976-461A-8C44-DCCCF37C988F}"/>
    <cellStyle name="40% - Accent5 8 2 2 4" xfId="27005" xr:uid="{A92F188D-4327-47CF-8070-E393872BCB01}"/>
    <cellStyle name="40% - Accent5 8 2 2 5" xfId="17708" xr:uid="{7DE44330-3365-4A5F-88CB-D7FD3FE7FDE2}"/>
    <cellStyle name="40% - Accent5 8 2 3" xfId="39683" xr:uid="{08814CBA-58E0-4547-A520-D1430B8A0986}"/>
    <cellStyle name="40% - Accent5 8 2 4" xfId="31235" xr:uid="{229495FC-A9A9-4D4B-858A-21603D90F36A}"/>
    <cellStyle name="40% - Accent5 8 2 5" xfId="22788" xr:uid="{56C6FF94-4EDF-47EB-9C63-9030F70DC51C}"/>
    <cellStyle name="40% - Accent5 8 2 6" xfId="13491" xr:uid="{1EC635E8-81C7-4093-9E04-7CF982B0B25A}"/>
    <cellStyle name="40% - Accent5 8 3" xfId="6237" xr:uid="{00000000-0005-0000-0000-0000DD060000}"/>
    <cellStyle name="40% - Accent5 8 3 2" xfId="41755" xr:uid="{711BF9CC-A8FC-45D1-9BEA-5A90183FCC31}"/>
    <cellStyle name="40% - Accent5 8 3 3" xfId="33308" xr:uid="{2389996A-F45F-4FF1-AF78-B4CD72F46B10}"/>
    <cellStyle name="40% - Accent5 8 3 4" xfId="24860" xr:uid="{4BB2CBD1-5DC6-4513-A962-9B3298CB1576}"/>
    <cellStyle name="40% - Accent5 8 3 5" xfId="15563" xr:uid="{C8DA58C7-17C3-4B80-B1EE-FBDDADA1AD4D}"/>
    <cellStyle name="40% - Accent5 8 4" xfId="37538" xr:uid="{CF6A04B9-8EEF-46BA-8DE3-A593B28C2282}"/>
    <cellStyle name="40% - Accent5 8 5" xfId="29090" xr:uid="{3FB00802-7757-425B-8D19-4C19A63A96BC}"/>
    <cellStyle name="40% - Accent5 8 6" xfId="20643" xr:uid="{A5019438-FF75-4482-B228-62DC90F77701}"/>
    <cellStyle name="40% - Accent5 8 7" xfId="11346" xr:uid="{270E8C8C-4A22-4692-8CEC-E4B330E58FC3}"/>
    <cellStyle name="40% - Accent5 9" xfId="2344" xr:uid="{00000000-0005-0000-0000-0000DE060000}"/>
    <cellStyle name="40% - Accent5 9 2" xfId="6650" xr:uid="{00000000-0005-0000-0000-0000DF060000}"/>
    <cellStyle name="40% - Accent5 9 2 2" xfId="42168" xr:uid="{E7E8FB1C-443E-4BAF-AB6E-DEC9478A52DA}"/>
    <cellStyle name="40% - Accent5 9 2 3" xfId="33721" xr:uid="{24122EF2-DC28-4B42-8035-B974DD35560F}"/>
    <cellStyle name="40% - Accent5 9 2 4" xfId="25273" xr:uid="{479A6626-FD38-4223-814B-6731B0DDF237}"/>
    <cellStyle name="40% - Accent5 9 2 5" xfId="15976" xr:uid="{5A42AB32-309F-4995-8102-2D24A759E4B1}"/>
    <cellStyle name="40% - Accent5 9 3" xfId="37951" xr:uid="{6B1F9110-9A62-464E-BD0C-F198ABD66682}"/>
    <cellStyle name="40% - Accent5 9 4" xfId="29503" xr:uid="{832BE20B-3860-48A9-A66E-3529CDDA57F9}"/>
    <cellStyle name="40% - Accent5 9 5" xfId="21056" xr:uid="{5322AA1D-89A3-4AB7-99A1-0B3EBB5EE19D}"/>
    <cellStyle name="40% - Accent5 9 6" xfId="11759" xr:uid="{FB72696B-E277-4A03-8A1A-156FB928512D}"/>
    <cellStyle name="40% - Accent6" xfId="89" builtinId="51" customBuiltin="1"/>
    <cellStyle name="40% - Accent6 10" xfId="4592" xr:uid="{00000000-0005-0000-0000-0000E1060000}"/>
    <cellStyle name="40% - Accent6 10 2" xfId="40110" xr:uid="{E8869968-F03D-438B-9BB3-1FC325185BDF}"/>
    <cellStyle name="40% - Accent6 10 3" xfId="31663" xr:uid="{1A4D6521-3C60-4045-A32A-1A85E0D5FAE3}"/>
    <cellStyle name="40% - Accent6 10 4" xfId="23215" xr:uid="{389D3297-F80B-4915-8350-5ED30911B9C1}"/>
    <cellStyle name="40% - Accent6 10 5" xfId="13918" xr:uid="{2D43EE91-1C8A-49EE-9204-89E80294E646}"/>
    <cellStyle name="40% - Accent6 11" xfId="8769" xr:uid="{8369FE49-3815-490F-BF3A-3BEB88E35DFA}"/>
    <cellStyle name="40% - Accent6 11 2" xfId="35893" xr:uid="{D09FB93C-DC8F-4945-8F1F-5DAA81ADED32}"/>
    <cellStyle name="40% - Accent6 11 3" xfId="18092" xr:uid="{F7C2CC51-1A37-4E69-8DA2-2F99D721FA80}"/>
    <cellStyle name="40% - Accent6 12" xfId="27445" xr:uid="{33511479-65CA-45AF-B84B-05226BD77DAD}"/>
    <cellStyle name="40% - Accent6 13" xfId="18998" xr:uid="{90DFD30E-9C5A-4705-83A4-F6897EFDDD0B}"/>
    <cellStyle name="40% - Accent6 14" xfId="9701" xr:uid="{83CDC043-3585-4C30-BB23-6F33E6FC0101}"/>
    <cellStyle name="40% - Accent6 2" xfId="90" xr:uid="{00000000-0005-0000-0000-0000E2060000}"/>
    <cellStyle name="40% - Accent6 2 10" xfId="8803" xr:uid="{3530B69D-EB1D-41EA-A6FB-440FE4FE29AB}"/>
    <cellStyle name="40% - Accent6 2 10 2" xfId="35894" xr:uid="{5B6CCBC0-7608-451A-B949-E87D6B6EA42B}"/>
    <cellStyle name="40% - Accent6 2 10 3" xfId="18126" xr:uid="{3D3FEC2E-7DF9-4761-AA46-32D916E8D268}"/>
    <cellStyle name="40% - Accent6 2 11" xfId="27446" xr:uid="{141AFF70-31AE-4700-8F06-B5C121F3C4DF}"/>
    <cellStyle name="40% - Accent6 2 12" xfId="18999" xr:uid="{D868FC8A-36E1-4A76-8C2A-302A79AB22CD}"/>
    <cellStyle name="40% - Accent6 2 13" xfId="9702" xr:uid="{7DDF02D0-4253-4167-86DE-38B75F093D25}"/>
    <cellStyle name="40% - Accent6 2 2" xfId="91" xr:uid="{00000000-0005-0000-0000-0000E3060000}"/>
    <cellStyle name="40% - Accent6 2 2 10" xfId="27447" xr:uid="{AB54C97C-83A8-464C-A85F-5AF8AFA41FC0}"/>
    <cellStyle name="40% - Accent6 2 2 11" xfId="19000" xr:uid="{B3E24981-B22A-4DEC-9D18-583E32E1C7F3}"/>
    <cellStyle name="40% - Accent6 2 2 12" xfId="9703" xr:uid="{8861D0B1-4EFF-40B9-964E-EB9C3509CA3B}"/>
    <cellStyle name="40% - Accent6 2 2 2" xfId="92" xr:uid="{00000000-0005-0000-0000-0000E4060000}"/>
    <cellStyle name="40% - Accent6 2 2 2 10" xfId="19001" xr:uid="{B7CB840A-9F2B-45E4-9E9E-C317DB8C11CB}"/>
    <cellStyle name="40% - Accent6 2 2 2 11" xfId="9704" xr:uid="{7DA682E8-12FA-43EB-BA1D-425E1D6F130A}"/>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42672" xr:uid="{A800EE1F-3691-4FD0-86AA-3B6A76F24EE4}"/>
    <cellStyle name="40% - Accent6 2 2 2 2 2 2 3" xfId="34225" xr:uid="{13D6A2C6-D520-4FB4-BCFD-2231C8C7DA05}"/>
    <cellStyle name="40% - Accent6 2 2 2 2 2 2 4" xfId="25777" xr:uid="{0C19A6BD-E57C-4495-8E74-362934E771C6}"/>
    <cellStyle name="40% - Accent6 2 2 2 2 2 2 5" xfId="16480" xr:uid="{1BF8E15C-44C1-4FCF-8538-AD9F39F62557}"/>
    <cellStyle name="40% - Accent6 2 2 2 2 2 3" xfId="38455" xr:uid="{4EB44BC9-27C3-4E75-A785-50B0CBA39469}"/>
    <cellStyle name="40% - Accent6 2 2 2 2 2 4" xfId="30007" xr:uid="{51C68501-200A-483E-AA07-CC29FD18068E}"/>
    <cellStyle name="40% - Accent6 2 2 2 2 2 5" xfId="21560" xr:uid="{A33D6D5A-91EF-4A92-BEEC-6B6D544DC6ED}"/>
    <cellStyle name="40% - Accent6 2 2 2 2 2 6" xfId="12263" xr:uid="{643038A3-38B2-48E1-B09A-8C695F7A4DE5}"/>
    <cellStyle name="40% - Accent6 2 2 2 2 3" xfId="5009" xr:uid="{00000000-0005-0000-0000-0000E8060000}"/>
    <cellStyle name="40% - Accent6 2 2 2 2 3 2" xfId="40527" xr:uid="{909A22B4-4A17-4329-A447-C21B9D911AAE}"/>
    <cellStyle name="40% - Accent6 2 2 2 2 3 3" xfId="32080" xr:uid="{93589C4D-6952-4656-B7FC-D7C91BF4CE4C}"/>
    <cellStyle name="40% - Accent6 2 2 2 2 3 4" xfId="23632" xr:uid="{2DD26FD5-D8FD-4BB7-8C2F-0D3BF6E12CA4}"/>
    <cellStyle name="40% - Accent6 2 2 2 2 3 5" xfId="14335" xr:uid="{A38E1108-CE1F-4CE9-AC5F-4475975D11E0}"/>
    <cellStyle name="40% - Accent6 2 2 2 2 4" xfId="9538" xr:uid="{D1801D0B-FDF1-4C59-8DE2-DEC53081BC5D}"/>
    <cellStyle name="40% - Accent6 2 2 2 2 4 2" xfId="36310" xr:uid="{32F1C931-AFC1-4772-8EBC-4D61DE04CCC9}"/>
    <cellStyle name="40% - Accent6 2 2 2 2 4 3" xfId="18851" xr:uid="{B366406C-AAFB-4405-BA8E-8169AC13D787}"/>
    <cellStyle name="40% - Accent6 2 2 2 2 5" xfId="27862" xr:uid="{04E8C092-D46D-4783-BC13-EC00CB650B3C}"/>
    <cellStyle name="40% - Accent6 2 2 2 2 6" xfId="19415" xr:uid="{047770F9-9BA8-4EEA-A7DA-E45B8FA8D616}"/>
    <cellStyle name="40% - Accent6 2 2 2 2 7" xfId="10118" xr:uid="{6C726DEB-DB17-43D5-A1F2-CFB9C055FB2A}"/>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43085" xr:uid="{08AFEA50-50D3-46C4-AB91-2E4BCBCDDBD5}"/>
    <cellStyle name="40% - Accent6 2 2 2 3 2 2 3" xfId="34638" xr:uid="{3D7DA851-B24F-4770-A91A-66A6401309F6}"/>
    <cellStyle name="40% - Accent6 2 2 2 3 2 2 4" xfId="26190" xr:uid="{6AAA8B01-EA88-4D8F-93B6-E70083D72A5E}"/>
    <cellStyle name="40% - Accent6 2 2 2 3 2 2 5" xfId="16893" xr:uid="{AEBF69CF-8586-43CC-A53D-F489591978C5}"/>
    <cellStyle name="40% - Accent6 2 2 2 3 2 3" xfId="38868" xr:uid="{B574800F-2935-4831-8E14-3260027390FD}"/>
    <cellStyle name="40% - Accent6 2 2 2 3 2 4" xfId="30420" xr:uid="{C91164BE-2E73-4939-A7C8-75FE8D1A9861}"/>
    <cellStyle name="40% - Accent6 2 2 2 3 2 5" xfId="21973" xr:uid="{102FB7BE-C18C-480F-9D4A-284221E35A65}"/>
    <cellStyle name="40% - Accent6 2 2 2 3 2 6" xfId="12676" xr:uid="{EA506728-8E54-47ED-95B7-825212A69E96}"/>
    <cellStyle name="40% - Accent6 2 2 2 3 3" xfId="5422" xr:uid="{00000000-0005-0000-0000-0000EC060000}"/>
    <cellStyle name="40% - Accent6 2 2 2 3 3 2" xfId="40940" xr:uid="{8A2543B3-2555-440E-95AA-0483AE3BC876}"/>
    <cellStyle name="40% - Accent6 2 2 2 3 3 3" xfId="32493" xr:uid="{143DCDCF-9C12-4807-A469-F5AB4AB34055}"/>
    <cellStyle name="40% - Accent6 2 2 2 3 3 4" xfId="24045" xr:uid="{48C104BF-1D3F-45DC-B83F-C8276C281D9E}"/>
    <cellStyle name="40% - Accent6 2 2 2 3 3 5" xfId="14748" xr:uid="{7BE7C369-D7AA-4028-9BB2-A2510415B651}"/>
    <cellStyle name="40% - Accent6 2 2 2 3 4" xfId="36723" xr:uid="{E3576348-CA9D-48DB-9630-21F7AEA379CC}"/>
    <cellStyle name="40% - Accent6 2 2 2 3 5" xfId="28275" xr:uid="{FEA60D63-AF30-4ED2-AE63-72486E5119D9}"/>
    <cellStyle name="40% - Accent6 2 2 2 3 6" xfId="19828" xr:uid="{6139CFED-54FC-46D0-8FE9-A680B46D6D70}"/>
    <cellStyle name="40% - Accent6 2 2 2 3 7" xfId="10531" xr:uid="{0AF3436A-5191-43AB-823E-FBCBC36E9376}"/>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43498" xr:uid="{3BD14AB9-977D-4FBE-86F9-E23C3EB5D9F3}"/>
    <cellStyle name="40% - Accent6 2 2 2 4 2 2 3" xfId="35051" xr:uid="{80A7C41C-9F9E-4F21-B3B0-0967EFA266C5}"/>
    <cellStyle name="40% - Accent6 2 2 2 4 2 2 4" xfId="26603" xr:uid="{9FCFECDA-2916-4B29-A4B4-249A02D35A4F}"/>
    <cellStyle name="40% - Accent6 2 2 2 4 2 2 5" xfId="17306" xr:uid="{EBC4E120-11FF-49B0-A5F0-3148A80F7F44}"/>
    <cellStyle name="40% - Accent6 2 2 2 4 2 3" xfId="39281" xr:uid="{B590DBBD-EAE0-4B16-B0AA-A2E90B9D8ACD}"/>
    <cellStyle name="40% - Accent6 2 2 2 4 2 4" xfId="30833" xr:uid="{5244A61F-04A2-42AF-8700-B7FB25BA4140}"/>
    <cellStyle name="40% - Accent6 2 2 2 4 2 5" xfId="22386" xr:uid="{A2A83E39-C624-4CED-BA8C-A248080F8646}"/>
    <cellStyle name="40% - Accent6 2 2 2 4 2 6" xfId="13089" xr:uid="{2A4FDDA7-EF08-4B0B-B52E-70F9E9752AC6}"/>
    <cellStyle name="40% - Accent6 2 2 2 4 3" xfId="5835" xr:uid="{00000000-0005-0000-0000-0000F0060000}"/>
    <cellStyle name="40% - Accent6 2 2 2 4 3 2" xfId="41353" xr:uid="{255728CA-248C-465B-BF5E-16DD07515128}"/>
    <cellStyle name="40% - Accent6 2 2 2 4 3 3" xfId="32906" xr:uid="{81E46707-7424-465B-832E-69F2469F5264}"/>
    <cellStyle name="40% - Accent6 2 2 2 4 3 4" xfId="24458" xr:uid="{9304D8D0-22C7-435E-B339-1479A7F2C825}"/>
    <cellStyle name="40% - Accent6 2 2 2 4 3 5" xfId="15161" xr:uid="{2E8B0784-7B64-48D1-ABC7-62BFE2D7D521}"/>
    <cellStyle name="40% - Accent6 2 2 2 4 4" xfId="37136" xr:uid="{B46948DE-A6EE-42F7-9288-6235E45E0B73}"/>
    <cellStyle name="40% - Accent6 2 2 2 4 5" xfId="28688" xr:uid="{653E676E-21C7-4949-B6E5-AED9F3D0F7D0}"/>
    <cellStyle name="40% - Accent6 2 2 2 4 6" xfId="20241" xr:uid="{0A2C356D-1D22-4485-812B-061D11A4CF8F}"/>
    <cellStyle name="40% - Accent6 2 2 2 4 7" xfId="10944" xr:uid="{7BFE2D89-D7B2-4D95-996A-8E5FE9676324}"/>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43911" xr:uid="{0381A36B-115F-41B8-ADC2-AF2782B9D249}"/>
    <cellStyle name="40% - Accent6 2 2 2 5 2 2 3" xfId="35464" xr:uid="{3C8E9401-FF46-4B7B-BD74-18A8EC1AD590}"/>
    <cellStyle name="40% - Accent6 2 2 2 5 2 2 4" xfId="27016" xr:uid="{59645B71-DE72-4D74-AA86-A8B4E2E63147}"/>
    <cellStyle name="40% - Accent6 2 2 2 5 2 2 5" xfId="17719" xr:uid="{908506E0-D471-4D46-9F67-E859ADF55923}"/>
    <cellStyle name="40% - Accent6 2 2 2 5 2 3" xfId="39694" xr:uid="{A576A725-203E-4858-9B08-F4381E45643E}"/>
    <cellStyle name="40% - Accent6 2 2 2 5 2 4" xfId="31246" xr:uid="{905B9E7E-D9E7-4E07-A172-3FEF2B818C5A}"/>
    <cellStyle name="40% - Accent6 2 2 2 5 2 5" xfId="22799" xr:uid="{9161C0A9-3BE5-4505-9DE0-ADA4BC969B41}"/>
    <cellStyle name="40% - Accent6 2 2 2 5 2 6" xfId="13502" xr:uid="{B25714FE-BE54-4702-9AF7-D9F5C8AE4F1B}"/>
    <cellStyle name="40% - Accent6 2 2 2 5 3" xfId="6248" xr:uid="{00000000-0005-0000-0000-0000F4060000}"/>
    <cellStyle name="40% - Accent6 2 2 2 5 3 2" xfId="41766" xr:uid="{69E04881-E8CC-44A6-A6D0-A557FCFFAA91}"/>
    <cellStyle name="40% - Accent6 2 2 2 5 3 3" xfId="33319" xr:uid="{FBCE03AF-87B1-4069-99E7-5B2D351512C0}"/>
    <cellStyle name="40% - Accent6 2 2 2 5 3 4" xfId="24871" xr:uid="{D80B4407-C8AA-42F5-B754-9038C0129CBE}"/>
    <cellStyle name="40% - Accent6 2 2 2 5 3 5" xfId="15574" xr:uid="{04CDC701-155B-4B27-B464-06B1C1E6CA19}"/>
    <cellStyle name="40% - Accent6 2 2 2 5 4" xfId="37549" xr:uid="{E366C9D7-F4CD-4DB7-A588-339923512E6F}"/>
    <cellStyle name="40% - Accent6 2 2 2 5 5" xfId="29101" xr:uid="{2E1AB133-E171-495C-ADFF-4D046EDD5E25}"/>
    <cellStyle name="40% - Accent6 2 2 2 5 6" xfId="20654" xr:uid="{2D05394E-7F33-450F-BCAE-0A9789205B8E}"/>
    <cellStyle name="40% - Accent6 2 2 2 5 7" xfId="11357" xr:uid="{AADF0DB9-6983-400E-9C87-330AE28EDE72}"/>
    <cellStyle name="40% - Accent6 2 2 2 6" xfId="2355" xr:uid="{00000000-0005-0000-0000-0000F5060000}"/>
    <cellStyle name="40% - Accent6 2 2 2 6 2" xfId="6661" xr:uid="{00000000-0005-0000-0000-0000F6060000}"/>
    <cellStyle name="40% - Accent6 2 2 2 6 2 2" xfId="42179" xr:uid="{D74DD592-42DD-4F1D-9D41-F743189DE713}"/>
    <cellStyle name="40% - Accent6 2 2 2 6 2 3" xfId="33732" xr:uid="{58B3F53B-9554-4BAA-B65D-E71F7E3C7CDA}"/>
    <cellStyle name="40% - Accent6 2 2 2 6 2 4" xfId="25284" xr:uid="{CF2E3536-9E99-4CBF-8767-FD8862E6D32C}"/>
    <cellStyle name="40% - Accent6 2 2 2 6 2 5" xfId="15987" xr:uid="{340192D4-C21A-4C42-AD6D-A7C7E75B96B9}"/>
    <cellStyle name="40% - Accent6 2 2 2 6 3" xfId="37962" xr:uid="{EF5F37CA-85AA-4408-8009-74CD06C06CA9}"/>
    <cellStyle name="40% - Accent6 2 2 2 6 4" xfId="29514" xr:uid="{9CE91446-743C-4B55-8A6D-E0FB6AD9028A}"/>
    <cellStyle name="40% - Accent6 2 2 2 6 5" xfId="21067" xr:uid="{0FD2B97A-05A3-4A3E-848C-AC22F245A290}"/>
    <cellStyle name="40% - Accent6 2 2 2 6 6" xfId="11770" xr:uid="{3CE995FA-07E0-4E81-A1C3-5E2EDF1AE941}"/>
    <cellStyle name="40% - Accent6 2 2 2 7" xfId="4595" xr:uid="{00000000-0005-0000-0000-0000F7060000}"/>
    <cellStyle name="40% - Accent6 2 2 2 7 2" xfId="40113" xr:uid="{4C6A87A7-BC99-48F3-B945-F25866FE73DD}"/>
    <cellStyle name="40% - Accent6 2 2 2 7 3" xfId="31666" xr:uid="{7441AB8E-E085-478E-B698-20B065A09685}"/>
    <cellStyle name="40% - Accent6 2 2 2 7 4" xfId="23218" xr:uid="{7AFDD381-76FE-425E-960B-E3484890B583}"/>
    <cellStyle name="40% - Accent6 2 2 2 7 5" xfId="13921" xr:uid="{BC861C5B-ACCD-4FDA-A132-17984FCD0A48}"/>
    <cellStyle name="40% - Accent6 2 2 2 8" xfId="9113" xr:uid="{D9373B4A-E1DA-437A-874A-FCE4D00708EB}"/>
    <cellStyle name="40% - Accent6 2 2 2 8 2" xfId="35896" xr:uid="{92F51CC6-E1CE-4519-9D63-B6DB2DA8A0A1}"/>
    <cellStyle name="40% - Accent6 2 2 2 8 3" xfId="18436" xr:uid="{8C9CBCD8-E6A3-4B90-8DCC-9C2CD881ED02}"/>
    <cellStyle name="40% - Accent6 2 2 2 9" xfId="27448" xr:uid="{854EABB3-836D-45A1-A43B-575E2D4E8D6A}"/>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42671" xr:uid="{CD669B83-D84D-4CF3-B6DA-B4C8D12BDF9E}"/>
    <cellStyle name="40% - Accent6 2 2 3 2 2 3" xfId="34224" xr:uid="{70587213-D402-4A6E-9297-91E9EB64F457}"/>
    <cellStyle name="40% - Accent6 2 2 3 2 2 4" xfId="25776" xr:uid="{64CBA2DB-6829-4FED-A06C-49314E6B48B1}"/>
    <cellStyle name="40% - Accent6 2 2 3 2 2 5" xfId="16479" xr:uid="{E286ADAC-E2BE-45EA-9666-DB7647420949}"/>
    <cellStyle name="40% - Accent6 2 2 3 2 3" xfId="38454" xr:uid="{79EBD128-CF97-42FE-9A58-02721739F2FD}"/>
    <cellStyle name="40% - Accent6 2 2 3 2 4" xfId="30006" xr:uid="{D06C022B-8BC5-407F-910D-663AA13C4E71}"/>
    <cellStyle name="40% - Accent6 2 2 3 2 5" xfId="21559" xr:uid="{13BC44A0-3E11-434C-95AC-8D8354765001}"/>
    <cellStyle name="40% - Accent6 2 2 3 2 6" xfId="12262" xr:uid="{94C9810F-D3ED-42C1-8460-66B6CA0743F9}"/>
    <cellStyle name="40% - Accent6 2 2 3 3" xfId="5008" xr:uid="{00000000-0005-0000-0000-0000FB060000}"/>
    <cellStyle name="40% - Accent6 2 2 3 3 2" xfId="40526" xr:uid="{5FDA6A9E-7437-4767-9007-44BDC3AF0DC2}"/>
    <cellStyle name="40% - Accent6 2 2 3 3 3" xfId="32079" xr:uid="{967C63AC-6D20-4198-81BB-DDD4B12A1C7B}"/>
    <cellStyle name="40% - Accent6 2 2 3 3 4" xfId="23631" xr:uid="{7670BFE1-6B2C-41B5-9065-71F0E14A90DA}"/>
    <cellStyle name="40% - Accent6 2 2 3 3 5" xfId="14334" xr:uid="{AE7537C6-AEA7-4E49-9D57-C66E1E179381}"/>
    <cellStyle name="40% - Accent6 2 2 3 4" xfId="9331" xr:uid="{223B62DA-AA8A-4703-B6D5-D6AA8918B034}"/>
    <cellStyle name="40% - Accent6 2 2 3 4 2" xfId="36309" xr:uid="{1BEA7F86-EA2A-4894-ADAA-7A6E5788D802}"/>
    <cellStyle name="40% - Accent6 2 2 3 4 3" xfId="18644" xr:uid="{5FCD36E3-C56A-42A1-94DC-E7BDB34E0AFC}"/>
    <cellStyle name="40% - Accent6 2 2 3 5" xfId="27861" xr:uid="{8DDA077E-EE55-4D95-84DF-7154836663EF}"/>
    <cellStyle name="40% - Accent6 2 2 3 6" xfId="19414" xr:uid="{E2B3017E-B98B-4D15-A20B-24F49C671052}"/>
    <cellStyle name="40% - Accent6 2 2 3 7" xfId="10117" xr:uid="{8FE2C013-9B67-4826-AFB6-4B22E1DBA68E}"/>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43084" xr:uid="{99165A9A-CA29-4D57-9033-6B2090FC2F73}"/>
    <cellStyle name="40% - Accent6 2 2 4 2 2 3" xfId="34637" xr:uid="{D66A6858-9549-443A-81D9-AF1F97100E02}"/>
    <cellStyle name="40% - Accent6 2 2 4 2 2 4" xfId="26189" xr:uid="{C062B697-654F-48A0-A1C8-8D83E94F42D0}"/>
    <cellStyle name="40% - Accent6 2 2 4 2 2 5" xfId="16892" xr:uid="{377C2955-B521-4DEC-B54A-20ED2F435AEC}"/>
    <cellStyle name="40% - Accent6 2 2 4 2 3" xfId="38867" xr:uid="{2E6EE92A-8A7B-46FE-9E1D-9256A4AD0DEC}"/>
    <cellStyle name="40% - Accent6 2 2 4 2 4" xfId="30419" xr:uid="{D8BCBC6B-CB45-4759-8ABD-2FE51386AE7A}"/>
    <cellStyle name="40% - Accent6 2 2 4 2 5" xfId="21972" xr:uid="{743A2D01-D336-492A-B953-ED1AFAEBFAF0}"/>
    <cellStyle name="40% - Accent6 2 2 4 2 6" xfId="12675" xr:uid="{658F97FF-F14B-4CE5-A951-EF981FBF1792}"/>
    <cellStyle name="40% - Accent6 2 2 4 3" xfId="5421" xr:uid="{00000000-0005-0000-0000-0000FF060000}"/>
    <cellStyle name="40% - Accent6 2 2 4 3 2" xfId="40939" xr:uid="{64D26952-3F06-42DC-BE62-D30977768346}"/>
    <cellStyle name="40% - Accent6 2 2 4 3 3" xfId="32492" xr:uid="{1EE18CB7-B2EE-4833-A32B-03D8BB73E49A}"/>
    <cellStyle name="40% - Accent6 2 2 4 3 4" xfId="24044" xr:uid="{85D74585-30F8-4FA8-937D-F2EEEE7596B0}"/>
    <cellStyle name="40% - Accent6 2 2 4 3 5" xfId="14747" xr:uid="{3E5BFB66-99A6-4FF5-8C95-5BF477571D47}"/>
    <cellStyle name="40% - Accent6 2 2 4 4" xfId="36722" xr:uid="{6F9D4E62-F0FD-4078-99A3-61B07429D45F}"/>
    <cellStyle name="40% - Accent6 2 2 4 5" xfId="28274" xr:uid="{B9261B89-2C5F-470A-B45A-A8546D30983E}"/>
    <cellStyle name="40% - Accent6 2 2 4 6" xfId="19827" xr:uid="{DEC6B98B-5FD7-4ABB-8C74-25D53FE374F4}"/>
    <cellStyle name="40% - Accent6 2 2 4 7" xfId="10530" xr:uid="{A8B3AEFE-677D-48DE-9AA9-DA815A88B0BE}"/>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43497" xr:uid="{580A47FC-5907-4D2F-B217-F96E4A8C4749}"/>
    <cellStyle name="40% - Accent6 2 2 5 2 2 3" xfId="35050" xr:uid="{3B644C80-0144-48ED-AF39-1BB858D89DDD}"/>
    <cellStyle name="40% - Accent6 2 2 5 2 2 4" xfId="26602" xr:uid="{564C146F-4451-4839-9384-FBF6D07BE7E4}"/>
    <cellStyle name="40% - Accent6 2 2 5 2 2 5" xfId="17305" xr:uid="{16FF5337-02FA-402D-A5CC-5179113AF0FF}"/>
    <cellStyle name="40% - Accent6 2 2 5 2 3" xfId="39280" xr:uid="{00865A01-0B5A-4B29-97A3-2997FCCAF741}"/>
    <cellStyle name="40% - Accent6 2 2 5 2 4" xfId="30832" xr:uid="{20D84219-E35F-4692-8D93-983B86E4DB17}"/>
    <cellStyle name="40% - Accent6 2 2 5 2 5" xfId="22385" xr:uid="{5013952D-481D-4AF8-9B7C-75BB8F1AC15B}"/>
    <cellStyle name="40% - Accent6 2 2 5 2 6" xfId="13088" xr:uid="{6181BE13-BAA2-4831-975E-A9ED55911138}"/>
    <cellStyle name="40% - Accent6 2 2 5 3" xfId="5834" xr:uid="{00000000-0005-0000-0000-000003070000}"/>
    <cellStyle name="40% - Accent6 2 2 5 3 2" xfId="41352" xr:uid="{D84B8015-D9C7-433D-A365-E065F027B6F1}"/>
    <cellStyle name="40% - Accent6 2 2 5 3 3" xfId="32905" xr:uid="{2FE7603F-A44D-4E47-8E45-A0C1D89649D8}"/>
    <cellStyle name="40% - Accent6 2 2 5 3 4" xfId="24457" xr:uid="{C23F6BCC-5640-457B-8E6F-CE77D557B5A5}"/>
    <cellStyle name="40% - Accent6 2 2 5 3 5" xfId="15160" xr:uid="{A4CBE4BC-AC6E-4D7E-91A1-E131626896A3}"/>
    <cellStyle name="40% - Accent6 2 2 5 4" xfId="37135" xr:uid="{F5200AFC-66F0-4998-AACB-51CBCDA59316}"/>
    <cellStyle name="40% - Accent6 2 2 5 5" xfId="28687" xr:uid="{A9D5B690-FFAF-4A57-BEC7-F3D52FCA5381}"/>
    <cellStyle name="40% - Accent6 2 2 5 6" xfId="20240" xr:uid="{086B9F68-A7BF-4EAB-B272-7735B26698CE}"/>
    <cellStyle name="40% - Accent6 2 2 5 7" xfId="10943" xr:uid="{CDA8D15C-CFAC-4B69-A201-F4A0F072808C}"/>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43910" xr:uid="{C3E8B81F-1167-44E5-B53C-D2820F361933}"/>
    <cellStyle name="40% - Accent6 2 2 6 2 2 3" xfId="35463" xr:uid="{776E5D73-7A80-47C1-BB2C-3BC11BAA99F8}"/>
    <cellStyle name="40% - Accent6 2 2 6 2 2 4" xfId="27015" xr:uid="{73A97428-DDAF-489D-A8B9-CB33219FFA60}"/>
    <cellStyle name="40% - Accent6 2 2 6 2 2 5" xfId="17718" xr:uid="{4912FCCC-BD59-4195-A3EA-4960DCDD5D43}"/>
    <cellStyle name="40% - Accent6 2 2 6 2 3" xfId="39693" xr:uid="{356ED7F0-8BE7-473F-BCAF-C41ED35C2469}"/>
    <cellStyle name="40% - Accent6 2 2 6 2 4" xfId="31245" xr:uid="{79D4EDC4-F779-47BF-9845-502B309D0CC3}"/>
    <cellStyle name="40% - Accent6 2 2 6 2 5" xfId="22798" xr:uid="{266741CF-B1CD-45BD-A62F-5025A5710470}"/>
    <cellStyle name="40% - Accent6 2 2 6 2 6" xfId="13501" xr:uid="{C970D032-A40E-420F-9551-F4E3332314D0}"/>
    <cellStyle name="40% - Accent6 2 2 6 3" xfId="6247" xr:uid="{00000000-0005-0000-0000-000007070000}"/>
    <cellStyle name="40% - Accent6 2 2 6 3 2" xfId="41765" xr:uid="{E2C02ABA-9D47-46D0-A7FC-2352DD0CE1DB}"/>
    <cellStyle name="40% - Accent6 2 2 6 3 3" xfId="33318" xr:uid="{3BBBFF02-871E-4984-8B4E-EA403DED26AD}"/>
    <cellStyle name="40% - Accent6 2 2 6 3 4" xfId="24870" xr:uid="{6A644BF2-9F6E-4D4C-A1F0-C2EB003377D2}"/>
    <cellStyle name="40% - Accent6 2 2 6 3 5" xfId="15573" xr:uid="{4CBE1E90-2062-477D-9468-97A3F97D369D}"/>
    <cellStyle name="40% - Accent6 2 2 6 4" xfId="37548" xr:uid="{94187139-2BFE-49F6-8B0D-B9F682A8F833}"/>
    <cellStyle name="40% - Accent6 2 2 6 5" xfId="29100" xr:uid="{3F84E34D-A4C8-44F4-A34D-C6634201C40E}"/>
    <cellStyle name="40% - Accent6 2 2 6 6" xfId="20653" xr:uid="{CC277C1F-FB28-4AAA-A1A0-70B259F882ED}"/>
    <cellStyle name="40% - Accent6 2 2 6 7" xfId="11356" xr:uid="{9AE727C0-0764-4D57-AC12-D7A42E4FFDC1}"/>
    <cellStyle name="40% - Accent6 2 2 7" xfId="2354" xr:uid="{00000000-0005-0000-0000-000008070000}"/>
    <cellStyle name="40% - Accent6 2 2 7 2" xfId="6660" xr:uid="{00000000-0005-0000-0000-000009070000}"/>
    <cellStyle name="40% - Accent6 2 2 7 2 2" xfId="42178" xr:uid="{ED755EAF-83F0-4A9D-BBEA-5BBB98CAAFB1}"/>
    <cellStyle name="40% - Accent6 2 2 7 2 3" xfId="33731" xr:uid="{014419C9-9F0B-46E7-B594-CF1B39E32EDF}"/>
    <cellStyle name="40% - Accent6 2 2 7 2 4" xfId="25283" xr:uid="{FC29F2C0-8609-4316-81D8-B59860DC3698}"/>
    <cellStyle name="40% - Accent6 2 2 7 2 5" xfId="15986" xr:uid="{88271EF3-DE68-4739-B8AF-2FAE9CD24EF9}"/>
    <cellStyle name="40% - Accent6 2 2 7 3" xfId="37961" xr:uid="{93AAFFF2-7096-4D25-8B42-12059974B186}"/>
    <cellStyle name="40% - Accent6 2 2 7 4" xfId="29513" xr:uid="{38B7278A-C354-4570-B279-D5DD02B75E95}"/>
    <cellStyle name="40% - Accent6 2 2 7 5" xfId="21066" xr:uid="{BB0A0850-5A2E-4C8D-996F-C11A0D0C3D09}"/>
    <cellStyle name="40% - Accent6 2 2 7 6" xfId="11769" xr:uid="{2BAA7221-CDF6-42F2-AD47-67E1DC6A902D}"/>
    <cellStyle name="40% - Accent6 2 2 8" xfId="4594" xr:uid="{00000000-0005-0000-0000-00000A070000}"/>
    <cellStyle name="40% - Accent6 2 2 8 2" xfId="40112" xr:uid="{90E9C3E2-AB64-4D52-A5A1-0320BCBA2507}"/>
    <cellStyle name="40% - Accent6 2 2 8 3" xfId="31665" xr:uid="{B0B6DF14-74FC-45CD-92BD-0D5419F0C749}"/>
    <cellStyle name="40% - Accent6 2 2 8 4" xfId="23217" xr:uid="{9AF9F81F-3880-45F2-8739-7A1CCAB55F42}"/>
    <cellStyle name="40% - Accent6 2 2 8 5" xfId="13920" xr:uid="{BE3604E6-8235-4FD7-8F9A-38976ECD0FDA}"/>
    <cellStyle name="40% - Accent6 2 2 9" xfId="8906" xr:uid="{C30FCA09-BA1A-4F54-9397-4FC676425C46}"/>
    <cellStyle name="40% - Accent6 2 2 9 2" xfId="35895" xr:uid="{7B2C0EC5-EF71-49E4-AFC3-5EBA5E6E93D1}"/>
    <cellStyle name="40% - Accent6 2 2 9 3" xfId="18229" xr:uid="{0328DA63-390B-4E69-ACCD-F2DD77374FC0}"/>
    <cellStyle name="40% - Accent6 2 3" xfId="93" xr:uid="{00000000-0005-0000-0000-00000B070000}"/>
    <cellStyle name="40% - Accent6 2 3 10" xfId="19002" xr:uid="{5EF7B17E-A7F2-40EB-A67A-721F7D1F7AD3}"/>
    <cellStyle name="40% - Accent6 2 3 11" xfId="9705" xr:uid="{BA0C72D7-9B1C-4146-B8A8-1D301342F3CD}"/>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42673" xr:uid="{87DDD0C2-EBB3-4698-8647-C1085B7EB061}"/>
    <cellStyle name="40% - Accent6 2 3 2 2 2 3" xfId="34226" xr:uid="{5B22FF4F-1692-4394-9E32-F496FE3143BA}"/>
    <cellStyle name="40% - Accent6 2 3 2 2 2 4" xfId="25778" xr:uid="{BF86F247-A3B4-4237-9AEE-63B83EC82C69}"/>
    <cellStyle name="40% - Accent6 2 3 2 2 2 5" xfId="16481" xr:uid="{E4299BDA-B274-406A-8C85-D5D0F0A7CE96}"/>
    <cellStyle name="40% - Accent6 2 3 2 2 3" xfId="38456" xr:uid="{DA6DAAE0-EADD-4BC1-B16D-24C75E78FD5F}"/>
    <cellStyle name="40% - Accent6 2 3 2 2 4" xfId="30008" xr:uid="{14A03281-78F9-4CB6-BC9D-930D03DBA9DD}"/>
    <cellStyle name="40% - Accent6 2 3 2 2 5" xfId="21561" xr:uid="{3121DC27-0D15-469A-A16B-701A2DDA9FF6}"/>
    <cellStyle name="40% - Accent6 2 3 2 2 6" xfId="12264" xr:uid="{31D8D467-A6D1-479F-9C81-24F9C8E9E64E}"/>
    <cellStyle name="40% - Accent6 2 3 2 3" xfId="5010" xr:uid="{00000000-0005-0000-0000-00000F070000}"/>
    <cellStyle name="40% - Accent6 2 3 2 3 2" xfId="40528" xr:uid="{54323E5F-6CA6-4906-A15E-953F26D922A1}"/>
    <cellStyle name="40% - Accent6 2 3 2 3 3" xfId="32081" xr:uid="{EFD1B22B-832C-4D11-AA95-7CA42B921E65}"/>
    <cellStyle name="40% - Accent6 2 3 2 3 4" xfId="23633" xr:uid="{5FF37874-014A-402E-BD3A-81223B10FD47}"/>
    <cellStyle name="40% - Accent6 2 3 2 3 5" xfId="14336" xr:uid="{5DD9B4CF-488B-4113-A910-43E36FF86460}"/>
    <cellStyle name="40% - Accent6 2 3 2 4" xfId="9435" xr:uid="{36535681-1736-4584-8CB6-F8F38C9E0E5B}"/>
    <cellStyle name="40% - Accent6 2 3 2 4 2" xfId="36311" xr:uid="{1F3CC945-53EE-4427-B5A6-79E49A6D7C4F}"/>
    <cellStyle name="40% - Accent6 2 3 2 4 3" xfId="18748" xr:uid="{D78475FE-6BF5-40D7-B788-2E71A175631C}"/>
    <cellStyle name="40% - Accent6 2 3 2 5" xfId="27863" xr:uid="{D7646534-4CDA-4EAA-B2FB-291EAB6FC16A}"/>
    <cellStyle name="40% - Accent6 2 3 2 6" xfId="19416" xr:uid="{1F81645A-5E99-446D-A4C5-D68F243D5286}"/>
    <cellStyle name="40% - Accent6 2 3 2 7" xfId="10119" xr:uid="{BBE5DF11-F838-4494-A471-8A640685FE24}"/>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43086" xr:uid="{4E31520D-6B62-44B2-A5E5-97AC8A500E65}"/>
    <cellStyle name="40% - Accent6 2 3 3 2 2 3" xfId="34639" xr:uid="{F7C0FB07-1F5D-4827-920C-34046D913870}"/>
    <cellStyle name="40% - Accent6 2 3 3 2 2 4" xfId="26191" xr:uid="{870391AF-4799-4473-B736-28F3765D4D7A}"/>
    <cellStyle name="40% - Accent6 2 3 3 2 2 5" xfId="16894" xr:uid="{98EC8E0B-D7A5-4AB9-B765-AF7CAA8AF531}"/>
    <cellStyle name="40% - Accent6 2 3 3 2 3" xfId="38869" xr:uid="{76144A8B-AFCB-4D90-B433-06D60C4CED98}"/>
    <cellStyle name="40% - Accent6 2 3 3 2 4" xfId="30421" xr:uid="{420738B9-69EB-4FF3-81DD-510CE3D92E60}"/>
    <cellStyle name="40% - Accent6 2 3 3 2 5" xfId="21974" xr:uid="{352D74A2-6BE8-4364-9142-C145B2B04D90}"/>
    <cellStyle name="40% - Accent6 2 3 3 2 6" xfId="12677" xr:uid="{D0E82A0C-9DB7-4DC5-B7BC-B774D981F346}"/>
    <cellStyle name="40% - Accent6 2 3 3 3" xfId="5423" xr:uid="{00000000-0005-0000-0000-000013070000}"/>
    <cellStyle name="40% - Accent6 2 3 3 3 2" xfId="40941" xr:uid="{09BA6272-2E8F-412C-A1F8-5953D4A1B0FC}"/>
    <cellStyle name="40% - Accent6 2 3 3 3 3" xfId="32494" xr:uid="{E7CBDE20-4433-4823-B5D7-B55342888814}"/>
    <cellStyle name="40% - Accent6 2 3 3 3 4" xfId="24046" xr:uid="{BF256F9F-639D-48F9-93CD-43634836D365}"/>
    <cellStyle name="40% - Accent6 2 3 3 3 5" xfId="14749" xr:uid="{279CC52B-28CC-4B5F-8A82-FC392BF04C63}"/>
    <cellStyle name="40% - Accent6 2 3 3 4" xfId="36724" xr:uid="{CFE2C8B8-4200-4DD5-B5A9-DAD09553E833}"/>
    <cellStyle name="40% - Accent6 2 3 3 5" xfId="28276" xr:uid="{3E180E72-D844-4520-ABFB-8B63B15EB26F}"/>
    <cellStyle name="40% - Accent6 2 3 3 6" xfId="19829" xr:uid="{F7F9A899-F9D6-4FB1-B059-05579F6BB4CE}"/>
    <cellStyle name="40% - Accent6 2 3 3 7" xfId="10532" xr:uid="{D81DEA29-BDE2-404E-9BB2-0E48E4758250}"/>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43499" xr:uid="{2C54E099-BE05-42D2-BC3A-3EEBD706404A}"/>
    <cellStyle name="40% - Accent6 2 3 4 2 2 3" xfId="35052" xr:uid="{AD2243A2-2AAC-4266-BB44-9263DB6B0E29}"/>
    <cellStyle name="40% - Accent6 2 3 4 2 2 4" xfId="26604" xr:uid="{E652551A-3228-4C3A-9975-D862671A0047}"/>
    <cellStyle name="40% - Accent6 2 3 4 2 2 5" xfId="17307" xr:uid="{5753D683-3E12-429B-A142-60E409D1B9A0}"/>
    <cellStyle name="40% - Accent6 2 3 4 2 3" xfId="39282" xr:uid="{F0254E83-8D0D-4FE1-B6AB-12BEA05D890F}"/>
    <cellStyle name="40% - Accent6 2 3 4 2 4" xfId="30834" xr:uid="{409D8B72-969D-4F3E-AE95-1F3C908242E9}"/>
    <cellStyle name="40% - Accent6 2 3 4 2 5" xfId="22387" xr:uid="{BCE02D55-CEC2-4BBF-939D-E7BA4398D0DA}"/>
    <cellStyle name="40% - Accent6 2 3 4 2 6" xfId="13090" xr:uid="{268C3437-336D-40B8-86E1-8457FBF56160}"/>
    <cellStyle name="40% - Accent6 2 3 4 3" xfId="5836" xr:uid="{00000000-0005-0000-0000-000017070000}"/>
    <cellStyle name="40% - Accent6 2 3 4 3 2" xfId="41354" xr:uid="{33F01CC3-AB96-4FC7-91DA-CDDF9AE242D2}"/>
    <cellStyle name="40% - Accent6 2 3 4 3 3" xfId="32907" xr:uid="{38B15B3D-CB65-4369-9406-76C4DF702FF9}"/>
    <cellStyle name="40% - Accent6 2 3 4 3 4" xfId="24459" xr:uid="{DA23B05A-2F2E-4EFD-80C9-AECC2C2BC08D}"/>
    <cellStyle name="40% - Accent6 2 3 4 3 5" xfId="15162" xr:uid="{22CE9757-66A7-48A5-B5DE-2F034233F1C3}"/>
    <cellStyle name="40% - Accent6 2 3 4 4" xfId="37137" xr:uid="{93D87E98-DA2A-4A44-8618-0160DA3A6405}"/>
    <cellStyle name="40% - Accent6 2 3 4 5" xfId="28689" xr:uid="{2FA0976A-3B0A-43BC-9C88-61FADAE3B7FD}"/>
    <cellStyle name="40% - Accent6 2 3 4 6" xfId="20242" xr:uid="{2D80C64E-CC17-456F-A2BE-7CE38C12573E}"/>
    <cellStyle name="40% - Accent6 2 3 4 7" xfId="10945" xr:uid="{610198EE-FA82-4667-9F1C-0FD0381C9183}"/>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43912" xr:uid="{5166A88D-77DF-47CC-A3D9-237D7A9DF222}"/>
    <cellStyle name="40% - Accent6 2 3 5 2 2 3" xfId="35465" xr:uid="{4A651334-14AC-41B1-9ED6-C26C8E5A332E}"/>
    <cellStyle name="40% - Accent6 2 3 5 2 2 4" xfId="27017" xr:uid="{4512DD38-25F3-4489-BE2D-F88157AD11BF}"/>
    <cellStyle name="40% - Accent6 2 3 5 2 2 5" xfId="17720" xr:uid="{9B575A1C-4FB5-4BA6-96F3-8A4E35E2EA04}"/>
    <cellStyle name="40% - Accent6 2 3 5 2 3" xfId="39695" xr:uid="{6FD63289-4BC3-4CEF-B2C0-266285064327}"/>
    <cellStyle name="40% - Accent6 2 3 5 2 4" xfId="31247" xr:uid="{C3F3E57C-9177-4818-851D-69D5F38AEF7B}"/>
    <cellStyle name="40% - Accent6 2 3 5 2 5" xfId="22800" xr:uid="{1319ECE1-551F-410C-8632-4A672C0EDF3A}"/>
    <cellStyle name="40% - Accent6 2 3 5 2 6" xfId="13503" xr:uid="{41F2921D-7C50-44EA-A305-CEA94EF0E148}"/>
    <cellStyle name="40% - Accent6 2 3 5 3" xfId="6249" xr:uid="{00000000-0005-0000-0000-00001B070000}"/>
    <cellStyle name="40% - Accent6 2 3 5 3 2" xfId="41767" xr:uid="{519DEF79-B625-4F7D-A5D4-BB0364C9FCD4}"/>
    <cellStyle name="40% - Accent6 2 3 5 3 3" xfId="33320" xr:uid="{9338309D-F050-40C3-B1A7-9215366D250D}"/>
    <cellStyle name="40% - Accent6 2 3 5 3 4" xfId="24872" xr:uid="{601472F3-17A2-49E0-A567-8CA442256763}"/>
    <cellStyle name="40% - Accent6 2 3 5 3 5" xfId="15575" xr:uid="{E2B5B61B-1F62-4AFA-BFA2-5132BFB327F3}"/>
    <cellStyle name="40% - Accent6 2 3 5 4" xfId="37550" xr:uid="{4933CB33-5947-4375-A550-2F0BE9256667}"/>
    <cellStyle name="40% - Accent6 2 3 5 5" xfId="29102" xr:uid="{F368CBEA-9531-4C6D-8646-765DFF9B7866}"/>
    <cellStyle name="40% - Accent6 2 3 5 6" xfId="20655" xr:uid="{D0B01E43-7B6E-481F-9878-51FFBD647A46}"/>
    <cellStyle name="40% - Accent6 2 3 5 7" xfId="11358" xr:uid="{F42193DA-204B-4CD3-B6CD-616AF5D8E75A}"/>
    <cellStyle name="40% - Accent6 2 3 6" xfId="2356" xr:uid="{00000000-0005-0000-0000-00001C070000}"/>
    <cellStyle name="40% - Accent6 2 3 6 2" xfId="6662" xr:uid="{00000000-0005-0000-0000-00001D070000}"/>
    <cellStyle name="40% - Accent6 2 3 6 2 2" xfId="42180" xr:uid="{6CAEDB85-0B8C-465B-81B8-9EFBE03FF0B1}"/>
    <cellStyle name="40% - Accent6 2 3 6 2 3" xfId="33733" xr:uid="{085A26C8-2DFF-4EE2-A7F2-BE4DD20CF369}"/>
    <cellStyle name="40% - Accent6 2 3 6 2 4" xfId="25285" xr:uid="{12544894-AACF-4EA9-879B-8D292B8AF2B4}"/>
    <cellStyle name="40% - Accent6 2 3 6 2 5" xfId="15988" xr:uid="{3E818BB4-4C9F-4B57-8EAA-F69DB0BD206F}"/>
    <cellStyle name="40% - Accent6 2 3 6 3" xfId="37963" xr:uid="{08590423-D140-4005-9905-47D969C69062}"/>
    <cellStyle name="40% - Accent6 2 3 6 4" xfId="29515" xr:uid="{3E5FB7B6-E67E-458B-95F6-23455F3A566E}"/>
    <cellStyle name="40% - Accent6 2 3 6 5" xfId="21068" xr:uid="{2412D2DE-5541-4667-ADBD-8883D2F32869}"/>
    <cellStyle name="40% - Accent6 2 3 6 6" xfId="11771" xr:uid="{9CAFA1CC-76F3-4FA1-A682-407539B3A7FE}"/>
    <cellStyle name="40% - Accent6 2 3 7" xfId="4596" xr:uid="{00000000-0005-0000-0000-00001E070000}"/>
    <cellStyle name="40% - Accent6 2 3 7 2" xfId="40114" xr:uid="{689D3644-2CA1-4EF4-A7E5-EAC2AFAD456A}"/>
    <cellStyle name="40% - Accent6 2 3 7 3" xfId="31667" xr:uid="{13FD3559-DC68-4A06-B470-7C6DD2443299}"/>
    <cellStyle name="40% - Accent6 2 3 7 4" xfId="23219" xr:uid="{83AA5C28-7185-4237-987D-8A1D5D0327EF}"/>
    <cellStyle name="40% - Accent6 2 3 7 5" xfId="13922" xr:uid="{25495937-F6B9-4926-A83A-C74B6C301D54}"/>
    <cellStyle name="40% - Accent6 2 3 8" xfId="9010" xr:uid="{63E1B5F8-FE5F-441F-B768-94B1D98CB2B1}"/>
    <cellStyle name="40% - Accent6 2 3 8 2" xfId="35897" xr:uid="{25252F11-D171-42E5-9B65-855E5A4A95AD}"/>
    <cellStyle name="40% - Accent6 2 3 8 3" xfId="18333" xr:uid="{FB0F54B1-0218-4B77-BE0E-1ACF4644069F}"/>
    <cellStyle name="40% - Accent6 2 3 9" xfId="27449" xr:uid="{BA8E6EBA-3D82-432D-A075-44460DCFF330}"/>
    <cellStyle name="40% - Accent6 2 4" xfId="659" xr:uid="{00000000-0005-0000-0000-00001F070000}"/>
    <cellStyle name="40% - Accent6 2 4 2" xfId="2930" xr:uid="{00000000-0005-0000-0000-000020070000}"/>
    <cellStyle name="40% - Accent6 2 4 2 2" xfId="7152" xr:uid="{00000000-0005-0000-0000-000021070000}"/>
    <cellStyle name="40% - Accent6 2 4 2 2 2" xfId="42670" xr:uid="{C772EBCE-836A-42A9-9D81-FA484D7B1BE7}"/>
    <cellStyle name="40% - Accent6 2 4 2 2 3" xfId="34223" xr:uid="{8BF76961-D11D-49D5-A6B1-B8976614926F}"/>
    <cellStyle name="40% - Accent6 2 4 2 2 4" xfId="25775" xr:uid="{6DF06214-5819-4069-9572-9FBA35FD5E6A}"/>
    <cellStyle name="40% - Accent6 2 4 2 2 5" xfId="16478" xr:uid="{95FD7534-A457-4265-B6F1-BFC547694534}"/>
    <cellStyle name="40% - Accent6 2 4 2 3" xfId="38453" xr:uid="{538C2F8F-9E6A-447E-A702-DBFC65124006}"/>
    <cellStyle name="40% - Accent6 2 4 2 4" xfId="30005" xr:uid="{483A7A09-EF11-4658-97EE-E49DD0076AA5}"/>
    <cellStyle name="40% - Accent6 2 4 2 5" xfId="21558" xr:uid="{8F26E458-1A80-418A-93B1-8310E0F0A10B}"/>
    <cellStyle name="40% - Accent6 2 4 2 6" xfId="12261" xr:uid="{1D60E0FE-CF15-4589-A66E-46A06490FD70}"/>
    <cellStyle name="40% - Accent6 2 4 3" xfId="5007" xr:uid="{00000000-0005-0000-0000-000022070000}"/>
    <cellStyle name="40% - Accent6 2 4 3 2" xfId="40525" xr:uid="{8252AF51-843F-4BCD-8E02-7E1B9D980214}"/>
    <cellStyle name="40% - Accent6 2 4 3 3" xfId="32078" xr:uid="{71CBCA8F-4E46-469F-A9AA-9C367B616A65}"/>
    <cellStyle name="40% - Accent6 2 4 3 4" xfId="23630" xr:uid="{F42CBED9-589A-4530-ADDB-DD545DEBCEF1}"/>
    <cellStyle name="40% - Accent6 2 4 3 5" xfId="14333" xr:uid="{4318E97D-FCBC-4090-9422-7B26B1AFF9A9}"/>
    <cellStyle name="40% - Accent6 2 4 4" xfId="9227" xr:uid="{61BC3AC1-FAE9-47DF-8143-7EECE05FF8D3}"/>
    <cellStyle name="40% - Accent6 2 4 4 2" xfId="36308" xr:uid="{42555768-F295-48D8-98AC-E298DD26A74F}"/>
    <cellStyle name="40% - Accent6 2 4 4 3" xfId="18541" xr:uid="{DC737BAB-86BE-401D-AC0D-AB51A4C882BF}"/>
    <cellStyle name="40% - Accent6 2 4 5" xfId="27860" xr:uid="{9DCDBFC9-9855-4F24-9490-65CD410EDC3A}"/>
    <cellStyle name="40% - Accent6 2 4 6" xfId="19413" xr:uid="{88B22A1D-3563-4358-981B-A69D5D90A032}"/>
    <cellStyle name="40% - Accent6 2 4 7" xfId="10116" xr:uid="{22DD3D29-1E9F-45DC-86C1-BEB513960322}"/>
    <cellStyle name="40% - Accent6 2 5" xfId="1112" xr:uid="{00000000-0005-0000-0000-000023070000}"/>
    <cellStyle name="40% - Accent6 2 5 2" xfId="3343" xr:uid="{00000000-0005-0000-0000-000024070000}"/>
    <cellStyle name="40% - Accent6 2 5 2 2" xfId="7565" xr:uid="{00000000-0005-0000-0000-000025070000}"/>
    <cellStyle name="40% - Accent6 2 5 2 2 2" xfId="43083" xr:uid="{20E73E58-9794-43E0-8D48-D90781C71FF6}"/>
    <cellStyle name="40% - Accent6 2 5 2 2 3" xfId="34636" xr:uid="{B39F9634-695F-4AD0-B2B9-A60539FB4283}"/>
    <cellStyle name="40% - Accent6 2 5 2 2 4" xfId="26188" xr:uid="{ADDE06E8-97E6-45A9-97BB-7EFCE5A63114}"/>
    <cellStyle name="40% - Accent6 2 5 2 2 5" xfId="16891" xr:uid="{C72FE07F-51DA-4A26-B2C1-C05063DD8312}"/>
    <cellStyle name="40% - Accent6 2 5 2 3" xfId="38866" xr:uid="{8AE8EB47-A4AC-4351-97E6-EE29A19CFB09}"/>
    <cellStyle name="40% - Accent6 2 5 2 4" xfId="30418" xr:uid="{1B660D63-9263-4863-A64E-2F90113F861D}"/>
    <cellStyle name="40% - Accent6 2 5 2 5" xfId="21971" xr:uid="{5ADD4E8B-1D3D-4BF5-A754-C92BA5D27BE5}"/>
    <cellStyle name="40% - Accent6 2 5 2 6" xfId="12674" xr:uid="{0F61B3BA-0D5A-4344-B9BC-B66A7C2DD703}"/>
    <cellStyle name="40% - Accent6 2 5 3" xfId="5420" xr:uid="{00000000-0005-0000-0000-000026070000}"/>
    <cellStyle name="40% - Accent6 2 5 3 2" xfId="40938" xr:uid="{7A3C267A-D98A-4B5F-AB4A-4A95BD41DF6F}"/>
    <cellStyle name="40% - Accent6 2 5 3 3" xfId="32491" xr:uid="{F48482AE-AD5D-4BC4-BD96-E8EB1E1BAC7C}"/>
    <cellStyle name="40% - Accent6 2 5 3 4" xfId="24043" xr:uid="{81FB229F-2280-4022-874B-D4CC8FA6E364}"/>
    <cellStyle name="40% - Accent6 2 5 3 5" xfId="14746" xr:uid="{29824045-C324-4434-A897-68E88A31DF20}"/>
    <cellStyle name="40% - Accent6 2 5 4" xfId="36721" xr:uid="{89CBA043-8243-4DDD-81BA-97A93F0B63D1}"/>
    <cellStyle name="40% - Accent6 2 5 5" xfId="28273" xr:uid="{139440E7-3AE7-4089-BC8F-3DEB8F4701BD}"/>
    <cellStyle name="40% - Accent6 2 5 6" xfId="19826" xr:uid="{C8EF3734-F903-4031-B96E-CE5D9E2519CD}"/>
    <cellStyle name="40% - Accent6 2 5 7" xfId="10529" xr:uid="{4F93F32C-EBF0-4465-A077-27B458B7EE7B}"/>
    <cellStyle name="40% - Accent6 2 6" xfId="1526" xr:uid="{00000000-0005-0000-0000-000027070000}"/>
    <cellStyle name="40% - Accent6 2 6 2" xfId="3756" xr:uid="{00000000-0005-0000-0000-000028070000}"/>
    <cellStyle name="40% - Accent6 2 6 2 2" xfId="7978" xr:uid="{00000000-0005-0000-0000-000029070000}"/>
    <cellStyle name="40% - Accent6 2 6 2 2 2" xfId="43496" xr:uid="{3C211C7F-CD1B-4DD0-BE54-6405B872639A}"/>
    <cellStyle name="40% - Accent6 2 6 2 2 3" xfId="35049" xr:uid="{69B1F20C-550E-435E-91B2-A6EE72F9FA73}"/>
    <cellStyle name="40% - Accent6 2 6 2 2 4" xfId="26601" xr:uid="{DF380208-BFA6-4ABE-A81C-D5DCE8517958}"/>
    <cellStyle name="40% - Accent6 2 6 2 2 5" xfId="17304" xr:uid="{2E2CE3F8-E046-4681-A894-12DF620F2EE4}"/>
    <cellStyle name="40% - Accent6 2 6 2 3" xfId="39279" xr:uid="{13E987E2-8EF3-450D-AC52-90FF7B312772}"/>
    <cellStyle name="40% - Accent6 2 6 2 4" xfId="30831" xr:uid="{B9F6E6DC-21D0-4648-9C8D-73C951A0B5E4}"/>
    <cellStyle name="40% - Accent6 2 6 2 5" xfId="22384" xr:uid="{48F14304-AB91-4991-B173-96EDF9C91B59}"/>
    <cellStyle name="40% - Accent6 2 6 2 6" xfId="13087" xr:uid="{ECD7B237-42FB-4560-90C3-343A0E219E47}"/>
    <cellStyle name="40% - Accent6 2 6 3" xfId="5833" xr:uid="{00000000-0005-0000-0000-00002A070000}"/>
    <cellStyle name="40% - Accent6 2 6 3 2" xfId="41351" xr:uid="{51790505-6DD7-4D65-95A9-41382F5264FD}"/>
    <cellStyle name="40% - Accent6 2 6 3 3" xfId="32904" xr:uid="{671E61D9-7D08-4203-B6AB-129F102FEC68}"/>
    <cellStyle name="40% - Accent6 2 6 3 4" xfId="24456" xr:uid="{87DF8FC5-95EB-4747-8D15-062DA880AA5A}"/>
    <cellStyle name="40% - Accent6 2 6 3 5" xfId="15159" xr:uid="{D5883D31-EC9F-4C5D-99D6-4A34CF4D3535}"/>
    <cellStyle name="40% - Accent6 2 6 4" xfId="37134" xr:uid="{5C65D7EA-E9BD-4616-A44D-226E7CABDA28}"/>
    <cellStyle name="40% - Accent6 2 6 5" xfId="28686" xr:uid="{29426D42-018E-4448-8034-3C4C3A2D56AD}"/>
    <cellStyle name="40% - Accent6 2 6 6" xfId="20239" xr:uid="{39BF7FB5-42EA-4A8C-851F-DC57DF363A43}"/>
    <cellStyle name="40% - Accent6 2 6 7" xfId="10942" xr:uid="{9B17659A-9F5D-40C7-B7A9-E4468873C1CB}"/>
    <cellStyle name="40% - Accent6 2 7" xfId="1940" xr:uid="{00000000-0005-0000-0000-00002B070000}"/>
    <cellStyle name="40% - Accent6 2 7 2" xfId="4169" xr:uid="{00000000-0005-0000-0000-00002C070000}"/>
    <cellStyle name="40% - Accent6 2 7 2 2" xfId="8391" xr:uid="{00000000-0005-0000-0000-00002D070000}"/>
    <cellStyle name="40% - Accent6 2 7 2 2 2" xfId="43909" xr:uid="{4EF781F9-5061-40CA-B38D-E7A93AC06937}"/>
    <cellStyle name="40% - Accent6 2 7 2 2 3" xfId="35462" xr:uid="{AC960F82-6FD9-4513-86BD-C9B30A5C4839}"/>
    <cellStyle name="40% - Accent6 2 7 2 2 4" xfId="27014" xr:uid="{7F4CF10A-E0FA-4CBA-A058-9D562796B169}"/>
    <cellStyle name="40% - Accent6 2 7 2 2 5" xfId="17717" xr:uid="{C99043A9-3D2B-40F8-9F23-8DE0D5F534CF}"/>
    <cellStyle name="40% - Accent6 2 7 2 3" xfId="39692" xr:uid="{73026C05-803D-486A-9A17-57119B79A0CE}"/>
    <cellStyle name="40% - Accent6 2 7 2 4" xfId="31244" xr:uid="{4BDEA25E-0542-45B8-93E9-BAF0D3BCF3A1}"/>
    <cellStyle name="40% - Accent6 2 7 2 5" xfId="22797" xr:uid="{A0D703D9-DDE3-4420-AB01-0C84D4280908}"/>
    <cellStyle name="40% - Accent6 2 7 2 6" xfId="13500" xr:uid="{D648B5D2-E790-461A-B79B-8BFAC1EA8447}"/>
    <cellStyle name="40% - Accent6 2 7 3" xfId="6246" xr:uid="{00000000-0005-0000-0000-00002E070000}"/>
    <cellStyle name="40% - Accent6 2 7 3 2" xfId="41764" xr:uid="{42F81064-AF39-4D43-9D32-1A9D3D1BA2C7}"/>
    <cellStyle name="40% - Accent6 2 7 3 3" xfId="33317" xr:uid="{0B148A33-EF13-46C8-9CA3-20C2D1401DA3}"/>
    <cellStyle name="40% - Accent6 2 7 3 4" xfId="24869" xr:uid="{138F8C01-512A-4464-8F72-335E682E974E}"/>
    <cellStyle name="40% - Accent6 2 7 3 5" xfId="15572" xr:uid="{2DEA6285-5BD5-4CBE-865F-F53B1A0F072B}"/>
    <cellStyle name="40% - Accent6 2 7 4" xfId="37547" xr:uid="{6516EBD7-14C3-44DB-BD1B-3C59DBDD1474}"/>
    <cellStyle name="40% - Accent6 2 7 5" xfId="29099" xr:uid="{E7B3865E-7606-4F3D-B0B8-36D76795450E}"/>
    <cellStyle name="40% - Accent6 2 7 6" xfId="20652" xr:uid="{60748CAD-781A-4FD3-BE5F-494EB8F415FA}"/>
    <cellStyle name="40% - Accent6 2 7 7" xfId="11355" xr:uid="{31FD99A8-770F-446C-8C75-57B6D4C1882E}"/>
    <cellStyle name="40% - Accent6 2 8" xfId="2353" xr:uid="{00000000-0005-0000-0000-00002F070000}"/>
    <cellStyle name="40% - Accent6 2 8 2" xfId="6659" xr:uid="{00000000-0005-0000-0000-000030070000}"/>
    <cellStyle name="40% - Accent6 2 8 2 2" xfId="42177" xr:uid="{B4938BDF-C475-42E5-BD64-FEB36D5565BF}"/>
    <cellStyle name="40% - Accent6 2 8 2 3" xfId="33730" xr:uid="{FAA75512-EC46-4787-B4B8-1C157C59F789}"/>
    <cellStyle name="40% - Accent6 2 8 2 4" xfId="25282" xr:uid="{6375FA76-14F0-4CC1-87F5-A33A102D276A}"/>
    <cellStyle name="40% - Accent6 2 8 2 5" xfId="15985" xr:uid="{58605FAB-14FF-47C7-83A8-6FB384C65503}"/>
    <cellStyle name="40% - Accent6 2 8 3" xfId="37960" xr:uid="{B848F7A4-DECB-4CCC-A9FF-A9D10471A41F}"/>
    <cellStyle name="40% - Accent6 2 8 4" xfId="29512" xr:uid="{561BA4F6-14B7-46AC-B561-08449C495DE3}"/>
    <cellStyle name="40% - Accent6 2 8 5" xfId="21065" xr:uid="{271B48C3-68F4-4F4F-9D7D-361D341B5F4D}"/>
    <cellStyle name="40% - Accent6 2 8 6" xfId="11768" xr:uid="{8F90E9FC-61AB-4CBD-B601-7B8C747327B9}"/>
    <cellStyle name="40% - Accent6 2 9" xfId="4593" xr:uid="{00000000-0005-0000-0000-000031070000}"/>
    <cellStyle name="40% - Accent6 2 9 2" xfId="40111" xr:uid="{330EACB7-7CBE-44DE-A9A8-56A485B3692B}"/>
    <cellStyle name="40% - Accent6 2 9 3" xfId="31664" xr:uid="{75A26996-6DDC-4428-822C-1C71C3572C9E}"/>
    <cellStyle name="40% - Accent6 2 9 4" xfId="23216" xr:uid="{A5DFCE0B-DC7B-414D-AE9F-3C1E5720061E}"/>
    <cellStyle name="40% - Accent6 2 9 5" xfId="13919" xr:uid="{F74DF132-606D-4FF4-9328-2133DB1B45DC}"/>
    <cellStyle name="40% - Accent6 3" xfId="94" xr:uid="{00000000-0005-0000-0000-000032070000}"/>
    <cellStyle name="40% - Accent6 3 10" xfId="27450" xr:uid="{C94AD041-4543-467C-8ED4-754CC11D3A8D}"/>
    <cellStyle name="40% - Accent6 3 11" xfId="19003" xr:uid="{C8CEA3FD-1DA4-4F29-A867-1E13DD8E3671}"/>
    <cellStyle name="40% - Accent6 3 12" xfId="9706" xr:uid="{59C690F7-FB1C-44E9-9B9E-2A878A727453}"/>
    <cellStyle name="40% - Accent6 3 2" xfId="95" xr:uid="{00000000-0005-0000-0000-000033070000}"/>
    <cellStyle name="40% - Accent6 3 2 10" xfId="19004" xr:uid="{FC1BD957-BF64-4103-93B4-DB05DFE7838B}"/>
    <cellStyle name="40% - Accent6 3 2 11" xfId="9707" xr:uid="{4327BB9C-2834-4CF4-A2C6-BD790F73CBEC}"/>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42675" xr:uid="{CB450922-F096-409F-9CDF-4C4A262152A1}"/>
    <cellStyle name="40% - Accent6 3 2 2 2 2 3" xfId="34228" xr:uid="{5FEB6E98-5420-4342-B8BC-C7AEBA4990CD}"/>
    <cellStyle name="40% - Accent6 3 2 2 2 2 4" xfId="25780" xr:uid="{7127828D-3B62-450D-A112-0A9B247E6A2B}"/>
    <cellStyle name="40% - Accent6 3 2 2 2 2 5" xfId="16483" xr:uid="{EE47DFB2-0BAA-4580-BA33-AD50C6C3442C}"/>
    <cellStyle name="40% - Accent6 3 2 2 2 3" xfId="38458" xr:uid="{CA8AA80C-0E9C-4838-A571-A8DDCD13FD97}"/>
    <cellStyle name="40% - Accent6 3 2 2 2 4" xfId="30010" xr:uid="{668B5646-6027-451C-8E39-F4D4716EA781}"/>
    <cellStyle name="40% - Accent6 3 2 2 2 5" xfId="21563" xr:uid="{47807A4B-BA4C-4835-B2B3-3A8BD0ABCD0A}"/>
    <cellStyle name="40% - Accent6 3 2 2 2 6" xfId="12266" xr:uid="{726BC0A6-431A-42C4-AEFB-9C747B48C702}"/>
    <cellStyle name="40% - Accent6 3 2 2 3" xfId="5012" xr:uid="{00000000-0005-0000-0000-000037070000}"/>
    <cellStyle name="40% - Accent6 3 2 2 3 2" xfId="40530" xr:uid="{B4E11815-4BD8-416B-8A13-3AB2B741E2DD}"/>
    <cellStyle name="40% - Accent6 3 2 2 3 3" xfId="32083" xr:uid="{CF13E163-2983-42FF-B456-C66F4DED7788}"/>
    <cellStyle name="40% - Accent6 3 2 2 3 4" xfId="23635" xr:uid="{B8931A90-C472-4FAD-9E78-6D248EC1A7BE}"/>
    <cellStyle name="40% - Accent6 3 2 2 3 5" xfId="14338" xr:uid="{CF28E983-6003-4898-9B94-4B96998BD290}"/>
    <cellStyle name="40% - Accent6 3 2 2 4" xfId="9504" xr:uid="{23E46585-FD8F-4BA3-8B65-284D6884E4FD}"/>
    <cellStyle name="40% - Accent6 3 2 2 4 2" xfId="36313" xr:uid="{9D214F40-BE85-4D15-9176-D0995E501D87}"/>
    <cellStyle name="40% - Accent6 3 2 2 4 3" xfId="18817" xr:uid="{16EFF908-6082-4BEB-A62A-0E8B7D6635D2}"/>
    <cellStyle name="40% - Accent6 3 2 2 5" xfId="27865" xr:uid="{64035D13-CF5F-4604-BCE5-E07F558281C7}"/>
    <cellStyle name="40% - Accent6 3 2 2 6" xfId="19418" xr:uid="{633A4FF7-A5BA-4BFD-8E62-706136A46763}"/>
    <cellStyle name="40% - Accent6 3 2 2 7" xfId="10121" xr:uid="{7ECE9AB6-2755-41C3-8BAD-9A4922F84F39}"/>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43088" xr:uid="{676CABD9-DB50-418A-B82F-9BB55EE031F7}"/>
    <cellStyle name="40% - Accent6 3 2 3 2 2 3" xfId="34641" xr:uid="{59B2FC76-E84C-46FE-BCFD-602055FFB540}"/>
    <cellStyle name="40% - Accent6 3 2 3 2 2 4" xfId="26193" xr:uid="{DC77718F-7D26-44F2-B9C3-6692A6ABB0F5}"/>
    <cellStyle name="40% - Accent6 3 2 3 2 2 5" xfId="16896" xr:uid="{51AE1871-B787-44CA-8778-BF72D06106E1}"/>
    <cellStyle name="40% - Accent6 3 2 3 2 3" xfId="38871" xr:uid="{8A2A36FC-6D51-4709-94DE-02CA0D7AD86D}"/>
    <cellStyle name="40% - Accent6 3 2 3 2 4" xfId="30423" xr:uid="{2B89F2C9-7C61-4191-86C7-08A651E61D4D}"/>
    <cellStyle name="40% - Accent6 3 2 3 2 5" xfId="21976" xr:uid="{140E189A-B8C2-4734-9F75-F733A3A42046}"/>
    <cellStyle name="40% - Accent6 3 2 3 2 6" xfId="12679" xr:uid="{6D27B0D5-4AED-427B-A874-966DD3C0F05E}"/>
    <cellStyle name="40% - Accent6 3 2 3 3" xfId="5425" xr:uid="{00000000-0005-0000-0000-00003B070000}"/>
    <cellStyle name="40% - Accent6 3 2 3 3 2" xfId="40943" xr:uid="{730BBE3B-A681-43CC-B960-29616A30C976}"/>
    <cellStyle name="40% - Accent6 3 2 3 3 3" xfId="32496" xr:uid="{C1E99EE7-5198-4CF0-9FD9-BCCE9ADBE45B}"/>
    <cellStyle name="40% - Accent6 3 2 3 3 4" xfId="24048" xr:uid="{00C667DC-C075-4B59-85FC-6194FD6C017E}"/>
    <cellStyle name="40% - Accent6 3 2 3 3 5" xfId="14751" xr:uid="{61F0D0ED-2177-41C8-9711-4CE6818362DE}"/>
    <cellStyle name="40% - Accent6 3 2 3 4" xfId="36726" xr:uid="{44EA8F7E-6BAC-4FF6-9732-423B94D02753}"/>
    <cellStyle name="40% - Accent6 3 2 3 5" xfId="28278" xr:uid="{3470E9E7-FB62-46A9-A66E-C0EDE84E9D03}"/>
    <cellStyle name="40% - Accent6 3 2 3 6" xfId="19831" xr:uid="{90FEA460-CD0C-4A0B-8D43-A690DECAE57A}"/>
    <cellStyle name="40% - Accent6 3 2 3 7" xfId="10534" xr:uid="{5148EB1E-50A3-4D88-92AB-235A1A3EB084}"/>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43501" xr:uid="{1AB9E6CD-8141-4D56-ACDB-44679BF93390}"/>
    <cellStyle name="40% - Accent6 3 2 4 2 2 3" xfId="35054" xr:uid="{01178849-DD58-4955-8770-3EA6B3655556}"/>
    <cellStyle name="40% - Accent6 3 2 4 2 2 4" xfId="26606" xr:uid="{61E1AF41-1C16-405E-9DDF-C47664F24B0E}"/>
    <cellStyle name="40% - Accent6 3 2 4 2 2 5" xfId="17309" xr:uid="{A4A684A4-C88A-40B9-A377-8F7FFF52E405}"/>
    <cellStyle name="40% - Accent6 3 2 4 2 3" xfId="39284" xr:uid="{9FA1DDAE-3A87-4DAE-BA2B-5CE23EED4EEF}"/>
    <cellStyle name="40% - Accent6 3 2 4 2 4" xfId="30836" xr:uid="{B24C2B6B-5541-410C-935C-0BA6B922EE4C}"/>
    <cellStyle name="40% - Accent6 3 2 4 2 5" xfId="22389" xr:uid="{4CAF42C4-9EBB-4F70-87CD-578D65B4013A}"/>
    <cellStyle name="40% - Accent6 3 2 4 2 6" xfId="13092" xr:uid="{D1CB2B7A-8976-4AF5-BC87-E6E9CAD55DD4}"/>
    <cellStyle name="40% - Accent6 3 2 4 3" xfId="5838" xr:uid="{00000000-0005-0000-0000-00003F070000}"/>
    <cellStyle name="40% - Accent6 3 2 4 3 2" xfId="41356" xr:uid="{59AF4BFF-133B-4F79-8B14-D20BF4F6A7A1}"/>
    <cellStyle name="40% - Accent6 3 2 4 3 3" xfId="32909" xr:uid="{48EE5320-0596-40F1-9113-0AB63499DE6F}"/>
    <cellStyle name="40% - Accent6 3 2 4 3 4" xfId="24461" xr:uid="{6A9E9063-9927-4280-B438-DE0479FAAEA1}"/>
    <cellStyle name="40% - Accent6 3 2 4 3 5" xfId="15164" xr:uid="{2D47466A-C498-4664-870B-241456141904}"/>
    <cellStyle name="40% - Accent6 3 2 4 4" xfId="37139" xr:uid="{4659609C-C2C7-4E92-9EE7-6339D48EE2E3}"/>
    <cellStyle name="40% - Accent6 3 2 4 5" xfId="28691" xr:uid="{AF92E1A1-6356-4AB8-8D01-D981791C21A0}"/>
    <cellStyle name="40% - Accent6 3 2 4 6" xfId="20244" xr:uid="{FCA6B781-D8DE-40A9-82AC-358059453236}"/>
    <cellStyle name="40% - Accent6 3 2 4 7" xfId="10947" xr:uid="{638238F2-9A58-4BF4-BDE7-C60591B712C8}"/>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43914" xr:uid="{7A052FB8-C081-4969-B676-8569BFD1D6FF}"/>
    <cellStyle name="40% - Accent6 3 2 5 2 2 3" xfId="35467" xr:uid="{F53A0308-B343-4A83-BA5A-40EF6DB2E7A1}"/>
    <cellStyle name="40% - Accent6 3 2 5 2 2 4" xfId="27019" xr:uid="{3428C870-9CF0-4539-96AD-572955CC76C5}"/>
    <cellStyle name="40% - Accent6 3 2 5 2 2 5" xfId="17722" xr:uid="{99F45B91-9805-4ECE-A661-A707ACBAFC19}"/>
    <cellStyle name="40% - Accent6 3 2 5 2 3" xfId="39697" xr:uid="{F54BC756-6E44-4770-9058-4A9E4B714753}"/>
    <cellStyle name="40% - Accent6 3 2 5 2 4" xfId="31249" xr:uid="{C79E52F6-120E-420D-B3A8-5EDE547336EE}"/>
    <cellStyle name="40% - Accent6 3 2 5 2 5" xfId="22802" xr:uid="{C54693BA-BE2C-454F-8487-94C8CAF08385}"/>
    <cellStyle name="40% - Accent6 3 2 5 2 6" xfId="13505" xr:uid="{153A3EA2-70A9-4AD4-8099-369E9A4FD1ED}"/>
    <cellStyle name="40% - Accent6 3 2 5 3" xfId="6251" xr:uid="{00000000-0005-0000-0000-000043070000}"/>
    <cellStyle name="40% - Accent6 3 2 5 3 2" xfId="41769" xr:uid="{9218CF1F-5A09-43BE-ADDB-E4EC80622B4B}"/>
    <cellStyle name="40% - Accent6 3 2 5 3 3" xfId="33322" xr:uid="{90B698D0-8A0F-47B4-8FA0-69DB77E19D8F}"/>
    <cellStyle name="40% - Accent6 3 2 5 3 4" xfId="24874" xr:uid="{5D1EAF6D-D79A-4966-948A-02361B40647D}"/>
    <cellStyle name="40% - Accent6 3 2 5 3 5" xfId="15577" xr:uid="{97BDF909-5904-4F63-B724-D96DB7C2D0B8}"/>
    <cellStyle name="40% - Accent6 3 2 5 4" xfId="37552" xr:uid="{148346D2-1C89-4E7A-8DA6-5564F33063FD}"/>
    <cellStyle name="40% - Accent6 3 2 5 5" xfId="29104" xr:uid="{FC7FD6CD-AB4B-4E17-891F-3D9BC6B1CE92}"/>
    <cellStyle name="40% - Accent6 3 2 5 6" xfId="20657" xr:uid="{8ED241DA-2516-433E-A851-4DBCCBC1CDF1}"/>
    <cellStyle name="40% - Accent6 3 2 5 7" xfId="11360" xr:uid="{36E473AD-E32C-4204-91DF-EB0F21018D42}"/>
    <cellStyle name="40% - Accent6 3 2 6" xfId="2358" xr:uid="{00000000-0005-0000-0000-000044070000}"/>
    <cellStyle name="40% - Accent6 3 2 6 2" xfId="6664" xr:uid="{00000000-0005-0000-0000-000045070000}"/>
    <cellStyle name="40% - Accent6 3 2 6 2 2" xfId="42182" xr:uid="{AB4AB1CC-E328-49B3-B42A-527E7F1CBD9A}"/>
    <cellStyle name="40% - Accent6 3 2 6 2 3" xfId="33735" xr:uid="{5F6AC3A4-DC1D-4B51-9F50-EA10C3CA3D14}"/>
    <cellStyle name="40% - Accent6 3 2 6 2 4" xfId="25287" xr:uid="{387AE240-81A4-4AC6-B1E2-8D64810EAC40}"/>
    <cellStyle name="40% - Accent6 3 2 6 2 5" xfId="15990" xr:uid="{00AE1213-7B1D-4644-AB06-67FA6F1630D4}"/>
    <cellStyle name="40% - Accent6 3 2 6 3" xfId="37965" xr:uid="{560F2F14-796E-4441-B748-56A4B41E2564}"/>
    <cellStyle name="40% - Accent6 3 2 6 4" xfId="29517" xr:uid="{DD950978-E6A3-4309-AE72-EDAFDC2E8A77}"/>
    <cellStyle name="40% - Accent6 3 2 6 5" xfId="21070" xr:uid="{8BA5D01A-9B1F-4051-91EA-1674414D7BD0}"/>
    <cellStyle name="40% - Accent6 3 2 6 6" xfId="11773" xr:uid="{C75A0220-1F2C-455A-9125-87A37BA35828}"/>
    <cellStyle name="40% - Accent6 3 2 7" xfId="4598" xr:uid="{00000000-0005-0000-0000-000046070000}"/>
    <cellStyle name="40% - Accent6 3 2 7 2" xfId="40116" xr:uid="{CAE0ABDB-A836-45BD-A126-2D21EC009D7E}"/>
    <cellStyle name="40% - Accent6 3 2 7 3" xfId="31669" xr:uid="{C663C0BA-6D25-49EA-9B3E-6270462BB626}"/>
    <cellStyle name="40% - Accent6 3 2 7 4" xfId="23221" xr:uid="{D7BE6651-A70B-48D1-956B-0F4B83D4AB87}"/>
    <cellStyle name="40% - Accent6 3 2 7 5" xfId="13924" xr:uid="{99D8B953-E190-4890-891F-702BB36DF265}"/>
    <cellStyle name="40% - Accent6 3 2 8" xfId="9079" xr:uid="{7FA93E2E-699F-4676-8533-A3CC5F80D807}"/>
    <cellStyle name="40% - Accent6 3 2 8 2" xfId="35899" xr:uid="{3213EB49-4E24-4FDF-905C-7728342DBF4B}"/>
    <cellStyle name="40% - Accent6 3 2 8 3" xfId="18402" xr:uid="{303B7024-DB93-4EB7-B6DB-1E4886A509EA}"/>
    <cellStyle name="40% - Accent6 3 2 9" xfId="27451" xr:uid="{DE1D560F-40DB-4D36-BBB4-F610927F6E7D}"/>
    <cellStyle name="40% - Accent6 3 3" xfId="663" xr:uid="{00000000-0005-0000-0000-000047070000}"/>
    <cellStyle name="40% - Accent6 3 3 2" xfId="2934" xr:uid="{00000000-0005-0000-0000-000048070000}"/>
    <cellStyle name="40% - Accent6 3 3 2 2" xfId="7156" xr:uid="{00000000-0005-0000-0000-000049070000}"/>
    <cellStyle name="40% - Accent6 3 3 2 2 2" xfId="42674" xr:uid="{425542A1-E34E-4264-BC78-E2D5ED705FAF}"/>
    <cellStyle name="40% - Accent6 3 3 2 2 3" xfId="34227" xr:uid="{9F51540F-BECC-4B8C-A9AB-BBED5083AFA2}"/>
    <cellStyle name="40% - Accent6 3 3 2 2 4" xfId="25779" xr:uid="{66FAD04C-BB98-4E18-98BD-C3C59049C203}"/>
    <cellStyle name="40% - Accent6 3 3 2 2 5" xfId="16482" xr:uid="{218A1032-CDEC-4C54-BB33-ACA702DE2BE0}"/>
    <cellStyle name="40% - Accent6 3 3 2 3" xfId="38457" xr:uid="{C38A6791-87CA-4C2D-84DB-2F348E0905AF}"/>
    <cellStyle name="40% - Accent6 3 3 2 4" xfId="30009" xr:uid="{0B7ADE8F-3EF7-4311-98A5-0919DC6DFE46}"/>
    <cellStyle name="40% - Accent6 3 3 2 5" xfId="21562" xr:uid="{A091EE42-8D37-4B33-8962-7BEF81ADBE16}"/>
    <cellStyle name="40% - Accent6 3 3 2 6" xfId="12265" xr:uid="{B8E2C9C4-939D-488B-AE6C-DD332085A4D7}"/>
    <cellStyle name="40% - Accent6 3 3 3" xfId="5011" xr:uid="{00000000-0005-0000-0000-00004A070000}"/>
    <cellStyle name="40% - Accent6 3 3 3 2" xfId="40529" xr:uid="{A477C4A6-C718-4AA7-A3A0-D794F13AE57E}"/>
    <cellStyle name="40% - Accent6 3 3 3 3" xfId="32082" xr:uid="{096DC9F5-CDFF-4E53-9FE3-90202964A256}"/>
    <cellStyle name="40% - Accent6 3 3 3 4" xfId="23634" xr:uid="{5D49F07B-59A0-4825-AE6E-EB8A3BC3974D}"/>
    <cellStyle name="40% - Accent6 3 3 3 5" xfId="14337" xr:uid="{D0EE7C3B-AADB-461B-B320-4ECE4191253F}"/>
    <cellStyle name="40% - Accent6 3 3 4" xfId="9297" xr:uid="{1226E28F-09E7-4580-8D19-7F14AC1CB4B3}"/>
    <cellStyle name="40% - Accent6 3 3 4 2" xfId="36312" xr:uid="{1C92537E-5E3E-4703-8F23-F4C8A2BA6A27}"/>
    <cellStyle name="40% - Accent6 3 3 4 3" xfId="18610" xr:uid="{243AEE5B-1828-46AB-804B-ABE376CF4E33}"/>
    <cellStyle name="40% - Accent6 3 3 5" xfId="27864" xr:uid="{EF80DBFC-9BDD-42BE-AF07-C11ADCE325BE}"/>
    <cellStyle name="40% - Accent6 3 3 6" xfId="19417" xr:uid="{3FDCEE5C-309A-4DA2-A3A4-F8AF67C49365}"/>
    <cellStyle name="40% - Accent6 3 3 7" xfId="10120" xr:uid="{E22CB545-8A6E-49D6-99C3-7EE4DE04F286}"/>
    <cellStyle name="40% - Accent6 3 4" xfId="1116" xr:uid="{00000000-0005-0000-0000-00004B070000}"/>
    <cellStyle name="40% - Accent6 3 4 2" xfId="3347" xr:uid="{00000000-0005-0000-0000-00004C070000}"/>
    <cellStyle name="40% - Accent6 3 4 2 2" xfId="7569" xr:uid="{00000000-0005-0000-0000-00004D070000}"/>
    <cellStyle name="40% - Accent6 3 4 2 2 2" xfId="43087" xr:uid="{F012491C-2794-4370-9930-7A56D0CD409C}"/>
    <cellStyle name="40% - Accent6 3 4 2 2 3" xfId="34640" xr:uid="{3F676186-17B2-48DC-99FA-C7DB3A533007}"/>
    <cellStyle name="40% - Accent6 3 4 2 2 4" xfId="26192" xr:uid="{28B46827-C70F-458A-8521-7BA2CFCD457E}"/>
    <cellStyle name="40% - Accent6 3 4 2 2 5" xfId="16895" xr:uid="{FC694070-BCE3-4F52-BED2-95A45A3CB003}"/>
    <cellStyle name="40% - Accent6 3 4 2 3" xfId="38870" xr:uid="{27014CBE-CA4D-457A-AFD8-662A22990529}"/>
    <cellStyle name="40% - Accent6 3 4 2 4" xfId="30422" xr:uid="{8E2141E4-5A9F-4F48-9055-19B7C95080CE}"/>
    <cellStyle name="40% - Accent6 3 4 2 5" xfId="21975" xr:uid="{7E5EDBC4-8624-4404-BC5E-7BF74D104546}"/>
    <cellStyle name="40% - Accent6 3 4 2 6" xfId="12678" xr:uid="{84C5A9E9-648A-479B-9F9E-75C2870EDFFF}"/>
    <cellStyle name="40% - Accent6 3 4 3" xfId="5424" xr:uid="{00000000-0005-0000-0000-00004E070000}"/>
    <cellStyle name="40% - Accent6 3 4 3 2" xfId="40942" xr:uid="{8A773B9E-CC8B-4B37-AD5C-C7E4797BBA1B}"/>
    <cellStyle name="40% - Accent6 3 4 3 3" xfId="32495" xr:uid="{7BF4D264-38F7-416C-A7AD-2B841FBECA1F}"/>
    <cellStyle name="40% - Accent6 3 4 3 4" xfId="24047" xr:uid="{AE5C8BE9-838B-401E-B637-232D1132E0BB}"/>
    <cellStyle name="40% - Accent6 3 4 3 5" xfId="14750" xr:uid="{AE98D61F-9216-41AC-AA51-F96B47B7A884}"/>
    <cellStyle name="40% - Accent6 3 4 4" xfId="36725" xr:uid="{0DCF11B2-E674-44D7-911C-9397AB9C78FE}"/>
    <cellStyle name="40% - Accent6 3 4 5" xfId="28277" xr:uid="{A9A6BE90-BE50-4E03-B750-3CB779E07C8D}"/>
    <cellStyle name="40% - Accent6 3 4 6" xfId="19830" xr:uid="{0F3B8017-228E-4DBC-AE2E-87FF7B2904A1}"/>
    <cellStyle name="40% - Accent6 3 4 7" xfId="10533" xr:uid="{A49D9A63-9B44-425B-B95A-7C0B8697466F}"/>
    <cellStyle name="40% - Accent6 3 5" xfId="1530" xr:uid="{00000000-0005-0000-0000-00004F070000}"/>
    <cellStyle name="40% - Accent6 3 5 2" xfId="3760" xr:uid="{00000000-0005-0000-0000-000050070000}"/>
    <cellStyle name="40% - Accent6 3 5 2 2" xfId="7982" xr:uid="{00000000-0005-0000-0000-000051070000}"/>
    <cellStyle name="40% - Accent6 3 5 2 2 2" xfId="43500" xr:uid="{8FCC112B-7C4D-4B6E-B646-7698B472E5D3}"/>
    <cellStyle name="40% - Accent6 3 5 2 2 3" xfId="35053" xr:uid="{DA6D9DA1-E108-4D39-8EC5-45F8551721C2}"/>
    <cellStyle name="40% - Accent6 3 5 2 2 4" xfId="26605" xr:uid="{DCE2470C-6339-4405-8650-6A2D08B510ED}"/>
    <cellStyle name="40% - Accent6 3 5 2 2 5" xfId="17308" xr:uid="{A18E7CA0-ABAB-4F52-BDC1-3E60861846F9}"/>
    <cellStyle name="40% - Accent6 3 5 2 3" xfId="39283" xr:uid="{6FA7FED1-67C4-4EAB-814C-4376A15FC311}"/>
    <cellStyle name="40% - Accent6 3 5 2 4" xfId="30835" xr:uid="{257A3CE8-7373-4B1B-A7CE-DB5738CED620}"/>
    <cellStyle name="40% - Accent6 3 5 2 5" xfId="22388" xr:uid="{5C956AD4-07AF-438C-ADA6-ED62AA6AA921}"/>
    <cellStyle name="40% - Accent6 3 5 2 6" xfId="13091" xr:uid="{131AA0E0-1756-4568-9D59-990AC823F22E}"/>
    <cellStyle name="40% - Accent6 3 5 3" xfId="5837" xr:uid="{00000000-0005-0000-0000-000052070000}"/>
    <cellStyle name="40% - Accent6 3 5 3 2" xfId="41355" xr:uid="{4E576D6C-6E0B-435F-8FF3-19B8DF2A4E63}"/>
    <cellStyle name="40% - Accent6 3 5 3 3" xfId="32908" xr:uid="{C0455BC4-EA97-46B1-9BD3-E6E3150BF128}"/>
    <cellStyle name="40% - Accent6 3 5 3 4" xfId="24460" xr:uid="{292B2915-B53F-4C8A-9912-554ED76122FE}"/>
    <cellStyle name="40% - Accent6 3 5 3 5" xfId="15163" xr:uid="{FABA3A8E-BF15-4422-8751-2EA1CFA7A887}"/>
    <cellStyle name="40% - Accent6 3 5 4" xfId="37138" xr:uid="{C93080AD-4C0B-4AF9-A6C4-7C6568C59767}"/>
    <cellStyle name="40% - Accent6 3 5 5" xfId="28690" xr:uid="{3532DD56-C885-4F8C-9E5E-8256AD114588}"/>
    <cellStyle name="40% - Accent6 3 5 6" xfId="20243" xr:uid="{CD1496A2-E053-431D-9384-249D9FB7D3F1}"/>
    <cellStyle name="40% - Accent6 3 5 7" xfId="10946" xr:uid="{BEA6776E-3C4C-456B-8F30-7E468B2A9BBD}"/>
    <cellStyle name="40% - Accent6 3 6" xfId="1944" xr:uid="{00000000-0005-0000-0000-000053070000}"/>
    <cellStyle name="40% - Accent6 3 6 2" xfId="4173" xr:uid="{00000000-0005-0000-0000-000054070000}"/>
    <cellStyle name="40% - Accent6 3 6 2 2" xfId="8395" xr:uid="{00000000-0005-0000-0000-000055070000}"/>
    <cellStyle name="40% - Accent6 3 6 2 2 2" xfId="43913" xr:uid="{B577C436-9DF5-4927-B6E9-F78F13CB9668}"/>
    <cellStyle name="40% - Accent6 3 6 2 2 3" xfId="35466" xr:uid="{CE6CC588-6E6D-4CE5-98DC-B53525AF7588}"/>
    <cellStyle name="40% - Accent6 3 6 2 2 4" xfId="27018" xr:uid="{FD910905-C758-431B-880F-5D26E88F3920}"/>
    <cellStyle name="40% - Accent6 3 6 2 2 5" xfId="17721" xr:uid="{609E0149-BAD7-4B2C-A8D4-A33E74A678D4}"/>
    <cellStyle name="40% - Accent6 3 6 2 3" xfId="39696" xr:uid="{225CCA5B-EFE5-4058-808E-AE4D9CF79E5E}"/>
    <cellStyle name="40% - Accent6 3 6 2 4" xfId="31248" xr:uid="{EC3622F6-BE30-4262-A3A9-B4C67E733BBA}"/>
    <cellStyle name="40% - Accent6 3 6 2 5" xfId="22801" xr:uid="{6ACC5DFA-5E77-4E01-B8DB-DEC7000FD46A}"/>
    <cellStyle name="40% - Accent6 3 6 2 6" xfId="13504" xr:uid="{94D5F65F-4E65-44D4-BECF-EB9A15D299D6}"/>
    <cellStyle name="40% - Accent6 3 6 3" xfId="6250" xr:uid="{00000000-0005-0000-0000-000056070000}"/>
    <cellStyle name="40% - Accent6 3 6 3 2" xfId="41768" xr:uid="{7CCEEEFC-3593-4207-AAEC-E7EA231F7A27}"/>
    <cellStyle name="40% - Accent6 3 6 3 3" xfId="33321" xr:uid="{8025054F-9886-43F6-A98B-B6F5AD870BAB}"/>
    <cellStyle name="40% - Accent6 3 6 3 4" xfId="24873" xr:uid="{7C3464D7-1BE5-481B-A531-6B58F800E784}"/>
    <cellStyle name="40% - Accent6 3 6 3 5" xfId="15576" xr:uid="{CF41CAB2-0013-4ED9-B260-73470BF6882A}"/>
    <cellStyle name="40% - Accent6 3 6 4" xfId="37551" xr:uid="{0EDC77E4-CFFA-4708-93FB-09F1FB3A3687}"/>
    <cellStyle name="40% - Accent6 3 6 5" xfId="29103" xr:uid="{F9EB2B22-A671-43FA-94BC-975F958A20ED}"/>
    <cellStyle name="40% - Accent6 3 6 6" xfId="20656" xr:uid="{CBCCAD10-B262-46A7-903E-E052F250CFF5}"/>
    <cellStyle name="40% - Accent6 3 6 7" xfId="11359" xr:uid="{6C35E17D-26D8-4A4A-AED4-84CFE9502FD5}"/>
    <cellStyle name="40% - Accent6 3 7" xfId="2357" xr:uid="{00000000-0005-0000-0000-000057070000}"/>
    <cellStyle name="40% - Accent6 3 7 2" xfId="6663" xr:uid="{00000000-0005-0000-0000-000058070000}"/>
    <cellStyle name="40% - Accent6 3 7 2 2" xfId="42181" xr:uid="{5F263F05-2FE9-429D-9B99-1F19BD6E8258}"/>
    <cellStyle name="40% - Accent6 3 7 2 3" xfId="33734" xr:uid="{B9796CC2-0856-4FC8-933B-098EA52D2027}"/>
    <cellStyle name="40% - Accent6 3 7 2 4" xfId="25286" xr:uid="{70998A6D-83FF-4575-B416-D93A9550DCED}"/>
    <cellStyle name="40% - Accent6 3 7 2 5" xfId="15989" xr:uid="{2A81876D-5D5B-49DE-A653-9190D25CF14E}"/>
    <cellStyle name="40% - Accent6 3 7 3" xfId="37964" xr:uid="{F42B6300-54A5-4AC9-9090-30E8D038AAA1}"/>
    <cellStyle name="40% - Accent6 3 7 4" xfId="29516" xr:uid="{8F834F2F-91F4-48B8-A8A2-B54AD24A4D02}"/>
    <cellStyle name="40% - Accent6 3 7 5" xfId="21069" xr:uid="{C8408524-0DA6-4570-B192-431C5D6F4886}"/>
    <cellStyle name="40% - Accent6 3 7 6" xfId="11772" xr:uid="{A83D9D13-20B3-4CB1-AD40-28CFB3D628BD}"/>
    <cellStyle name="40% - Accent6 3 8" xfId="4597" xr:uid="{00000000-0005-0000-0000-000059070000}"/>
    <cellStyle name="40% - Accent6 3 8 2" xfId="40115" xr:uid="{E19B763E-0DB5-4D6A-9F7C-1E47AF0F4A94}"/>
    <cellStyle name="40% - Accent6 3 8 3" xfId="31668" xr:uid="{4E194B7D-25E2-4596-ABDE-5C133C03F3CF}"/>
    <cellStyle name="40% - Accent6 3 8 4" xfId="23220" xr:uid="{5386D7D6-5261-434D-B2F9-5E1830F2DB47}"/>
    <cellStyle name="40% - Accent6 3 8 5" xfId="13923" xr:uid="{7F2E2B30-3078-4684-86F3-2123EA65C675}"/>
    <cellStyle name="40% - Accent6 3 9" xfId="8872" xr:uid="{E018AF0F-504E-4DED-BF70-CC97997D74E9}"/>
    <cellStyle name="40% - Accent6 3 9 2" xfId="35898" xr:uid="{8638D669-6255-4353-A374-869E48E1C9E9}"/>
    <cellStyle name="40% - Accent6 3 9 3" xfId="18195" xr:uid="{8AF014A5-EFDB-4E7E-8EDF-9B8410F54363}"/>
    <cellStyle name="40% - Accent6 4" xfId="96" xr:uid="{00000000-0005-0000-0000-00005A070000}"/>
    <cellStyle name="40% - Accent6 4 10" xfId="19005" xr:uid="{A0FB7DDC-BBF2-4B07-82DC-742020F044A1}"/>
    <cellStyle name="40% - Accent6 4 11" xfId="9708" xr:uid="{D2672EA0-4D43-422C-BE05-DBA8100BC741}"/>
    <cellStyle name="40% - Accent6 4 2" xfId="665" xr:uid="{00000000-0005-0000-0000-00005B070000}"/>
    <cellStyle name="40% - Accent6 4 2 2" xfId="2936" xr:uid="{00000000-0005-0000-0000-00005C070000}"/>
    <cellStyle name="40% - Accent6 4 2 2 2" xfId="7158" xr:uid="{00000000-0005-0000-0000-00005D070000}"/>
    <cellStyle name="40% - Accent6 4 2 2 2 2" xfId="42676" xr:uid="{FACE92EB-667C-4652-9CF3-0A123451EBA3}"/>
    <cellStyle name="40% - Accent6 4 2 2 2 3" xfId="34229" xr:uid="{48686A3C-7203-4B89-9CD2-AEC6A2F48610}"/>
    <cellStyle name="40% - Accent6 4 2 2 2 4" xfId="25781" xr:uid="{91F9ACE9-D4FB-43F8-993A-290E68619F57}"/>
    <cellStyle name="40% - Accent6 4 2 2 2 5" xfId="16484" xr:uid="{4FBC2C08-534D-43B1-8E7E-3FC1D5940AF3}"/>
    <cellStyle name="40% - Accent6 4 2 2 3" xfId="38459" xr:uid="{6CC79265-A11D-43B9-83C0-D211F64F17A6}"/>
    <cellStyle name="40% - Accent6 4 2 2 4" xfId="30011" xr:uid="{DFE84686-9E6B-4B1A-ABD5-C54AADF4A48F}"/>
    <cellStyle name="40% - Accent6 4 2 2 5" xfId="21564" xr:uid="{15892175-421D-4397-9089-63A7E52BDE3A}"/>
    <cellStyle name="40% - Accent6 4 2 2 6" xfId="12267" xr:uid="{8C5B3971-4B70-47A7-9028-F6F440A1B0FF}"/>
    <cellStyle name="40% - Accent6 4 2 3" xfId="5013" xr:uid="{00000000-0005-0000-0000-00005E070000}"/>
    <cellStyle name="40% - Accent6 4 2 3 2" xfId="40531" xr:uid="{0B3FBD22-A9D6-4735-B8FD-07C042520782}"/>
    <cellStyle name="40% - Accent6 4 2 3 3" xfId="32084" xr:uid="{2CB41037-D46B-4A11-95BE-B9DDE27E0B2D}"/>
    <cellStyle name="40% - Accent6 4 2 3 4" xfId="23636" xr:uid="{F630A8C1-44BC-4D8D-9DB4-E549C779B278}"/>
    <cellStyle name="40% - Accent6 4 2 3 5" xfId="14339" xr:uid="{A4A25FED-06CD-4639-99A2-5936C218BDEF}"/>
    <cellStyle name="40% - Accent6 4 2 4" xfId="9383" xr:uid="{07C7426F-B517-4815-A0BF-2BAE02B26B53}"/>
    <cellStyle name="40% - Accent6 4 2 4 2" xfId="36314" xr:uid="{8637201C-B4AF-42E2-AC49-4EC0CD65510C}"/>
    <cellStyle name="40% - Accent6 4 2 4 3" xfId="18696" xr:uid="{E45E3317-4AAD-40E5-898A-307EB1303072}"/>
    <cellStyle name="40% - Accent6 4 2 5" xfId="27866" xr:uid="{5DD0AA40-7EE7-4EDE-9625-7C8343EE617E}"/>
    <cellStyle name="40% - Accent6 4 2 6" xfId="19419" xr:uid="{CC088C03-29DE-4A6D-89C8-CB9379EE4CE8}"/>
    <cellStyle name="40% - Accent6 4 2 7" xfId="10122" xr:uid="{E50B1C50-C8AB-4F7A-BAA7-DB57BF0ABCBE}"/>
    <cellStyle name="40% - Accent6 4 3" xfId="1118" xr:uid="{00000000-0005-0000-0000-00005F070000}"/>
    <cellStyle name="40% - Accent6 4 3 2" xfId="3349" xr:uid="{00000000-0005-0000-0000-000060070000}"/>
    <cellStyle name="40% - Accent6 4 3 2 2" xfId="7571" xr:uid="{00000000-0005-0000-0000-000061070000}"/>
    <cellStyle name="40% - Accent6 4 3 2 2 2" xfId="43089" xr:uid="{C61EA7EF-5496-431C-81BE-4B9E77F47C90}"/>
    <cellStyle name="40% - Accent6 4 3 2 2 3" xfId="34642" xr:uid="{F10B1E2F-9A3F-422A-9D48-F36DD1FE3B74}"/>
    <cellStyle name="40% - Accent6 4 3 2 2 4" xfId="26194" xr:uid="{71AA6A9B-3012-40F6-850F-35E6EABBF9FC}"/>
    <cellStyle name="40% - Accent6 4 3 2 2 5" xfId="16897" xr:uid="{B265523A-2F66-43ED-ADD0-293DE8AE161F}"/>
    <cellStyle name="40% - Accent6 4 3 2 3" xfId="38872" xr:uid="{7DDA4490-8292-4278-9FCD-EB73F13721D8}"/>
    <cellStyle name="40% - Accent6 4 3 2 4" xfId="30424" xr:uid="{0A2C3593-A6D8-4443-99CF-B0D84ABB95BD}"/>
    <cellStyle name="40% - Accent6 4 3 2 5" xfId="21977" xr:uid="{55F37C7A-8D23-4AA4-B009-BCC25BEF1861}"/>
    <cellStyle name="40% - Accent6 4 3 2 6" xfId="12680" xr:uid="{30245093-0B7B-4D9E-8A76-036640DECAC0}"/>
    <cellStyle name="40% - Accent6 4 3 3" xfId="5426" xr:uid="{00000000-0005-0000-0000-000062070000}"/>
    <cellStyle name="40% - Accent6 4 3 3 2" xfId="40944" xr:uid="{D19F5BD5-5B1F-4F3C-85E7-F4769A1F6031}"/>
    <cellStyle name="40% - Accent6 4 3 3 3" xfId="32497" xr:uid="{9C082031-0E3F-40FC-9F9B-15D06B1CA23F}"/>
    <cellStyle name="40% - Accent6 4 3 3 4" xfId="24049" xr:uid="{BD96EA59-1D02-4BD4-8572-A030E53C88C6}"/>
    <cellStyle name="40% - Accent6 4 3 3 5" xfId="14752" xr:uid="{F395AD5A-5893-4B0F-B5DC-1A76761BE6D3}"/>
    <cellStyle name="40% - Accent6 4 3 4" xfId="36727" xr:uid="{D473CF6E-E6FC-4587-A40E-C208F69ED04C}"/>
    <cellStyle name="40% - Accent6 4 3 5" xfId="28279" xr:uid="{A738ED95-3CF1-4EF0-93D8-6FE7265A614B}"/>
    <cellStyle name="40% - Accent6 4 3 6" xfId="19832" xr:uid="{1C98188A-6C7E-44C9-9451-79E8B057A3EE}"/>
    <cellStyle name="40% - Accent6 4 3 7" xfId="10535" xr:uid="{6C369ED2-F678-4DAB-9E6E-1EE80ED2793D}"/>
    <cellStyle name="40% - Accent6 4 4" xfId="1532" xr:uid="{00000000-0005-0000-0000-000063070000}"/>
    <cellStyle name="40% - Accent6 4 4 2" xfId="3762" xr:uid="{00000000-0005-0000-0000-000064070000}"/>
    <cellStyle name="40% - Accent6 4 4 2 2" xfId="7984" xr:uid="{00000000-0005-0000-0000-000065070000}"/>
    <cellStyle name="40% - Accent6 4 4 2 2 2" xfId="43502" xr:uid="{27277548-60AF-4A2F-86CB-61E681DB3B5D}"/>
    <cellStyle name="40% - Accent6 4 4 2 2 3" xfId="35055" xr:uid="{A30B8743-6EDD-4AF9-8F7D-07DD88CD6B74}"/>
    <cellStyle name="40% - Accent6 4 4 2 2 4" xfId="26607" xr:uid="{A936C9CA-D617-4C2B-993C-28FDCDDE1434}"/>
    <cellStyle name="40% - Accent6 4 4 2 2 5" xfId="17310" xr:uid="{76BEC3D5-0F3F-4916-8ADD-435B6EC8B65C}"/>
    <cellStyle name="40% - Accent6 4 4 2 3" xfId="39285" xr:uid="{E0B006A4-1496-4B46-BE07-F28579C7BEA5}"/>
    <cellStyle name="40% - Accent6 4 4 2 4" xfId="30837" xr:uid="{D18F44BD-219C-4508-B004-D05CE4499674}"/>
    <cellStyle name="40% - Accent6 4 4 2 5" xfId="22390" xr:uid="{C0020A62-88E5-411E-AB34-9079C8C3D21D}"/>
    <cellStyle name="40% - Accent6 4 4 2 6" xfId="13093" xr:uid="{7034351A-D5FB-4F48-B939-A92B33927536}"/>
    <cellStyle name="40% - Accent6 4 4 3" xfId="5839" xr:uid="{00000000-0005-0000-0000-000066070000}"/>
    <cellStyle name="40% - Accent6 4 4 3 2" xfId="41357" xr:uid="{605823D8-50A3-40DA-BEBE-47EB47340CF2}"/>
    <cellStyle name="40% - Accent6 4 4 3 3" xfId="32910" xr:uid="{8E2998B9-15F3-4A3B-883B-D7CE6D518DED}"/>
    <cellStyle name="40% - Accent6 4 4 3 4" xfId="24462" xr:uid="{D60B1D9F-CDCC-4CB1-B044-1192A3CD4846}"/>
    <cellStyle name="40% - Accent6 4 4 3 5" xfId="15165" xr:uid="{64BFCEDA-FC3D-4024-902D-B8A18AB3DFFE}"/>
    <cellStyle name="40% - Accent6 4 4 4" xfId="37140" xr:uid="{EF383EC3-CDB6-466A-88AA-8DB6AA992578}"/>
    <cellStyle name="40% - Accent6 4 4 5" xfId="28692" xr:uid="{AC8DF1C7-9E18-464E-8849-53DF3FE479C7}"/>
    <cellStyle name="40% - Accent6 4 4 6" xfId="20245" xr:uid="{65ED6C25-F5F1-4C34-86CD-66B770EF6380}"/>
    <cellStyle name="40% - Accent6 4 4 7" xfId="10948" xr:uid="{ECBDF94E-64DE-426C-8B63-165FFDA0DFDB}"/>
    <cellStyle name="40% - Accent6 4 5" xfId="1946" xr:uid="{00000000-0005-0000-0000-000067070000}"/>
    <cellStyle name="40% - Accent6 4 5 2" xfId="4175" xr:uid="{00000000-0005-0000-0000-000068070000}"/>
    <cellStyle name="40% - Accent6 4 5 2 2" xfId="8397" xr:uid="{00000000-0005-0000-0000-000069070000}"/>
    <cellStyle name="40% - Accent6 4 5 2 2 2" xfId="43915" xr:uid="{703BD250-6FA8-4F7E-9ACF-D62C993B33E4}"/>
    <cellStyle name="40% - Accent6 4 5 2 2 3" xfId="35468" xr:uid="{536928DA-6BF7-4513-B9E7-B426CBA43B0A}"/>
    <cellStyle name="40% - Accent6 4 5 2 2 4" xfId="27020" xr:uid="{846CBC89-2584-48EF-BD73-86666532A144}"/>
    <cellStyle name="40% - Accent6 4 5 2 2 5" xfId="17723" xr:uid="{539874CE-0EB9-41E4-888D-AD4B9DA62AFA}"/>
    <cellStyle name="40% - Accent6 4 5 2 3" xfId="39698" xr:uid="{F175ABC8-C16F-4605-980E-6EA54477DA36}"/>
    <cellStyle name="40% - Accent6 4 5 2 4" xfId="31250" xr:uid="{383D7466-1CCE-45FC-BB80-224026BA61E3}"/>
    <cellStyle name="40% - Accent6 4 5 2 5" xfId="22803" xr:uid="{1B1CC1EF-F56A-4B75-A02A-8C1DBE2C025A}"/>
    <cellStyle name="40% - Accent6 4 5 2 6" xfId="13506" xr:uid="{745FEBAF-2C05-48A4-8A83-A4EB39FFB93D}"/>
    <cellStyle name="40% - Accent6 4 5 3" xfId="6252" xr:uid="{00000000-0005-0000-0000-00006A070000}"/>
    <cellStyle name="40% - Accent6 4 5 3 2" xfId="41770" xr:uid="{587F998E-612F-4F77-8CED-ED1C0F44FAF2}"/>
    <cellStyle name="40% - Accent6 4 5 3 3" xfId="33323" xr:uid="{1A844405-1FB8-4AC7-8C77-9202F9415C83}"/>
    <cellStyle name="40% - Accent6 4 5 3 4" xfId="24875" xr:uid="{51F4C4D7-2F4B-4DCA-B770-7F26C7E05AD3}"/>
    <cellStyle name="40% - Accent6 4 5 3 5" xfId="15578" xr:uid="{7092E861-508A-4650-A5C6-222745565593}"/>
    <cellStyle name="40% - Accent6 4 5 4" xfId="37553" xr:uid="{3957287F-D226-4DEE-9433-EDEA262A4213}"/>
    <cellStyle name="40% - Accent6 4 5 5" xfId="29105" xr:uid="{930B21DF-16A5-48EC-8917-E757052D8E20}"/>
    <cellStyle name="40% - Accent6 4 5 6" xfId="20658" xr:uid="{A51CCBCC-B1CB-4669-90B4-7D74DD23C42A}"/>
    <cellStyle name="40% - Accent6 4 5 7" xfId="11361" xr:uid="{5A9FB6F0-0199-4105-8013-09D426D05320}"/>
    <cellStyle name="40% - Accent6 4 6" xfId="2359" xr:uid="{00000000-0005-0000-0000-00006B070000}"/>
    <cellStyle name="40% - Accent6 4 6 2" xfId="6665" xr:uid="{00000000-0005-0000-0000-00006C070000}"/>
    <cellStyle name="40% - Accent6 4 6 2 2" xfId="42183" xr:uid="{5C78A720-840B-43BD-9166-42270E9990E5}"/>
    <cellStyle name="40% - Accent6 4 6 2 3" xfId="33736" xr:uid="{5CB690B4-A567-4522-BF73-4C058A7F0853}"/>
    <cellStyle name="40% - Accent6 4 6 2 4" xfId="25288" xr:uid="{BF43289B-8696-4FA7-832F-24632AAAA50F}"/>
    <cellStyle name="40% - Accent6 4 6 2 5" xfId="15991" xr:uid="{C1AE8684-6E08-4A69-B479-091967835B9A}"/>
    <cellStyle name="40% - Accent6 4 6 3" xfId="37966" xr:uid="{17B9943C-F069-4118-8B56-9103681A905D}"/>
    <cellStyle name="40% - Accent6 4 6 4" xfId="29518" xr:uid="{756EB609-4013-4CBA-9CC4-CE0550778DAC}"/>
    <cellStyle name="40% - Accent6 4 6 5" xfId="21071" xr:uid="{FD72AD6A-02D1-4CA9-8C9E-4A0EFE49ADF7}"/>
    <cellStyle name="40% - Accent6 4 6 6" xfId="11774" xr:uid="{A7D7D2D8-721B-4791-BE69-4E3E6B895659}"/>
    <cellStyle name="40% - Accent6 4 7" xfId="4599" xr:uid="{00000000-0005-0000-0000-00006D070000}"/>
    <cellStyle name="40% - Accent6 4 7 2" xfId="40117" xr:uid="{0C15F927-2034-448F-B4E8-66A750B8E94E}"/>
    <cellStyle name="40% - Accent6 4 7 3" xfId="31670" xr:uid="{C36BA116-9F65-447D-8A59-AF224B0FBE72}"/>
    <cellStyle name="40% - Accent6 4 7 4" xfId="23222" xr:uid="{D2EE752C-6D13-4D8B-9C45-CFEB9703CDED}"/>
    <cellStyle name="40% - Accent6 4 7 5" xfId="13925" xr:uid="{7108FCE6-0DC4-4846-9BA8-4C7E52523AF3}"/>
    <cellStyle name="40% - Accent6 4 8" xfId="8958" xr:uid="{058203D5-6D6D-4106-8D68-93F66B236239}"/>
    <cellStyle name="40% - Accent6 4 8 2" xfId="35900" xr:uid="{7B08CD28-4097-4ECB-908E-B09FE967CB47}"/>
    <cellStyle name="40% - Accent6 4 8 3" xfId="18281" xr:uid="{858AAF8E-2C06-4350-BB3C-A598DC567496}"/>
    <cellStyle name="40% - Accent6 4 9" xfId="27452" xr:uid="{417CE3E0-A292-41C3-A541-E55E38FEC428}"/>
    <cellStyle name="40% - Accent6 5" xfId="658" xr:uid="{00000000-0005-0000-0000-00006E070000}"/>
    <cellStyle name="40% - Accent6 5 2" xfId="2929" xr:uid="{00000000-0005-0000-0000-00006F070000}"/>
    <cellStyle name="40% - Accent6 5 2 2" xfId="7151" xr:uid="{00000000-0005-0000-0000-000070070000}"/>
    <cellStyle name="40% - Accent6 5 2 2 2" xfId="42669" xr:uid="{CF0E78D5-F088-446D-BBDC-4D2F75CF7FF0}"/>
    <cellStyle name="40% - Accent6 5 2 2 3" xfId="34222" xr:uid="{1A0BC407-5256-4E0A-81E2-885D0AFEB34E}"/>
    <cellStyle name="40% - Accent6 5 2 2 4" xfId="25774" xr:uid="{85E8A8A2-1AC2-46D1-A708-0AB1D1EFBC1D}"/>
    <cellStyle name="40% - Accent6 5 2 2 5" xfId="16477" xr:uid="{C575C46F-3669-4D75-A259-10061BA8120D}"/>
    <cellStyle name="40% - Accent6 5 2 3" xfId="38452" xr:uid="{8E07CD2A-D7EB-4E6D-8F62-7BE68C73C6A0}"/>
    <cellStyle name="40% - Accent6 5 2 4" xfId="30004" xr:uid="{C644C5F5-5855-4D32-A1C1-1476AC44BB88}"/>
    <cellStyle name="40% - Accent6 5 2 5" xfId="21557" xr:uid="{C300F062-D241-425D-9C72-B113241087C2}"/>
    <cellStyle name="40% - Accent6 5 2 6" xfId="12260" xr:uid="{D7C3E1AF-3CD9-4FF1-AF5F-5C4EF7AE0300}"/>
    <cellStyle name="40% - Accent6 5 3" xfId="5006" xr:uid="{00000000-0005-0000-0000-000071070000}"/>
    <cellStyle name="40% - Accent6 5 3 2" xfId="40524" xr:uid="{A70D2262-D96B-4D4A-9D33-FAB1613A7E11}"/>
    <cellStyle name="40% - Accent6 5 3 3" xfId="32077" xr:uid="{118092BD-73D0-4638-A544-E35793A0A0C7}"/>
    <cellStyle name="40% - Accent6 5 3 4" xfId="23629" xr:uid="{F7944815-5B61-421A-B414-C4CF5F286776}"/>
    <cellStyle name="40% - Accent6 5 3 5" xfId="14332" xr:uid="{041EB347-5570-4304-942E-9B056354C39B}"/>
    <cellStyle name="40% - Accent6 5 4" xfId="9192" xr:uid="{19661A88-B46A-4EF9-A9F3-4BCF8E242108}"/>
    <cellStyle name="40% - Accent6 5 4 2" xfId="36307" xr:uid="{1C39AD4F-3CE3-4BFB-B627-CCE244577DDD}"/>
    <cellStyle name="40% - Accent6 5 4 3" xfId="18507" xr:uid="{68B3B105-3563-467A-957D-F7F521D8FDAD}"/>
    <cellStyle name="40% - Accent6 5 5" xfId="27859" xr:uid="{AA540F09-8919-4535-BCE4-2A6FCAA160FD}"/>
    <cellStyle name="40% - Accent6 5 6" xfId="19412" xr:uid="{F0BDB5FF-1125-4711-816C-34B2EEF32F1D}"/>
    <cellStyle name="40% - Accent6 5 7" xfId="10115" xr:uid="{31206063-92DD-4815-B16E-CD3FB9BE35A8}"/>
    <cellStyle name="40% - Accent6 6" xfId="1111" xr:uid="{00000000-0005-0000-0000-000072070000}"/>
    <cellStyle name="40% - Accent6 6 2" xfId="3342" xr:uid="{00000000-0005-0000-0000-000073070000}"/>
    <cellStyle name="40% - Accent6 6 2 2" xfId="7564" xr:uid="{00000000-0005-0000-0000-000074070000}"/>
    <cellStyle name="40% - Accent6 6 2 2 2" xfId="43082" xr:uid="{D21FCF53-1E84-48CF-88B4-F05D6C2F7FC8}"/>
    <cellStyle name="40% - Accent6 6 2 2 3" xfId="34635" xr:uid="{157B0970-769F-4C96-BCC6-F0885907933D}"/>
    <cellStyle name="40% - Accent6 6 2 2 4" xfId="26187" xr:uid="{F6EDD86D-8889-498E-B552-1725E96503E6}"/>
    <cellStyle name="40% - Accent6 6 2 2 5" xfId="16890" xr:uid="{A212893A-5BCD-4BCB-B273-2A072515D470}"/>
    <cellStyle name="40% - Accent6 6 2 3" xfId="38865" xr:uid="{6127CD5C-C593-4EFC-811C-179E21C85F3C}"/>
    <cellStyle name="40% - Accent6 6 2 4" xfId="30417" xr:uid="{00C93395-D8D2-42B9-A6DE-7EAA9EFC116A}"/>
    <cellStyle name="40% - Accent6 6 2 5" xfId="21970" xr:uid="{2D2A11DE-DEF7-498E-98E1-84D211A13836}"/>
    <cellStyle name="40% - Accent6 6 2 6" xfId="12673" xr:uid="{D27F68A6-C9F3-425C-826F-8724A9C2BF4A}"/>
    <cellStyle name="40% - Accent6 6 3" xfId="5419" xr:uid="{00000000-0005-0000-0000-000075070000}"/>
    <cellStyle name="40% - Accent6 6 3 2" xfId="40937" xr:uid="{3C4E6C66-B84A-4540-9089-F7E948A55904}"/>
    <cellStyle name="40% - Accent6 6 3 3" xfId="32490" xr:uid="{979F94BD-C2F1-4896-8751-0D37BC23AB07}"/>
    <cellStyle name="40% - Accent6 6 3 4" xfId="24042" xr:uid="{A71CD647-B816-4C66-8740-F5EBCEA62EB3}"/>
    <cellStyle name="40% - Accent6 6 3 5" xfId="14745" xr:uid="{022C0247-3E31-4723-97AB-F3B07FD83533}"/>
    <cellStyle name="40% - Accent6 6 4" xfId="36720" xr:uid="{B0DCBAF1-D468-4E0C-9367-55BF43408513}"/>
    <cellStyle name="40% - Accent6 6 5" xfId="28272" xr:uid="{F96F919C-3E9F-4178-B163-AC850A815D15}"/>
    <cellStyle name="40% - Accent6 6 6" xfId="19825" xr:uid="{6F787A46-CD1C-4390-9198-49119B4CB36F}"/>
    <cellStyle name="40% - Accent6 6 7" xfId="10528" xr:uid="{04BFB86A-E92A-4930-82BB-5702C1637964}"/>
    <cellStyle name="40% - Accent6 7" xfId="1525" xr:uid="{00000000-0005-0000-0000-000076070000}"/>
    <cellStyle name="40% - Accent6 7 2" xfId="3755" xr:uid="{00000000-0005-0000-0000-000077070000}"/>
    <cellStyle name="40% - Accent6 7 2 2" xfId="7977" xr:uid="{00000000-0005-0000-0000-000078070000}"/>
    <cellStyle name="40% - Accent6 7 2 2 2" xfId="43495" xr:uid="{915FAC2B-BB03-4DF0-916C-BD7B9AE3BD84}"/>
    <cellStyle name="40% - Accent6 7 2 2 3" xfId="35048" xr:uid="{8F1CDCBE-34E7-4271-81AB-1FEA0FBC6A2A}"/>
    <cellStyle name="40% - Accent6 7 2 2 4" xfId="26600" xr:uid="{31AC1008-D61A-4EAF-A8D6-91F8F0C27C4A}"/>
    <cellStyle name="40% - Accent6 7 2 2 5" xfId="17303" xr:uid="{7448A578-D8D6-459D-8486-27F626723DD3}"/>
    <cellStyle name="40% - Accent6 7 2 3" xfId="39278" xr:uid="{98CADF0C-53DA-486E-A1F1-0A1EF4B00AEB}"/>
    <cellStyle name="40% - Accent6 7 2 4" xfId="30830" xr:uid="{53EDE910-00DD-4807-871E-E2C5AEC3B4A1}"/>
    <cellStyle name="40% - Accent6 7 2 5" xfId="22383" xr:uid="{777E0031-ECDC-4012-B014-ECDAA2041FC4}"/>
    <cellStyle name="40% - Accent6 7 2 6" xfId="13086" xr:uid="{FCC58974-CAE2-4638-915A-3DA766431A4C}"/>
    <cellStyle name="40% - Accent6 7 3" xfId="5832" xr:uid="{00000000-0005-0000-0000-000079070000}"/>
    <cellStyle name="40% - Accent6 7 3 2" xfId="41350" xr:uid="{9EECAB88-A80C-45DD-969E-F3CFF4885048}"/>
    <cellStyle name="40% - Accent6 7 3 3" xfId="32903" xr:uid="{61CDB29F-235C-484C-B0AD-358D46B2EC3F}"/>
    <cellStyle name="40% - Accent6 7 3 4" xfId="24455" xr:uid="{BD5152D5-F10B-4873-B7BA-1DD82A343C20}"/>
    <cellStyle name="40% - Accent6 7 3 5" xfId="15158" xr:uid="{7A725D0F-7D81-4AD4-8F72-DC47988F9709}"/>
    <cellStyle name="40% - Accent6 7 4" xfId="37133" xr:uid="{2B0B0A49-47AF-45D9-AD79-3B85B5FCBF87}"/>
    <cellStyle name="40% - Accent6 7 5" xfId="28685" xr:uid="{F2777B7A-A139-4D37-B9D2-86C5BF4611F5}"/>
    <cellStyle name="40% - Accent6 7 6" xfId="20238" xr:uid="{EC61F466-5D39-4839-B3A8-F64EFCC0B685}"/>
    <cellStyle name="40% - Accent6 7 7" xfId="10941" xr:uid="{8FF42FD7-78C3-4FBF-BB79-08E1FFF6E774}"/>
    <cellStyle name="40% - Accent6 8" xfId="1939" xr:uid="{00000000-0005-0000-0000-00007A070000}"/>
    <cellStyle name="40% - Accent6 8 2" xfId="4168" xr:uid="{00000000-0005-0000-0000-00007B070000}"/>
    <cellStyle name="40% - Accent6 8 2 2" xfId="8390" xr:uid="{00000000-0005-0000-0000-00007C070000}"/>
    <cellStyle name="40% - Accent6 8 2 2 2" xfId="43908" xr:uid="{F8E17E90-B2F8-4DC5-8D60-0B3EFD610B54}"/>
    <cellStyle name="40% - Accent6 8 2 2 3" xfId="35461" xr:uid="{54FAB7C0-975A-453D-BC7E-28A066D5C42C}"/>
    <cellStyle name="40% - Accent6 8 2 2 4" xfId="27013" xr:uid="{888C8602-1DF1-41EC-A214-6F99B19769ED}"/>
    <cellStyle name="40% - Accent6 8 2 2 5" xfId="17716" xr:uid="{65020581-7CF3-4896-983E-3853A0730706}"/>
    <cellStyle name="40% - Accent6 8 2 3" xfId="39691" xr:uid="{96534199-ECF0-4B72-B02F-74A208A0E4D9}"/>
    <cellStyle name="40% - Accent6 8 2 4" xfId="31243" xr:uid="{5BC1E1CD-1234-4510-868E-94748495A734}"/>
    <cellStyle name="40% - Accent6 8 2 5" xfId="22796" xr:uid="{CB885549-CCF4-42A8-93E1-3A83A2F5BFC0}"/>
    <cellStyle name="40% - Accent6 8 2 6" xfId="13499" xr:uid="{B18B5804-144D-49AA-A5E3-8C34790A7813}"/>
    <cellStyle name="40% - Accent6 8 3" xfId="6245" xr:uid="{00000000-0005-0000-0000-00007D070000}"/>
    <cellStyle name="40% - Accent6 8 3 2" xfId="41763" xr:uid="{2AC62D66-BCC2-4A8C-B081-6276552730EB}"/>
    <cellStyle name="40% - Accent6 8 3 3" xfId="33316" xr:uid="{7338F63E-F151-4633-9D34-2E5AAC00397A}"/>
    <cellStyle name="40% - Accent6 8 3 4" xfId="24868" xr:uid="{0E57B08B-A8AF-4869-A770-7DC7B1DDB672}"/>
    <cellStyle name="40% - Accent6 8 3 5" xfId="15571" xr:uid="{830B61B5-0459-4729-BB75-57ECD154A349}"/>
    <cellStyle name="40% - Accent6 8 4" xfId="37546" xr:uid="{ABB4749D-E45D-4D24-A629-F556FD816DB4}"/>
    <cellStyle name="40% - Accent6 8 5" xfId="29098" xr:uid="{01C9F1F6-983D-449D-8BF1-CD01F2E13715}"/>
    <cellStyle name="40% - Accent6 8 6" xfId="20651" xr:uid="{D114C0DD-8A53-4C9C-A72A-2A9176C6B485}"/>
    <cellStyle name="40% - Accent6 8 7" xfId="11354" xr:uid="{DB931A03-4F5C-4ADD-AF06-2DB4E0EE9BA0}"/>
    <cellStyle name="40% - Accent6 9" xfId="2352" xr:uid="{00000000-0005-0000-0000-00007E070000}"/>
    <cellStyle name="40% - Accent6 9 2" xfId="6658" xr:uid="{00000000-0005-0000-0000-00007F070000}"/>
    <cellStyle name="40% - Accent6 9 2 2" xfId="42176" xr:uid="{5257EE0B-3AF2-4D85-AC8B-7290DA3365B4}"/>
    <cellStyle name="40% - Accent6 9 2 3" xfId="33729" xr:uid="{0912964A-B6F8-41C6-B3B4-7AB3D98183C1}"/>
    <cellStyle name="40% - Accent6 9 2 4" xfId="25281" xr:uid="{AE36B4DA-96E6-4C3A-8FAA-F127DC376C7B}"/>
    <cellStyle name="40% - Accent6 9 2 5" xfId="15984" xr:uid="{3C467578-691E-4645-B093-A0FBC65014F1}"/>
    <cellStyle name="40% - Accent6 9 3" xfId="37959" xr:uid="{A296B4F1-7CB0-40A5-B93C-828A4A2B0011}"/>
    <cellStyle name="40% - Accent6 9 4" xfId="29511" xr:uid="{B3AB4C4F-CE0E-4A00-97DF-2568FAE6C052}"/>
    <cellStyle name="40% - Accent6 9 5" xfId="21064" xr:uid="{B17A9EFB-5707-48C4-B819-77FF27185039}"/>
    <cellStyle name="40% - Accent6 9 6" xfId="11767" xr:uid="{567F1EDF-BE01-4436-AA35-2A7DEEFF4426}"/>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42501" xr:uid="{AB690C85-7D33-431A-8AD7-5CA835E11C9B}"/>
    <cellStyle name="Comma 4 2 2 2 10 2 3" xfId="34054" xr:uid="{C1D11AB1-F8FF-4B0C-99FD-E5EF6073AA9A}"/>
    <cellStyle name="Comma 4 2 2 2 10 2 4" xfId="25606" xr:uid="{B0283CF1-B9A1-4A6E-B223-398443954B33}"/>
    <cellStyle name="Comma 4 2 2 2 10 2 5" xfId="16309" xr:uid="{872671F9-0A9D-4FB1-B273-0084ECB4633B}"/>
    <cellStyle name="Comma 4 2 2 2 10 3" xfId="38284" xr:uid="{A808233B-5B0E-41FA-BF4F-F85968A865B9}"/>
    <cellStyle name="Comma 4 2 2 2 10 4" xfId="29836" xr:uid="{1E5CAEE6-46E0-4C38-82A0-73B52F0C493A}"/>
    <cellStyle name="Comma 4 2 2 2 10 5" xfId="21389" xr:uid="{D107D88B-BBF9-467D-B12C-710A5EBF9175}"/>
    <cellStyle name="Comma 4 2 2 2 10 6" xfId="12092" xr:uid="{A0A43756-3FB4-4F12-A956-217C239BF4BC}"/>
    <cellStyle name="Comma 4 2 2 2 11" xfId="4600" xr:uid="{00000000-0005-0000-0000-0000A3070000}"/>
    <cellStyle name="Comma 4 2 2 2 11 2" xfId="40118" xr:uid="{3459948C-9CB7-4ED1-8176-C45E7FFAAEAE}"/>
    <cellStyle name="Comma 4 2 2 2 11 3" xfId="31671" xr:uid="{A1219732-FA81-4E7E-98E8-1C6BE910AD51}"/>
    <cellStyle name="Comma 4 2 2 2 11 4" xfId="23223" xr:uid="{D27F69CE-4FD2-4627-AEB1-6E1C98656A7C}"/>
    <cellStyle name="Comma 4 2 2 2 11 5" xfId="13926" xr:uid="{2D34B4CD-D388-46AB-858C-AF7C0ECC23AE}"/>
    <cellStyle name="Comma 4 2 2 2 12" xfId="8806" xr:uid="{6C773D0B-D2E3-4A8C-B041-8DA2843B9E25}"/>
    <cellStyle name="Comma 4 2 2 2 12 2" xfId="35901" xr:uid="{6479961E-01F8-4F15-9445-9683389D278C}"/>
    <cellStyle name="Comma 4 2 2 2 12 3" xfId="18129" xr:uid="{23FB2B94-393B-4DC4-BF86-BC5A6C8B44A4}"/>
    <cellStyle name="Comma 4 2 2 2 13" xfId="27453" xr:uid="{67021EBB-8DD1-41BF-992E-763DD3923A8B}"/>
    <cellStyle name="Comma 4 2 2 2 14" xfId="19006" xr:uid="{571D45E5-8F50-4E92-87FE-EE01AB3D9DF0}"/>
    <cellStyle name="Comma 4 2 2 2 15" xfId="9709" xr:uid="{1ABE2CD2-D6F3-4CD9-BD27-0E87F2865C09}"/>
    <cellStyle name="Comma 4 2 2 2 2" xfId="129" xr:uid="{00000000-0005-0000-0000-0000A4070000}"/>
    <cellStyle name="Comma 4 2 2 2 2 10" xfId="4601" xr:uid="{00000000-0005-0000-0000-0000A5070000}"/>
    <cellStyle name="Comma 4 2 2 2 2 10 2" xfId="40119" xr:uid="{1CFBCAA7-45C5-4759-9E25-4624CBB8E73F}"/>
    <cellStyle name="Comma 4 2 2 2 2 10 3" xfId="31672" xr:uid="{3793B0F2-7A38-45EE-ACA1-FC10C18C7B41}"/>
    <cellStyle name="Comma 4 2 2 2 2 10 4" xfId="23224" xr:uid="{29CE551F-FA58-44DA-9754-56BA721D8ADE}"/>
    <cellStyle name="Comma 4 2 2 2 2 10 5" xfId="13927" xr:uid="{39F17D5F-88FC-44B2-BC63-29985C3BA571}"/>
    <cellStyle name="Comma 4 2 2 2 2 11" xfId="8909" xr:uid="{477FCE05-1F49-4658-A03C-A8A5E7983C47}"/>
    <cellStyle name="Comma 4 2 2 2 2 11 2" xfId="35902" xr:uid="{17420C3E-049A-4FC8-8610-0DA73C0D226C}"/>
    <cellStyle name="Comma 4 2 2 2 2 11 3" xfId="18232" xr:uid="{B6D24CB3-C6EF-481D-AE8F-ADF1F292FF24}"/>
    <cellStyle name="Comma 4 2 2 2 2 12" xfId="27454" xr:uid="{001543CA-F858-4683-8FE4-A86D9373326F}"/>
    <cellStyle name="Comma 4 2 2 2 2 13" xfId="19007" xr:uid="{2F546592-7964-4EA4-81D4-6667E20AC4AD}"/>
    <cellStyle name="Comma 4 2 2 2 2 14" xfId="9710" xr:uid="{7AFCD442-A17F-4EA1-BF98-5AA2CDC12301}"/>
    <cellStyle name="Comma 4 2 2 2 2 2" xfId="130" xr:uid="{00000000-0005-0000-0000-0000A6070000}"/>
    <cellStyle name="Comma 4 2 2 2 2 2 10" xfId="9116" xr:uid="{7A07505D-6B4C-4086-90B5-B5D345FB7611}"/>
    <cellStyle name="Comma 4 2 2 2 2 2 10 2" xfId="35903" xr:uid="{CAEE69EE-6F2D-40AE-9E97-EDAE415D5A38}"/>
    <cellStyle name="Comma 4 2 2 2 2 2 10 3" xfId="18439" xr:uid="{42001317-62E9-473B-AD1D-69F554FE8F81}"/>
    <cellStyle name="Comma 4 2 2 2 2 2 11" xfId="27455" xr:uid="{D2122222-B334-420D-A964-4F296999E252}"/>
    <cellStyle name="Comma 4 2 2 2 2 2 12" xfId="19008" xr:uid="{3FE56A2B-CF91-476E-A376-B83598E9CF28}"/>
    <cellStyle name="Comma 4 2 2 2 2 2 13" xfId="9711" xr:uid="{CFEB9DF3-8ABC-4601-9EC4-650492749C3A}"/>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42679" xr:uid="{D8ED3CFB-E8CD-4CBA-91F7-B1B6CC366588}"/>
    <cellStyle name="Comma 4 2 2 2 2 2 2 2 2 3" xfId="34232" xr:uid="{18E34F7A-DB50-40D7-B628-40FBBE256818}"/>
    <cellStyle name="Comma 4 2 2 2 2 2 2 2 2 4" xfId="25784" xr:uid="{DD22A6FA-C74F-488E-B54C-9589B2E84CE3}"/>
    <cellStyle name="Comma 4 2 2 2 2 2 2 2 2 5" xfId="16487" xr:uid="{62B174E3-CE0B-42F9-83F1-8871F272FC6C}"/>
    <cellStyle name="Comma 4 2 2 2 2 2 2 2 3" xfId="38462" xr:uid="{B221975C-AA3C-456A-BCD5-CF595B1321A8}"/>
    <cellStyle name="Comma 4 2 2 2 2 2 2 2 4" xfId="30014" xr:uid="{21C37BF9-70B7-45EC-860C-60A2F4BB9019}"/>
    <cellStyle name="Comma 4 2 2 2 2 2 2 2 5" xfId="21567" xr:uid="{E6677F59-94CC-46E2-858A-A3A0630C3AC3}"/>
    <cellStyle name="Comma 4 2 2 2 2 2 2 2 6" xfId="12270" xr:uid="{5265BA48-A525-40A2-A461-57634FB5BE22}"/>
    <cellStyle name="Comma 4 2 2 2 2 2 2 3" xfId="5016" xr:uid="{00000000-0005-0000-0000-0000AA070000}"/>
    <cellStyle name="Comma 4 2 2 2 2 2 2 3 2" xfId="40534" xr:uid="{D65EBDFB-F270-4F2B-92F4-1B9C4D3DC765}"/>
    <cellStyle name="Comma 4 2 2 2 2 2 2 3 3" xfId="32087" xr:uid="{859A7728-DDEA-4012-BD3F-75B7D4AC1507}"/>
    <cellStyle name="Comma 4 2 2 2 2 2 2 3 4" xfId="23639" xr:uid="{A577BD81-60D9-436A-9A35-041024A62E90}"/>
    <cellStyle name="Comma 4 2 2 2 2 2 2 3 5" xfId="14342" xr:uid="{89077B7A-C664-4BFB-B850-A439929FE979}"/>
    <cellStyle name="Comma 4 2 2 2 2 2 2 4" xfId="9541" xr:uid="{21DC771E-83A2-48BA-BE40-3E9E8454DE28}"/>
    <cellStyle name="Comma 4 2 2 2 2 2 2 4 2" xfId="36317" xr:uid="{EACD536D-6C2A-472C-860E-8C1FDDE9DD97}"/>
    <cellStyle name="Comma 4 2 2 2 2 2 2 4 3" xfId="18854" xr:uid="{08C5944C-9DAF-4AD6-AF35-9BC0CD6678AA}"/>
    <cellStyle name="Comma 4 2 2 2 2 2 2 5" xfId="27869" xr:uid="{92E44BD8-30D5-45CA-BCD7-6D1FBAAA8F42}"/>
    <cellStyle name="Comma 4 2 2 2 2 2 2 6" xfId="19422" xr:uid="{61507ECD-9E42-46B2-8BA7-889DAE223823}"/>
    <cellStyle name="Comma 4 2 2 2 2 2 2 7" xfId="10125" xr:uid="{6EB66690-6FB1-4D85-A8C0-FFF795BD54EA}"/>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43092" xr:uid="{3FFD4D0B-175D-48DE-A57F-E13FC3590C42}"/>
    <cellStyle name="Comma 4 2 2 2 2 2 3 2 2 3" xfId="34645" xr:uid="{B64DB42C-A9D7-4BDA-9050-62827542FBFC}"/>
    <cellStyle name="Comma 4 2 2 2 2 2 3 2 2 4" xfId="26197" xr:uid="{87DAE794-1FC4-49B2-A286-A773BC521C03}"/>
    <cellStyle name="Comma 4 2 2 2 2 2 3 2 2 5" xfId="16900" xr:uid="{77ED2B51-30E9-4745-88F9-1BE90CEEEACA}"/>
    <cellStyle name="Comma 4 2 2 2 2 2 3 2 3" xfId="38875" xr:uid="{552DD1C3-6B16-4E72-8BBF-206CB01F476A}"/>
    <cellStyle name="Comma 4 2 2 2 2 2 3 2 4" xfId="30427" xr:uid="{B94624AF-9A18-443A-9AB6-D7CC3FE01D9F}"/>
    <cellStyle name="Comma 4 2 2 2 2 2 3 2 5" xfId="21980" xr:uid="{C3E51223-5A33-4F74-B359-73B44742F827}"/>
    <cellStyle name="Comma 4 2 2 2 2 2 3 2 6" xfId="12683" xr:uid="{EC5720AC-AF5D-4038-A1D5-EC8FE03867F8}"/>
    <cellStyle name="Comma 4 2 2 2 2 2 3 3" xfId="5429" xr:uid="{00000000-0005-0000-0000-0000AE070000}"/>
    <cellStyle name="Comma 4 2 2 2 2 2 3 3 2" xfId="40947" xr:uid="{94898712-E914-43B6-A474-A480F936D78F}"/>
    <cellStyle name="Comma 4 2 2 2 2 2 3 3 3" xfId="32500" xr:uid="{9A349141-7C82-40B2-A002-598CE313F20E}"/>
    <cellStyle name="Comma 4 2 2 2 2 2 3 3 4" xfId="24052" xr:uid="{BC183887-58C3-45C6-A151-5D28CC591B25}"/>
    <cellStyle name="Comma 4 2 2 2 2 2 3 3 5" xfId="14755" xr:uid="{F7CBFB6A-84A1-42E2-A2AC-F63ED8BA8C5B}"/>
    <cellStyle name="Comma 4 2 2 2 2 2 3 4" xfId="36730" xr:uid="{98796F56-F3AB-46FA-B56C-1D88E679AE2F}"/>
    <cellStyle name="Comma 4 2 2 2 2 2 3 5" xfId="28282" xr:uid="{6F6F56DE-25B7-4C6B-949C-9CA8FC85A200}"/>
    <cellStyle name="Comma 4 2 2 2 2 2 3 6" xfId="19835" xr:uid="{BCF733A7-5DCE-4AF8-9313-205959CB6E3E}"/>
    <cellStyle name="Comma 4 2 2 2 2 2 3 7" xfId="10538" xr:uid="{B1CC7CED-9FA6-4B76-A6FC-BCA725D4431B}"/>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43505" xr:uid="{AC48DD4E-141A-41CA-9977-DFD78AA80F34}"/>
    <cellStyle name="Comma 4 2 2 2 2 2 4 2 2 3" xfId="35058" xr:uid="{25BE5E1C-3F1C-47F3-949F-CD5E5B8FB766}"/>
    <cellStyle name="Comma 4 2 2 2 2 2 4 2 2 4" xfId="26610" xr:uid="{BA462A04-10FF-4E4A-BF8F-77048F63AC0D}"/>
    <cellStyle name="Comma 4 2 2 2 2 2 4 2 2 5" xfId="17313" xr:uid="{5833D503-0F9F-4FF6-904A-CBFA7A0FD810}"/>
    <cellStyle name="Comma 4 2 2 2 2 2 4 2 3" xfId="39288" xr:uid="{E3DD0E99-DBE7-4B2D-A43F-072ACE0F3148}"/>
    <cellStyle name="Comma 4 2 2 2 2 2 4 2 4" xfId="30840" xr:uid="{BB700B5C-86CB-466E-BD43-488CDDCBEFA7}"/>
    <cellStyle name="Comma 4 2 2 2 2 2 4 2 5" xfId="22393" xr:uid="{34D05B87-B953-4958-9DE1-431C452F5C38}"/>
    <cellStyle name="Comma 4 2 2 2 2 2 4 2 6" xfId="13096" xr:uid="{67CE18E2-7236-4BAA-9193-0198FA9970B7}"/>
    <cellStyle name="Comma 4 2 2 2 2 2 4 3" xfId="5842" xr:uid="{00000000-0005-0000-0000-0000B2070000}"/>
    <cellStyle name="Comma 4 2 2 2 2 2 4 3 2" xfId="41360" xr:uid="{45910516-0961-4B36-B8A7-30986D3E270B}"/>
    <cellStyle name="Comma 4 2 2 2 2 2 4 3 3" xfId="32913" xr:uid="{5220AC22-B878-4B7B-9396-C3347C3F3E9D}"/>
    <cellStyle name="Comma 4 2 2 2 2 2 4 3 4" xfId="24465" xr:uid="{C3003484-B2F2-4683-82AA-C1169B7DF53C}"/>
    <cellStyle name="Comma 4 2 2 2 2 2 4 3 5" xfId="15168" xr:uid="{506A31DD-843A-4B95-8955-6355EBACA04A}"/>
    <cellStyle name="Comma 4 2 2 2 2 2 4 4" xfId="37143" xr:uid="{833B1940-050B-4C76-8C52-6A56DBBF9636}"/>
    <cellStyle name="Comma 4 2 2 2 2 2 4 5" xfId="28695" xr:uid="{E71BE403-1F8E-499B-99C2-5D361A95EC2A}"/>
    <cellStyle name="Comma 4 2 2 2 2 2 4 6" xfId="20248" xr:uid="{066F1E60-1824-4D78-8BA5-478F85B2D0DF}"/>
    <cellStyle name="Comma 4 2 2 2 2 2 4 7" xfId="10951" xr:uid="{40416D46-7064-4E01-8519-AC4276A9FD52}"/>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43918" xr:uid="{35B18006-1F43-4E5E-BADB-12F33B471B85}"/>
    <cellStyle name="Comma 4 2 2 2 2 2 5 2 2 3" xfId="35471" xr:uid="{C31CB465-C739-49D1-8AC6-74FFD280019F}"/>
    <cellStyle name="Comma 4 2 2 2 2 2 5 2 2 4" xfId="27023" xr:uid="{54191C58-BE61-412E-9E0C-A2F8296A108D}"/>
    <cellStyle name="Comma 4 2 2 2 2 2 5 2 2 5" xfId="17726" xr:uid="{040496E5-578B-48C3-98A7-51FB6303BDB1}"/>
    <cellStyle name="Comma 4 2 2 2 2 2 5 2 3" xfId="39701" xr:uid="{9358646A-BD90-44D1-B64B-4C9C9694BED8}"/>
    <cellStyle name="Comma 4 2 2 2 2 2 5 2 4" xfId="31253" xr:uid="{06FBD018-AF8E-4DB4-AC47-8E56FCA4DBC1}"/>
    <cellStyle name="Comma 4 2 2 2 2 2 5 2 5" xfId="22806" xr:uid="{B66935EC-BAF0-400D-974D-63E19B229EBE}"/>
    <cellStyle name="Comma 4 2 2 2 2 2 5 2 6" xfId="13509" xr:uid="{10B2DD1A-17CD-4582-9F5A-4EC98A1BB98F}"/>
    <cellStyle name="Comma 4 2 2 2 2 2 5 3" xfId="6255" xr:uid="{00000000-0005-0000-0000-0000B6070000}"/>
    <cellStyle name="Comma 4 2 2 2 2 2 5 3 2" xfId="41773" xr:uid="{7DF77189-F751-40BF-A34A-1E80C252C1AC}"/>
    <cellStyle name="Comma 4 2 2 2 2 2 5 3 3" xfId="33326" xr:uid="{AFBD05C4-7835-4592-8B67-2F9A196454D9}"/>
    <cellStyle name="Comma 4 2 2 2 2 2 5 3 4" xfId="24878" xr:uid="{EA08F0CA-A371-4FB5-98B7-E183AA2C7E10}"/>
    <cellStyle name="Comma 4 2 2 2 2 2 5 3 5" xfId="15581" xr:uid="{57AC37A4-CC0C-4A56-8A2D-396CB88F1D97}"/>
    <cellStyle name="Comma 4 2 2 2 2 2 5 4" xfId="37556" xr:uid="{9DCDCC35-ED03-4DE7-8E0C-DA0CCEFE150B}"/>
    <cellStyle name="Comma 4 2 2 2 2 2 5 5" xfId="29108" xr:uid="{8218A764-AA78-453D-AED5-CBAE2EF989AA}"/>
    <cellStyle name="Comma 4 2 2 2 2 2 5 6" xfId="20661" xr:uid="{CA2CAD24-37FC-4623-86A7-5C5990822E22}"/>
    <cellStyle name="Comma 4 2 2 2 2 2 5 7" xfId="11364" xr:uid="{0A909BD0-8E76-47D3-90B1-954B97474EE6}"/>
    <cellStyle name="Comma 4 2 2 2 2 2 6" xfId="2384" xr:uid="{00000000-0005-0000-0000-0000B7070000}"/>
    <cellStyle name="Comma 4 2 2 2 2 2 6 2" xfId="6668" xr:uid="{00000000-0005-0000-0000-0000B8070000}"/>
    <cellStyle name="Comma 4 2 2 2 2 2 6 2 2" xfId="42186" xr:uid="{B56F0E1F-AE81-43DA-BF08-01FAAF3D3802}"/>
    <cellStyle name="Comma 4 2 2 2 2 2 6 2 3" xfId="33739" xr:uid="{8F912312-D27F-4C02-B7D3-EBBD506EEF6D}"/>
    <cellStyle name="Comma 4 2 2 2 2 2 6 2 4" xfId="25291" xr:uid="{C2C458C4-56DB-4206-9F61-9D6D7BEA109B}"/>
    <cellStyle name="Comma 4 2 2 2 2 2 6 2 5" xfId="15994" xr:uid="{3BB5C8F0-0EFB-4068-9A75-C6EFB92CE82A}"/>
    <cellStyle name="Comma 4 2 2 2 2 2 6 3" xfId="37969" xr:uid="{73403C1D-712B-4E70-90CA-8D9182997552}"/>
    <cellStyle name="Comma 4 2 2 2 2 2 6 4" xfId="29521" xr:uid="{00330332-E753-41CD-8C2D-8E2BD7E4D56A}"/>
    <cellStyle name="Comma 4 2 2 2 2 2 6 5" xfId="21074" xr:uid="{3617381B-5254-4837-9BF3-07ABC9CA39F7}"/>
    <cellStyle name="Comma 4 2 2 2 2 2 6 6" xfId="11777" xr:uid="{6D16EF0C-9FE6-4BEE-AC08-FA6292A3A88B}"/>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42503" xr:uid="{07285AEE-22EB-4BAF-927F-002F72BA6775}"/>
    <cellStyle name="Comma 4 2 2 2 2 2 8 2 3" xfId="34056" xr:uid="{FB9DBC02-1FA8-4EFD-ADA9-E9CBBC72148C}"/>
    <cellStyle name="Comma 4 2 2 2 2 2 8 2 4" xfId="25608" xr:uid="{2CF45D5F-B28B-45E6-B396-2D0166CB3D66}"/>
    <cellStyle name="Comma 4 2 2 2 2 2 8 2 5" xfId="16311" xr:uid="{39466EB2-A432-4EBC-A781-8C8671C90CEE}"/>
    <cellStyle name="Comma 4 2 2 2 2 2 8 3" xfId="38286" xr:uid="{038C25CA-BA3B-4D63-8FA4-A6B7FBBC549D}"/>
    <cellStyle name="Comma 4 2 2 2 2 2 8 4" xfId="29838" xr:uid="{A425335E-0B6E-41D9-95D8-BB160E1540D1}"/>
    <cellStyle name="Comma 4 2 2 2 2 2 8 5" xfId="21391" xr:uid="{942F0828-577A-48D4-A639-57F33B4DA1DC}"/>
    <cellStyle name="Comma 4 2 2 2 2 2 8 6" xfId="12094" xr:uid="{42B6C8DF-6902-4CD9-913F-DE18247B4DF5}"/>
    <cellStyle name="Comma 4 2 2 2 2 2 9" xfId="4602" xr:uid="{00000000-0005-0000-0000-0000BC070000}"/>
    <cellStyle name="Comma 4 2 2 2 2 2 9 2" xfId="40120" xr:uid="{AFAE4FD2-00A0-4C72-8F53-DA19485A3FDF}"/>
    <cellStyle name="Comma 4 2 2 2 2 2 9 3" xfId="31673" xr:uid="{FB707778-5F12-459F-B549-1D53FEEFEB74}"/>
    <cellStyle name="Comma 4 2 2 2 2 2 9 4" xfId="23225" xr:uid="{BCD82DD7-0F22-4329-BCD8-33ABCC5060A7}"/>
    <cellStyle name="Comma 4 2 2 2 2 2 9 5" xfId="13928" xr:uid="{1FE3053F-467B-4ECC-8AFD-BBD75C412F7A}"/>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42678" xr:uid="{DFF0B229-95B6-4B2B-9D30-BF25C4CA55A7}"/>
    <cellStyle name="Comma 4 2 2 2 2 3 2 2 3" xfId="34231" xr:uid="{7C9BB308-14EE-485C-89E9-390E4E489871}"/>
    <cellStyle name="Comma 4 2 2 2 2 3 2 2 4" xfId="25783" xr:uid="{DD9A3944-866E-4C67-8318-A3B40D5688D8}"/>
    <cellStyle name="Comma 4 2 2 2 2 3 2 2 5" xfId="16486" xr:uid="{A956B07C-9883-4DC5-B64A-2C55D3BE53D5}"/>
    <cellStyle name="Comma 4 2 2 2 2 3 2 3" xfId="38461" xr:uid="{0B0192C6-F499-4172-8835-293DDE22682F}"/>
    <cellStyle name="Comma 4 2 2 2 2 3 2 4" xfId="30013" xr:uid="{DCBB545E-E2F4-40FB-97F2-C7A29914B8E0}"/>
    <cellStyle name="Comma 4 2 2 2 2 3 2 5" xfId="21566" xr:uid="{F5FDF617-ECA2-4C0E-AC45-B1CB84E2B322}"/>
    <cellStyle name="Comma 4 2 2 2 2 3 2 6" xfId="12269" xr:uid="{6A832740-1976-49D4-8FB4-3B4A25BED0C8}"/>
    <cellStyle name="Comma 4 2 2 2 2 3 3" xfId="5015" xr:uid="{00000000-0005-0000-0000-0000C0070000}"/>
    <cellStyle name="Comma 4 2 2 2 2 3 3 2" xfId="40533" xr:uid="{4A665B8B-F9FF-4FC1-97B2-917AB0B5BA36}"/>
    <cellStyle name="Comma 4 2 2 2 2 3 3 3" xfId="32086" xr:uid="{4A939E88-2D71-4037-9023-7B4859AF8FD8}"/>
    <cellStyle name="Comma 4 2 2 2 2 3 3 4" xfId="23638" xr:uid="{7D20626E-FEDE-4608-B1E3-58DB42F97A52}"/>
    <cellStyle name="Comma 4 2 2 2 2 3 3 5" xfId="14341" xr:uid="{226CE4EF-6E3B-4C2B-8F4D-32C140E534BD}"/>
    <cellStyle name="Comma 4 2 2 2 2 3 4" xfId="9334" xr:uid="{50E8807F-6450-4082-BD30-0A86C2E78D0E}"/>
    <cellStyle name="Comma 4 2 2 2 2 3 4 2" xfId="36316" xr:uid="{694F01A3-8952-401B-9199-DA9BF29F27EA}"/>
    <cellStyle name="Comma 4 2 2 2 2 3 4 3" xfId="18647" xr:uid="{075FED46-5EC0-449F-93C7-6A8966D808CA}"/>
    <cellStyle name="Comma 4 2 2 2 2 3 5" xfId="27868" xr:uid="{3766F07E-36E6-4A07-988E-84893F292969}"/>
    <cellStyle name="Comma 4 2 2 2 2 3 6" xfId="19421" xr:uid="{399EA7EF-6826-4673-B090-BFF31D9541AF}"/>
    <cellStyle name="Comma 4 2 2 2 2 3 7" xfId="10124" xr:uid="{D67797BB-6923-46E1-9E8F-15FE619C83E1}"/>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43091" xr:uid="{7A8C9CEF-CB68-47AE-9F10-63D9E50B002D}"/>
    <cellStyle name="Comma 4 2 2 2 2 4 2 2 3" xfId="34644" xr:uid="{840DA297-CC18-41C3-A7B9-695ECB471A3A}"/>
    <cellStyle name="Comma 4 2 2 2 2 4 2 2 4" xfId="26196" xr:uid="{821696C6-89E7-47BC-BBFD-F547F2D6F1E9}"/>
    <cellStyle name="Comma 4 2 2 2 2 4 2 2 5" xfId="16899" xr:uid="{307093E5-B025-49A7-97CD-6BD1346B821E}"/>
    <cellStyle name="Comma 4 2 2 2 2 4 2 3" xfId="38874" xr:uid="{24BAEF08-DD1B-4E01-8BDD-8B2789750E55}"/>
    <cellStyle name="Comma 4 2 2 2 2 4 2 4" xfId="30426" xr:uid="{DDA17FDB-A48D-4E51-9A3C-020E46C5074E}"/>
    <cellStyle name="Comma 4 2 2 2 2 4 2 5" xfId="21979" xr:uid="{66A51CB3-04B7-47D1-93D1-0F190B51B383}"/>
    <cellStyle name="Comma 4 2 2 2 2 4 2 6" xfId="12682" xr:uid="{991AF3D8-4E46-4D8C-A8DE-9BFD786595FE}"/>
    <cellStyle name="Comma 4 2 2 2 2 4 3" xfId="5428" xr:uid="{00000000-0005-0000-0000-0000C4070000}"/>
    <cellStyle name="Comma 4 2 2 2 2 4 3 2" xfId="40946" xr:uid="{A0439ADB-8393-45EF-A818-53A2241B45FF}"/>
    <cellStyle name="Comma 4 2 2 2 2 4 3 3" xfId="32499" xr:uid="{D268F48F-19C0-4158-9D26-C37F519869D5}"/>
    <cellStyle name="Comma 4 2 2 2 2 4 3 4" xfId="24051" xr:uid="{6DE0B90F-698D-43A7-BD6F-C2455D5DE56B}"/>
    <cellStyle name="Comma 4 2 2 2 2 4 3 5" xfId="14754" xr:uid="{7AFDD6A9-7F64-4A41-A825-C68E47CB2939}"/>
    <cellStyle name="Comma 4 2 2 2 2 4 4" xfId="36729" xr:uid="{4DF8278D-8AF8-4A64-AC0D-345D13229131}"/>
    <cellStyle name="Comma 4 2 2 2 2 4 5" xfId="28281" xr:uid="{C15A563A-0C79-4F86-9DD3-74F919602F3B}"/>
    <cellStyle name="Comma 4 2 2 2 2 4 6" xfId="19834" xr:uid="{F91D1565-946F-46DA-9EFC-69C538D7C371}"/>
    <cellStyle name="Comma 4 2 2 2 2 4 7" xfId="10537" xr:uid="{34232D1B-F416-4624-9E2F-D426DD1B0811}"/>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43504" xr:uid="{FDD81262-06F3-45EB-AEDF-80AD393B2FB9}"/>
    <cellStyle name="Comma 4 2 2 2 2 5 2 2 3" xfId="35057" xr:uid="{DD7047F2-E13D-4137-A90B-401F7102777F}"/>
    <cellStyle name="Comma 4 2 2 2 2 5 2 2 4" xfId="26609" xr:uid="{29B5B8FB-12A9-4BA0-BDD7-A464DEDEBFDC}"/>
    <cellStyle name="Comma 4 2 2 2 2 5 2 2 5" xfId="17312" xr:uid="{C5A534B6-6FCC-4B0A-8495-BEDF19A4CCC1}"/>
    <cellStyle name="Comma 4 2 2 2 2 5 2 3" xfId="39287" xr:uid="{9B616B55-8BA2-4EF2-AC70-C25B5527123A}"/>
    <cellStyle name="Comma 4 2 2 2 2 5 2 4" xfId="30839" xr:uid="{95FB8390-7032-4853-9747-BEA26E9F5FEC}"/>
    <cellStyle name="Comma 4 2 2 2 2 5 2 5" xfId="22392" xr:uid="{97131FAD-9C38-4230-B296-EFE965CC2FDA}"/>
    <cellStyle name="Comma 4 2 2 2 2 5 2 6" xfId="13095" xr:uid="{504CB39F-A1D8-4575-9787-B414BF062A10}"/>
    <cellStyle name="Comma 4 2 2 2 2 5 3" xfId="5841" xr:uid="{00000000-0005-0000-0000-0000C8070000}"/>
    <cellStyle name="Comma 4 2 2 2 2 5 3 2" xfId="41359" xr:uid="{05551619-0B3F-4AEF-947D-0439BAEA6B38}"/>
    <cellStyle name="Comma 4 2 2 2 2 5 3 3" xfId="32912" xr:uid="{29FB2841-2202-47B5-B647-748D7213935C}"/>
    <cellStyle name="Comma 4 2 2 2 2 5 3 4" xfId="24464" xr:uid="{2A9A8591-C1CA-4D15-BEC1-3C4C89CD9F91}"/>
    <cellStyle name="Comma 4 2 2 2 2 5 3 5" xfId="15167" xr:uid="{E02941A4-966C-43EF-ADD4-F675C6AA1233}"/>
    <cellStyle name="Comma 4 2 2 2 2 5 4" xfId="37142" xr:uid="{C3ABB896-A022-4040-A916-E81C2970F6E4}"/>
    <cellStyle name="Comma 4 2 2 2 2 5 5" xfId="28694" xr:uid="{A48C1649-9638-40CD-8960-2C6667803791}"/>
    <cellStyle name="Comma 4 2 2 2 2 5 6" xfId="20247" xr:uid="{03B308CA-D396-4C1E-82E1-F4E7F1420AF0}"/>
    <cellStyle name="Comma 4 2 2 2 2 5 7" xfId="10950" xr:uid="{F17BC113-4777-4EFA-8551-A00A75D6FAFD}"/>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43917" xr:uid="{E8A25402-92C7-4484-8AF9-C22996934289}"/>
    <cellStyle name="Comma 4 2 2 2 2 6 2 2 3" xfId="35470" xr:uid="{6C917D1A-DB82-4463-84E3-797E545A0B6B}"/>
    <cellStyle name="Comma 4 2 2 2 2 6 2 2 4" xfId="27022" xr:uid="{E3728851-7AC0-4746-80D4-B7A58043CF97}"/>
    <cellStyle name="Comma 4 2 2 2 2 6 2 2 5" xfId="17725" xr:uid="{ADA033B2-A32B-4955-87F0-963FADC9E732}"/>
    <cellStyle name="Comma 4 2 2 2 2 6 2 3" xfId="39700" xr:uid="{4B195767-3F99-421D-BC64-ADC44DCE02AF}"/>
    <cellStyle name="Comma 4 2 2 2 2 6 2 4" xfId="31252" xr:uid="{5CC16FBA-C965-40F4-A6D2-468AEB718DDE}"/>
    <cellStyle name="Comma 4 2 2 2 2 6 2 5" xfId="22805" xr:uid="{F2597D01-9B35-4695-9760-53735F27974C}"/>
    <cellStyle name="Comma 4 2 2 2 2 6 2 6" xfId="13508" xr:uid="{2CA767E6-8855-44C0-BD28-BB65F5E56EC4}"/>
    <cellStyle name="Comma 4 2 2 2 2 6 3" xfId="6254" xr:uid="{00000000-0005-0000-0000-0000CC070000}"/>
    <cellStyle name="Comma 4 2 2 2 2 6 3 2" xfId="41772" xr:uid="{DB1442A5-0288-4290-BC5B-1A4F66B35C30}"/>
    <cellStyle name="Comma 4 2 2 2 2 6 3 3" xfId="33325" xr:uid="{86E3117D-A9ED-476B-9FC7-D12A81CE0B07}"/>
    <cellStyle name="Comma 4 2 2 2 2 6 3 4" xfId="24877" xr:uid="{33535F90-2261-4AD9-877C-265D061659A0}"/>
    <cellStyle name="Comma 4 2 2 2 2 6 3 5" xfId="15580" xr:uid="{AD581705-6485-42EB-A030-720BDE268797}"/>
    <cellStyle name="Comma 4 2 2 2 2 6 4" xfId="37555" xr:uid="{5B3E9F0F-9C61-4A3C-AC4E-C0819DFED212}"/>
    <cellStyle name="Comma 4 2 2 2 2 6 5" xfId="29107" xr:uid="{7BA4D578-B2D1-4711-A914-C30567DC230E}"/>
    <cellStyle name="Comma 4 2 2 2 2 6 6" xfId="20660" xr:uid="{51E6945A-9F7D-4B0A-8DDF-E6149E30B5CE}"/>
    <cellStyle name="Comma 4 2 2 2 2 6 7" xfId="11363" xr:uid="{866A74C7-5966-46BE-B9B6-4815C6181D3E}"/>
    <cellStyle name="Comma 4 2 2 2 2 7" xfId="2383" xr:uid="{00000000-0005-0000-0000-0000CD070000}"/>
    <cellStyle name="Comma 4 2 2 2 2 7 2" xfId="6667" xr:uid="{00000000-0005-0000-0000-0000CE070000}"/>
    <cellStyle name="Comma 4 2 2 2 2 7 2 2" xfId="42185" xr:uid="{6701BDAA-F3E9-42BB-9C09-B605A6DC27B2}"/>
    <cellStyle name="Comma 4 2 2 2 2 7 2 3" xfId="33738" xr:uid="{37250862-2B40-46D1-BF18-D33CDB0004F5}"/>
    <cellStyle name="Comma 4 2 2 2 2 7 2 4" xfId="25290" xr:uid="{3B979D8B-32B0-41E3-8796-5392AC25EEF6}"/>
    <cellStyle name="Comma 4 2 2 2 2 7 2 5" xfId="15993" xr:uid="{3B8DC74E-EBBA-46CA-9C2A-281D7D43F2ED}"/>
    <cellStyle name="Comma 4 2 2 2 2 7 3" xfId="37968" xr:uid="{05B039DA-31A6-4A2C-AE63-9F76A9BD770B}"/>
    <cellStyle name="Comma 4 2 2 2 2 7 4" xfId="29520" xr:uid="{6E83B82F-2D16-4FD6-842D-3B403D2E190C}"/>
    <cellStyle name="Comma 4 2 2 2 2 7 5" xfId="21073" xr:uid="{348F24D7-FB07-4AFA-BEE8-C89C790AC136}"/>
    <cellStyle name="Comma 4 2 2 2 2 7 6" xfId="11776" xr:uid="{16B0B1F0-4C37-4CA4-A503-CC4853BE36D5}"/>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42502" xr:uid="{5DA996DD-3748-4CEB-9262-FBCC72160EC6}"/>
    <cellStyle name="Comma 4 2 2 2 2 9 2 3" xfId="34055" xr:uid="{A98ECC56-E81D-4BA1-90FA-796704358A61}"/>
    <cellStyle name="Comma 4 2 2 2 2 9 2 4" xfId="25607" xr:uid="{F853B6DC-E163-46A4-ACED-A9D290CB8BB2}"/>
    <cellStyle name="Comma 4 2 2 2 2 9 2 5" xfId="16310" xr:uid="{820636B7-C762-4C34-AAC8-4DD5F218C269}"/>
    <cellStyle name="Comma 4 2 2 2 2 9 3" xfId="38285" xr:uid="{804F1487-BDBA-42B4-ADC7-4EE0DF115077}"/>
    <cellStyle name="Comma 4 2 2 2 2 9 4" xfId="29837" xr:uid="{EE9AFE14-A878-4F49-AAAB-6DBF849EEDEA}"/>
    <cellStyle name="Comma 4 2 2 2 2 9 5" xfId="21390" xr:uid="{EC3D0090-4773-4552-9E81-24AEA2140B29}"/>
    <cellStyle name="Comma 4 2 2 2 2 9 6" xfId="12093" xr:uid="{554407E8-E89C-4C9D-9D93-4CAAC46C3837}"/>
    <cellStyle name="Comma 4 2 2 2 3" xfId="131" xr:uid="{00000000-0005-0000-0000-0000D2070000}"/>
    <cellStyle name="Comma 4 2 2 2 3 10" xfId="9013" xr:uid="{D7491CA1-A7A0-4099-A659-9FB418CDDACA}"/>
    <cellStyle name="Comma 4 2 2 2 3 10 2" xfId="35904" xr:uid="{0CDAF4B3-62EF-4477-B538-2116FAFFE474}"/>
    <cellStyle name="Comma 4 2 2 2 3 10 3" xfId="18336" xr:uid="{41BBB387-2721-41C9-AA92-1B85E9826729}"/>
    <cellStyle name="Comma 4 2 2 2 3 11" xfId="27456" xr:uid="{D8213DF6-BB01-4AFE-8040-418A296B00F1}"/>
    <cellStyle name="Comma 4 2 2 2 3 12" xfId="19009" xr:uid="{5C807076-9E04-41ED-A421-1AF288C3D864}"/>
    <cellStyle name="Comma 4 2 2 2 3 13" xfId="9712" xr:uid="{661F9D7D-38AF-453A-AC93-B16061471E04}"/>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42680" xr:uid="{74E6F92C-1ED7-4D34-90D0-AB3D02FE2402}"/>
    <cellStyle name="Comma 4 2 2 2 3 2 2 2 3" xfId="34233" xr:uid="{1F1E183D-D870-4EF0-8C9F-557459ABE954}"/>
    <cellStyle name="Comma 4 2 2 2 3 2 2 2 4" xfId="25785" xr:uid="{F13EFF2C-42CE-4CFD-8882-324F0E791E2F}"/>
    <cellStyle name="Comma 4 2 2 2 3 2 2 2 5" xfId="16488" xr:uid="{2810DDD8-8435-4738-8A5E-3035A7D850B8}"/>
    <cellStyle name="Comma 4 2 2 2 3 2 2 3" xfId="38463" xr:uid="{E038C728-527F-4053-83D0-416C386AC155}"/>
    <cellStyle name="Comma 4 2 2 2 3 2 2 4" xfId="30015" xr:uid="{D30BB109-F850-453E-A302-7F7D7BE35F4E}"/>
    <cellStyle name="Comma 4 2 2 2 3 2 2 5" xfId="21568" xr:uid="{C7FC9DC9-188D-485F-AFF6-54375F9ABEBA}"/>
    <cellStyle name="Comma 4 2 2 2 3 2 2 6" xfId="12271" xr:uid="{ECB1C706-2888-4337-BDA5-249EE538484E}"/>
    <cellStyle name="Comma 4 2 2 2 3 2 3" xfId="5017" xr:uid="{00000000-0005-0000-0000-0000D6070000}"/>
    <cellStyle name="Comma 4 2 2 2 3 2 3 2" xfId="40535" xr:uid="{7C6B320E-35DC-4498-B4C7-096E77692063}"/>
    <cellStyle name="Comma 4 2 2 2 3 2 3 3" xfId="32088" xr:uid="{7949A985-4A15-46C0-86D8-BF9D72CC7E6A}"/>
    <cellStyle name="Comma 4 2 2 2 3 2 3 4" xfId="23640" xr:uid="{44910141-A325-457C-AB94-28066D438B45}"/>
    <cellStyle name="Comma 4 2 2 2 3 2 3 5" xfId="14343" xr:uid="{D18F9968-0E33-473F-B477-BD40FF13E2D4}"/>
    <cellStyle name="Comma 4 2 2 2 3 2 4" xfId="9438" xr:uid="{8E9C4341-814A-43D1-8D35-8CCC512A2E32}"/>
    <cellStyle name="Comma 4 2 2 2 3 2 4 2" xfId="36318" xr:uid="{7A5D5ACF-C2DF-4300-8BB2-CAC357F4F3B4}"/>
    <cellStyle name="Comma 4 2 2 2 3 2 4 3" xfId="18751" xr:uid="{0596D2D6-2503-4959-81FF-D2CCC8CBE55D}"/>
    <cellStyle name="Comma 4 2 2 2 3 2 5" xfId="27870" xr:uid="{2D4D7589-D7B9-4999-A56E-36A6EE152FC9}"/>
    <cellStyle name="Comma 4 2 2 2 3 2 6" xfId="19423" xr:uid="{F48BF512-DC14-4E43-869C-F2B6198AFDDA}"/>
    <cellStyle name="Comma 4 2 2 2 3 2 7" xfId="10126" xr:uid="{0865C46B-8CA2-42D9-A30E-537344D50BB9}"/>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43093" xr:uid="{EB00A814-407C-4951-AAAE-FD855045EAE7}"/>
    <cellStyle name="Comma 4 2 2 2 3 3 2 2 3" xfId="34646" xr:uid="{AF381DE7-358F-47C0-8774-A84B06779360}"/>
    <cellStyle name="Comma 4 2 2 2 3 3 2 2 4" xfId="26198" xr:uid="{0695493D-70E2-4D40-AA41-D0D2C743E968}"/>
    <cellStyle name="Comma 4 2 2 2 3 3 2 2 5" xfId="16901" xr:uid="{C88BD2F4-17F7-42ED-940F-0CE520F0220B}"/>
    <cellStyle name="Comma 4 2 2 2 3 3 2 3" xfId="38876" xr:uid="{937830A7-0959-441B-98BA-3906FB301541}"/>
    <cellStyle name="Comma 4 2 2 2 3 3 2 4" xfId="30428" xr:uid="{40AEF996-5B9F-4D05-B1E0-90891F9EDE96}"/>
    <cellStyle name="Comma 4 2 2 2 3 3 2 5" xfId="21981" xr:uid="{096B8C5C-EB02-4655-A76C-ABF320601B76}"/>
    <cellStyle name="Comma 4 2 2 2 3 3 2 6" xfId="12684" xr:uid="{F9A748C5-EA61-477B-A39B-CF6CD05CA3FA}"/>
    <cellStyle name="Comma 4 2 2 2 3 3 3" xfId="5430" xr:uid="{00000000-0005-0000-0000-0000DA070000}"/>
    <cellStyle name="Comma 4 2 2 2 3 3 3 2" xfId="40948" xr:uid="{779DC3AA-9756-4998-9E40-A54FCC7B8A9C}"/>
    <cellStyle name="Comma 4 2 2 2 3 3 3 3" xfId="32501" xr:uid="{A20156A3-A115-43B9-BAD6-B43109FBB128}"/>
    <cellStyle name="Comma 4 2 2 2 3 3 3 4" xfId="24053" xr:uid="{F684D1B2-D2AB-4BB5-8120-BE0E2EF79FA1}"/>
    <cellStyle name="Comma 4 2 2 2 3 3 3 5" xfId="14756" xr:uid="{896B42C4-F732-4A27-86DE-3A1D7B7F95F2}"/>
    <cellStyle name="Comma 4 2 2 2 3 3 4" xfId="36731" xr:uid="{E4D1B3AE-F290-4B00-B6FC-E789CCCF93BD}"/>
    <cellStyle name="Comma 4 2 2 2 3 3 5" xfId="28283" xr:uid="{3798ABF6-0DC9-45F6-829D-6C000EDDD699}"/>
    <cellStyle name="Comma 4 2 2 2 3 3 6" xfId="19836" xr:uid="{0EA3AAE5-B7AC-42F0-9DF9-05BDB887A383}"/>
    <cellStyle name="Comma 4 2 2 2 3 3 7" xfId="10539" xr:uid="{ED58B224-3BB3-4F59-9D2B-615FE0943235}"/>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43506" xr:uid="{19CE336F-4D16-40A2-8253-9FB8360AD714}"/>
    <cellStyle name="Comma 4 2 2 2 3 4 2 2 3" xfId="35059" xr:uid="{FA2EE61C-0ECE-4CF5-BD58-C2A0FAF1C3C4}"/>
    <cellStyle name="Comma 4 2 2 2 3 4 2 2 4" xfId="26611" xr:uid="{85E7AC4C-9000-4AD9-BDC5-65A59E02612F}"/>
    <cellStyle name="Comma 4 2 2 2 3 4 2 2 5" xfId="17314" xr:uid="{878F8B58-47C6-4990-B385-0866FEDE4A23}"/>
    <cellStyle name="Comma 4 2 2 2 3 4 2 3" xfId="39289" xr:uid="{48F2AE1C-385B-4F4D-9B15-70F952153D23}"/>
    <cellStyle name="Comma 4 2 2 2 3 4 2 4" xfId="30841" xr:uid="{6F647CB5-9A53-4337-A54F-DE7B52DA480C}"/>
    <cellStyle name="Comma 4 2 2 2 3 4 2 5" xfId="22394" xr:uid="{9E8B510E-C74A-4906-857C-C96BF3018072}"/>
    <cellStyle name="Comma 4 2 2 2 3 4 2 6" xfId="13097" xr:uid="{9B7DD840-A473-4A4D-82D0-FF0BB789A2B4}"/>
    <cellStyle name="Comma 4 2 2 2 3 4 3" xfId="5843" xr:uid="{00000000-0005-0000-0000-0000DE070000}"/>
    <cellStyle name="Comma 4 2 2 2 3 4 3 2" xfId="41361" xr:uid="{602D2B7D-D6DC-449E-9C52-9B028F03A37F}"/>
    <cellStyle name="Comma 4 2 2 2 3 4 3 3" xfId="32914" xr:uid="{39A6024B-89D1-4818-8B9A-0378660470E7}"/>
    <cellStyle name="Comma 4 2 2 2 3 4 3 4" xfId="24466" xr:uid="{B5588B9F-F575-4A20-8BF4-586C68783583}"/>
    <cellStyle name="Comma 4 2 2 2 3 4 3 5" xfId="15169" xr:uid="{07293114-3455-4661-B712-E3B1D39E06F9}"/>
    <cellStyle name="Comma 4 2 2 2 3 4 4" xfId="37144" xr:uid="{1E1E4696-2C45-47EF-8EF6-43C27FCE9F64}"/>
    <cellStyle name="Comma 4 2 2 2 3 4 5" xfId="28696" xr:uid="{A4A2DC9E-174C-4D3A-B015-F04A7F1AC491}"/>
    <cellStyle name="Comma 4 2 2 2 3 4 6" xfId="20249" xr:uid="{413493D5-B272-4789-B027-9974B33B60A4}"/>
    <cellStyle name="Comma 4 2 2 2 3 4 7" xfId="10952" xr:uid="{E3BF841F-3A50-4A8B-98BE-D9A765111A64}"/>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43919" xr:uid="{260E3340-0355-4D3F-ABD1-8C569F630422}"/>
    <cellStyle name="Comma 4 2 2 2 3 5 2 2 3" xfId="35472" xr:uid="{A97C46D2-4C35-4FC4-A2CC-26DB509AD7AB}"/>
    <cellStyle name="Comma 4 2 2 2 3 5 2 2 4" xfId="27024" xr:uid="{412D9776-A409-4FCB-98B4-01216C1CA7E5}"/>
    <cellStyle name="Comma 4 2 2 2 3 5 2 2 5" xfId="17727" xr:uid="{FA5D86E1-8A6A-4F58-AE59-14FD2DB31A78}"/>
    <cellStyle name="Comma 4 2 2 2 3 5 2 3" xfId="39702" xr:uid="{DB55622A-8841-4B72-9039-512659598DA5}"/>
    <cellStyle name="Comma 4 2 2 2 3 5 2 4" xfId="31254" xr:uid="{4D8B4145-ED76-4265-A65E-2E47009CFE38}"/>
    <cellStyle name="Comma 4 2 2 2 3 5 2 5" xfId="22807" xr:uid="{89ABA299-B22D-4F3B-8379-61E001B6DBFE}"/>
    <cellStyle name="Comma 4 2 2 2 3 5 2 6" xfId="13510" xr:uid="{38E6F822-A95D-4166-8A25-D2EC910D87EB}"/>
    <cellStyle name="Comma 4 2 2 2 3 5 3" xfId="6256" xr:uid="{00000000-0005-0000-0000-0000E2070000}"/>
    <cellStyle name="Comma 4 2 2 2 3 5 3 2" xfId="41774" xr:uid="{74AE64B5-9F3A-408A-AC95-25B6C940824A}"/>
    <cellStyle name="Comma 4 2 2 2 3 5 3 3" xfId="33327" xr:uid="{C04AE92F-39E3-4131-A221-29666EECB48E}"/>
    <cellStyle name="Comma 4 2 2 2 3 5 3 4" xfId="24879" xr:uid="{1C7EFC8E-3A3F-4969-BD2D-45D404B2C51C}"/>
    <cellStyle name="Comma 4 2 2 2 3 5 3 5" xfId="15582" xr:uid="{BD9483AB-7559-45E3-A2EC-72FC6DC25EF4}"/>
    <cellStyle name="Comma 4 2 2 2 3 5 4" xfId="37557" xr:uid="{30093B82-BADE-4204-B879-C7B44EF2CEB1}"/>
    <cellStyle name="Comma 4 2 2 2 3 5 5" xfId="29109" xr:uid="{D124ED4D-9F13-4DA4-8A8C-15A093CB65E6}"/>
    <cellStyle name="Comma 4 2 2 2 3 5 6" xfId="20662" xr:uid="{3BD7F2EF-40BD-45B5-AB0D-418BB2E0BC11}"/>
    <cellStyle name="Comma 4 2 2 2 3 5 7" xfId="11365" xr:uid="{38F6DA4B-A19B-46A7-B4FD-0580DDCFD341}"/>
    <cellStyle name="Comma 4 2 2 2 3 6" xfId="2385" xr:uid="{00000000-0005-0000-0000-0000E3070000}"/>
    <cellStyle name="Comma 4 2 2 2 3 6 2" xfId="6669" xr:uid="{00000000-0005-0000-0000-0000E4070000}"/>
    <cellStyle name="Comma 4 2 2 2 3 6 2 2" xfId="42187" xr:uid="{F115CE63-5FC7-47C7-9FCB-6309E4AFDF63}"/>
    <cellStyle name="Comma 4 2 2 2 3 6 2 3" xfId="33740" xr:uid="{4876A1FF-95A0-4A10-95F3-18E59FC709AB}"/>
    <cellStyle name="Comma 4 2 2 2 3 6 2 4" xfId="25292" xr:uid="{2A679E83-D738-4EAF-934C-D1776097E82A}"/>
    <cellStyle name="Comma 4 2 2 2 3 6 2 5" xfId="15995" xr:uid="{5D56D5F6-80F4-4387-93FE-6F48AEB58817}"/>
    <cellStyle name="Comma 4 2 2 2 3 6 3" xfId="37970" xr:uid="{CFDA2B71-8772-4650-974C-A565BCF9B669}"/>
    <cellStyle name="Comma 4 2 2 2 3 6 4" xfId="29522" xr:uid="{5D6864C7-EB82-4C46-9034-FE6BD1082A81}"/>
    <cellStyle name="Comma 4 2 2 2 3 6 5" xfId="21075" xr:uid="{3EB2B4C4-2E2D-4157-8EE9-ADA553B0BDD3}"/>
    <cellStyle name="Comma 4 2 2 2 3 6 6" xfId="11778" xr:uid="{662D4CDD-2931-42D1-B00B-C5A28BC481D8}"/>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42504" xr:uid="{65D3BCCD-37A1-4D1D-B044-3D0B62E1D0C5}"/>
    <cellStyle name="Comma 4 2 2 2 3 8 2 3" xfId="34057" xr:uid="{EEE0F906-5B7A-4227-8529-1D8A289C9005}"/>
    <cellStyle name="Comma 4 2 2 2 3 8 2 4" xfId="25609" xr:uid="{FB0112D1-CD96-4339-AF4A-670B94798453}"/>
    <cellStyle name="Comma 4 2 2 2 3 8 2 5" xfId="16312" xr:uid="{D1371274-C999-475F-B68D-BE8D3044B013}"/>
    <cellStyle name="Comma 4 2 2 2 3 8 3" xfId="38287" xr:uid="{80BE37EE-E0A8-4C68-BEBF-E1DB0392AD4A}"/>
    <cellStyle name="Comma 4 2 2 2 3 8 4" xfId="29839" xr:uid="{392FD38C-7234-43CF-93F2-28996BF206CB}"/>
    <cellStyle name="Comma 4 2 2 2 3 8 5" xfId="21392" xr:uid="{4842EE5B-6EEE-4587-BD34-267B7A52E40B}"/>
    <cellStyle name="Comma 4 2 2 2 3 8 6" xfId="12095" xr:uid="{16B652DD-C324-4285-8A48-6F31D344FCC5}"/>
    <cellStyle name="Comma 4 2 2 2 3 9" xfId="4603" xr:uid="{00000000-0005-0000-0000-0000E8070000}"/>
    <cellStyle name="Comma 4 2 2 2 3 9 2" xfId="40121" xr:uid="{7694DE81-664B-4F5F-821D-9E26C5402123}"/>
    <cellStyle name="Comma 4 2 2 2 3 9 3" xfId="31674" xr:uid="{D9DFD2B6-66B4-4A12-9E75-272337C86B9B}"/>
    <cellStyle name="Comma 4 2 2 2 3 9 4" xfId="23226" xr:uid="{B8A3EF27-122A-4196-A5EB-60B0450EF7F2}"/>
    <cellStyle name="Comma 4 2 2 2 3 9 5" xfId="13929" xr:uid="{27AA2193-D18B-4D15-82B8-EF3A444042E5}"/>
    <cellStyle name="Comma 4 2 2 2 4" xfId="666" xr:uid="{00000000-0005-0000-0000-0000E9070000}"/>
    <cellStyle name="Comma 4 2 2 2 4 2" xfId="2937" xr:uid="{00000000-0005-0000-0000-0000EA070000}"/>
    <cellStyle name="Comma 4 2 2 2 4 2 2" xfId="7159" xr:uid="{00000000-0005-0000-0000-0000EB070000}"/>
    <cellStyle name="Comma 4 2 2 2 4 2 2 2" xfId="42677" xr:uid="{E55B075E-A335-4B76-9E95-9E1ABC375328}"/>
    <cellStyle name="Comma 4 2 2 2 4 2 2 3" xfId="34230" xr:uid="{2BA98BC7-7779-41B7-9A13-A99B6697F4E5}"/>
    <cellStyle name="Comma 4 2 2 2 4 2 2 4" xfId="25782" xr:uid="{C783B21F-48ED-4718-91BB-3B7669B744DA}"/>
    <cellStyle name="Comma 4 2 2 2 4 2 2 5" xfId="16485" xr:uid="{60000C89-86DA-4FEE-8EF9-F9EF138226B4}"/>
    <cellStyle name="Comma 4 2 2 2 4 2 3" xfId="38460" xr:uid="{E9B50110-7DFC-437C-AD26-C5EB34A923B1}"/>
    <cellStyle name="Comma 4 2 2 2 4 2 4" xfId="30012" xr:uid="{1CAADF31-1069-46FF-B3E9-3C6BCF2BDE55}"/>
    <cellStyle name="Comma 4 2 2 2 4 2 5" xfId="21565" xr:uid="{8B321B1F-573B-4222-A54C-D39632B39EBA}"/>
    <cellStyle name="Comma 4 2 2 2 4 2 6" xfId="12268" xr:uid="{16F51C91-54E6-430F-8D5F-E60AF51B5888}"/>
    <cellStyle name="Comma 4 2 2 2 4 3" xfId="5014" xr:uid="{00000000-0005-0000-0000-0000EC070000}"/>
    <cellStyle name="Comma 4 2 2 2 4 3 2" xfId="40532" xr:uid="{DC2B819C-F664-4DB3-A3F9-D8BE81195196}"/>
    <cellStyle name="Comma 4 2 2 2 4 3 3" xfId="32085" xr:uid="{51CF6B1A-F8DB-41A9-8F19-EFDEC99A7EDB}"/>
    <cellStyle name="Comma 4 2 2 2 4 3 4" xfId="23637" xr:uid="{10AD024D-BD8D-40AD-B300-717CFC25C9AF}"/>
    <cellStyle name="Comma 4 2 2 2 4 3 5" xfId="14340" xr:uid="{57C21A46-21E6-4E88-BBDC-4E3474E0AAB8}"/>
    <cellStyle name="Comma 4 2 2 2 4 4" xfId="9231" xr:uid="{31DAC97A-9492-467B-9850-183797A56FBE}"/>
    <cellStyle name="Comma 4 2 2 2 4 4 2" xfId="36315" xr:uid="{96CA15FE-44A4-41BE-B569-CBC664A8F666}"/>
    <cellStyle name="Comma 4 2 2 2 4 4 3" xfId="18544" xr:uid="{D2525454-C113-45DF-9DB9-6910282210E6}"/>
    <cellStyle name="Comma 4 2 2 2 4 5" xfId="27867" xr:uid="{B480B9DD-3AAC-4F6F-84A0-AE868BFF86C0}"/>
    <cellStyle name="Comma 4 2 2 2 4 6" xfId="19420" xr:uid="{4322652D-DF63-4CD7-A0D0-557E69F5A0FC}"/>
    <cellStyle name="Comma 4 2 2 2 4 7" xfId="10123" xr:uid="{1AC6E88B-D802-46D3-88EB-AB362B9D55E7}"/>
    <cellStyle name="Comma 4 2 2 2 5" xfId="1119" xr:uid="{00000000-0005-0000-0000-0000ED070000}"/>
    <cellStyle name="Comma 4 2 2 2 5 2" xfId="3350" xr:uid="{00000000-0005-0000-0000-0000EE070000}"/>
    <cellStyle name="Comma 4 2 2 2 5 2 2" xfId="7572" xr:uid="{00000000-0005-0000-0000-0000EF070000}"/>
    <cellStyle name="Comma 4 2 2 2 5 2 2 2" xfId="43090" xr:uid="{9E4CE0AD-639D-4836-8895-D2C2A50039AB}"/>
    <cellStyle name="Comma 4 2 2 2 5 2 2 3" xfId="34643" xr:uid="{B73408CB-A511-4F19-8476-84E62E80908E}"/>
    <cellStyle name="Comma 4 2 2 2 5 2 2 4" xfId="26195" xr:uid="{737674A2-387D-4810-9FB5-C60186606C40}"/>
    <cellStyle name="Comma 4 2 2 2 5 2 2 5" xfId="16898" xr:uid="{9111C828-30B8-4DA7-94EB-52C6EE4C6575}"/>
    <cellStyle name="Comma 4 2 2 2 5 2 3" xfId="38873" xr:uid="{A6D3CC75-B594-49A0-B2CB-7E133500E72F}"/>
    <cellStyle name="Comma 4 2 2 2 5 2 4" xfId="30425" xr:uid="{B279D938-B25E-4FAA-BC2E-3A00D6C97318}"/>
    <cellStyle name="Comma 4 2 2 2 5 2 5" xfId="21978" xr:uid="{FFC66C7C-18DA-41AD-A41C-609F52AA7066}"/>
    <cellStyle name="Comma 4 2 2 2 5 2 6" xfId="12681" xr:uid="{99BAFC92-DDD5-403E-B4E3-CB2111092389}"/>
    <cellStyle name="Comma 4 2 2 2 5 3" xfId="5427" xr:uid="{00000000-0005-0000-0000-0000F0070000}"/>
    <cellStyle name="Comma 4 2 2 2 5 3 2" xfId="40945" xr:uid="{7D810480-858C-4F38-BC12-94C9698E6208}"/>
    <cellStyle name="Comma 4 2 2 2 5 3 3" xfId="32498" xr:uid="{98295DEF-7FFD-4464-9E8A-C6A40FC3CB6D}"/>
    <cellStyle name="Comma 4 2 2 2 5 3 4" xfId="24050" xr:uid="{F5813D8B-7878-43A9-AE3D-D321C4D0F94C}"/>
    <cellStyle name="Comma 4 2 2 2 5 3 5" xfId="14753" xr:uid="{7E84C0D8-170E-4A96-B158-149ADA6C07C1}"/>
    <cellStyle name="Comma 4 2 2 2 5 4" xfId="36728" xr:uid="{844C403A-8143-4F57-838B-E1638783A723}"/>
    <cellStyle name="Comma 4 2 2 2 5 5" xfId="28280" xr:uid="{C31B3BD9-AB55-4AF9-BF6A-26ECD50600A4}"/>
    <cellStyle name="Comma 4 2 2 2 5 6" xfId="19833" xr:uid="{07CD68A5-8091-4D54-9E71-4617B23EE5A2}"/>
    <cellStyle name="Comma 4 2 2 2 5 7" xfId="10536" xr:uid="{262AAAC3-0988-4275-BC54-BA10AB8CD06C}"/>
    <cellStyle name="Comma 4 2 2 2 6" xfId="1533" xr:uid="{00000000-0005-0000-0000-0000F1070000}"/>
    <cellStyle name="Comma 4 2 2 2 6 2" xfId="3763" xr:uid="{00000000-0005-0000-0000-0000F2070000}"/>
    <cellStyle name="Comma 4 2 2 2 6 2 2" xfId="7985" xr:uid="{00000000-0005-0000-0000-0000F3070000}"/>
    <cellStyle name="Comma 4 2 2 2 6 2 2 2" xfId="43503" xr:uid="{AD81BBC6-ED02-4149-810A-8C6E19FF82DB}"/>
    <cellStyle name="Comma 4 2 2 2 6 2 2 3" xfId="35056" xr:uid="{547830D4-812A-43DB-8108-93595B2353B9}"/>
    <cellStyle name="Comma 4 2 2 2 6 2 2 4" xfId="26608" xr:uid="{25ABE3AC-A5FF-4238-BD90-A4FD3D5CB502}"/>
    <cellStyle name="Comma 4 2 2 2 6 2 2 5" xfId="17311" xr:uid="{C0C7C2BC-BFEA-4243-9FA1-3608B374F05B}"/>
    <cellStyle name="Comma 4 2 2 2 6 2 3" xfId="39286" xr:uid="{94B61D22-4954-4828-AFCB-90AC0E5E0DF3}"/>
    <cellStyle name="Comma 4 2 2 2 6 2 4" xfId="30838" xr:uid="{F9B41DE7-4189-4263-A2A6-E077714F5102}"/>
    <cellStyle name="Comma 4 2 2 2 6 2 5" xfId="22391" xr:uid="{66FB7055-5B0A-43C1-87F6-173792CD0E08}"/>
    <cellStyle name="Comma 4 2 2 2 6 2 6" xfId="13094" xr:uid="{39025752-94C2-4949-881F-B82F2C6B4431}"/>
    <cellStyle name="Comma 4 2 2 2 6 3" xfId="5840" xr:uid="{00000000-0005-0000-0000-0000F4070000}"/>
    <cellStyle name="Comma 4 2 2 2 6 3 2" xfId="41358" xr:uid="{A52D2EBE-6749-4DA4-B90B-0AA81E29F9F7}"/>
    <cellStyle name="Comma 4 2 2 2 6 3 3" xfId="32911" xr:uid="{A50EA426-6602-44F0-8AE0-A2879E6141B9}"/>
    <cellStyle name="Comma 4 2 2 2 6 3 4" xfId="24463" xr:uid="{C90C8F94-F8FB-4418-A88D-254DA63D43F5}"/>
    <cellStyle name="Comma 4 2 2 2 6 3 5" xfId="15166" xr:uid="{15766D9C-5E69-4908-9357-7BACE994F0A8}"/>
    <cellStyle name="Comma 4 2 2 2 6 4" xfId="37141" xr:uid="{0CCAC4F5-8553-4BD6-9938-FFD21B5E1769}"/>
    <cellStyle name="Comma 4 2 2 2 6 5" xfId="28693" xr:uid="{E415E3BB-92F0-401C-9875-0CD73069906F}"/>
    <cellStyle name="Comma 4 2 2 2 6 6" xfId="20246" xr:uid="{28D6A669-9139-4DD4-B25E-F6A76646B756}"/>
    <cellStyle name="Comma 4 2 2 2 6 7" xfId="10949" xr:uid="{868D9483-7261-4CEE-88B8-FF12D47D7843}"/>
    <cellStyle name="Comma 4 2 2 2 7" xfId="1947" xr:uid="{00000000-0005-0000-0000-0000F5070000}"/>
    <cellStyle name="Comma 4 2 2 2 7 2" xfId="4176" xr:uid="{00000000-0005-0000-0000-0000F6070000}"/>
    <cellStyle name="Comma 4 2 2 2 7 2 2" xfId="8398" xr:uid="{00000000-0005-0000-0000-0000F7070000}"/>
    <cellStyle name="Comma 4 2 2 2 7 2 2 2" xfId="43916" xr:uid="{C849AE6A-1212-4EDE-BA7C-6731C3EDE7BF}"/>
    <cellStyle name="Comma 4 2 2 2 7 2 2 3" xfId="35469" xr:uid="{A09F4BC0-C430-4383-ABC6-6B36463CD591}"/>
    <cellStyle name="Comma 4 2 2 2 7 2 2 4" xfId="27021" xr:uid="{D4F4210F-B8D1-49BB-AB94-61CA67E28DDA}"/>
    <cellStyle name="Comma 4 2 2 2 7 2 2 5" xfId="17724" xr:uid="{C46F24C5-C24F-489A-8B9F-2FA240CD8F29}"/>
    <cellStyle name="Comma 4 2 2 2 7 2 3" xfId="39699" xr:uid="{4DECC42D-2A32-4D7F-BE2F-A38DAE3D5DB7}"/>
    <cellStyle name="Comma 4 2 2 2 7 2 4" xfId="31251" xr:uid="{7E084AB7-9DEA-4CF3-9C38-3FC7E12CBDAF}"/>
    <cellStyle name="Comma 4 2 2 2 7 2 5" xfId="22804" xr:uid="{58495C24-84B0-4463-8502-3D683EDB6C25}"/>
    <cellStyle name="Comma 4 2 2 2 7 2 6" xfId="13507" xr:uid="{76437F27-D060-44EB-A782-028E4B860720}"/>
    <cellStyle name="Comma 4 2 2 2 7 3" xfId="6253" xr:uid="{00000000-0005-0000-0000-0000F8070000}"/>
    <cellStyle name="Comma 4 2 2 2 7 3 2" xfId="41771" xr:uid="{3E06B4B6-6027-4B46-A759-96571C2CF75F}"/>
    <cellStyle name="Comma 4 2 2 2 7 3 3" xfId="33324" xr:uid="{24C90A7A-5462-4AB1-AC9A-9D41EDF300D7}"/>
    <cellStyle name="Comma 4 2 2 2 7 3 4" xfId="24876" xr:uid="{0F9E04ED-65F0-4116-84B6-C4BB948B0E83}"/>
    <cellStyle name="Comma 4 2 2 2 7 3 5" xfId="15579" xr:uid="{59FE1EFA-381D-447B-97D8-BF2C1E08FD18}"/>
    <cellStyle name="Comma 4 2 2 2 7 4" xfId="37554" xr:uid="{1AC8ED09-9A59-4B80-83CD-DB8CD9FF0A24}"/>
    <cellStyle name="Comma 4 2 2 2 7 5" xfId="29106" xr:uid="{D42143B8-8101-4F64-B541-17B488ACDF16}"/>
    <cellStyle name="Comma 4 2 2 2 7 6" xfId="20659" xr:uid="{9FDA2E6A-0FE2-45A2-978C-C789419EADE0}"/>
    <cellStyle name="Comma 4 2 2 2 7 7" xfId="11362" xr:uid="{A9B0B4BC-A594-4044-8438-ED3D7C867099}"/>
    <cellStyle name="Comma 4 2 2 2 8" xfId="2382" xr:uid="{00000000-0005-0000-0000-0000F9070000}"/>
    <cellStyle name="Comma 4 2 2 2 8 2" xfId="6666" xr:uid="{00000000-0005-0000-0000-0000FA070000}"/>
    <cellStyle name="Comma 4 2 2 2 8 2 2" xfId="42184" xr:uid="{3768373C-542E-4806-8C1D-D7763EF5225D}"/>
    <cellStyle name="Comma 4 2 2 2 8 2 3" xfId="33737" xr:uid="{517806BE-5533-4457-98AA-2555BB2802CE}"/>
    <cellStyle name="Comma 4 2 2 2 8 2 4" xfId="25289" xr:uid="{7E920CE5-775D-4C48-9F80-7E5B95E4CF0A}"/>
    <cellStyle name="Comma 4 2 2 2 8 2 5" xfId="15992" xr:uid="{FBA2E5DD-C977-45D1-B5B1-46AC9573DC13}"/>
    <cellStyle name="Comma 4 2 2 2 8 3" xfId="37967" xr:uid="{5D6757A6-D3A4-40BA-BB9E-65AFAAC8CF93}"/>
    <cellStyle name="Comma 4 2 2 2 8 4" xfId="29519" xr:uid="{569AD300-7C86-473E-8141-0A812152F889}"/>
    <cellStyle name="Comma 4 2 2 2 8 5" xfId="21072" xr:uid="{E68D249E-D1B6-489A-88B4-8A326D9F461A}"/>
    <cellStyle name="Comma 4 2 2 2 8 6" xfId="11775" xr:uid="{B4DB8DA8-F98B-465F-BF06-84B365A0F29E}"/>
    <cellStyle name="Comma 4 2 2 2 9" xfId="2381" xr:uid="{00000000-0005-0000-0000-0000FB070000}"/>
    <cellStyle name="Comma 4 2 2 3" xfId="132" xr:uid="{00000000-0005-0000-0000-0000FC070000}"/>
    <cellStyle name="Comma 4 2 2 3 10" xfId="4604" xr:uid="{00000000-0005-0000-0000-0000FD070000}"/>
    <cellStyle name="Comma 4 2 2 3 10 2" xfId="40122" xr:uid="{16E74BDB-7922-43CC-B02A-FC861648CA96}"/>
    <cellStyle name="Comma 4 2 2 3 10 3" xfId="31675" xr:uid="{0B87748C-0106-4C9B-96F2-065C39CDE056}"/>
    <cellStyle name="Comma 4 2 2 3 10 4" xfId="23227" xr:uid="{1CCCC84E-903C-4715-88F1-BDA16631C832}"/>
    <cellStyle name="Comma 4 2 2 3 10 5" xfId="13930" xr:uid="{EC2C0216-123D-44B1-AFCF-FA43C27E6191}"/>
    <cellStyle name="Comma 4 2 2 3 11" xfId="8889" xr:uid="{93813409-C042-4436-8561-B0237A135E7D}"/>
    <cellStyle name="Comma 4 2 2 3 11 2" xfId="35905" xr:uid="{12D65E28-ED1B-43D2-8AEB-7354066ED445}"/>
    <cellStyle name="Comma 4 2 2 3 11 3" xfId="18212" xr:uid="{1E45F729-F93F-4DC0-B0C2-96DCE56D5A05}"/>
    <cellStyle name="Comma 4 2 2 3 12" xfId="27457" xr:uid="{46D9B198-6BA8-4D4C-954C-50EEEA4C0A8E}"/>
    <cellStyle name="Comma 4 2 2 3 13" xfId="19010" xr:uid="{D2F4C647-B5D5-4C67-B18B-73C3CE6E58CF}"/>
    <cellStyle name="Comma 4 2 2 3 14" xfId="9713" xr:uid="{57A5D431-0AF2-4E24-96A6-A839AEFAF8F4}"/>
    <cellStyle name="Comma 4 2 2 3 2" xfId="133" xr:uid="{00000000-0005-0000-0000-0000FE070000}"/>
    <cellStyle name="Comma 4 2 2 3 2 10" xfId="9096" xr:uid="{C395B6CC-7E3E-452B-B5AB-BBF992A45CEB}"/>
    <cellStyle name="Comma 4 2 2 3 2 10 2" xfId="35906" xr:uid="{BCC12757-B219-45AE-A06D-9B556CDA0632}"/>
    <cellStyle name="Comma 4 2 2 3 2 10 3" xfId="18419" xr:uid="{F9671F35-E2BB-459D-AAF1-403A9835C799}"/>
    <cellStyle name="Comma 4 2 2 3 2 11" xfId="27458" xr:uid="{EF34C65B-CD0E-49E8-BFB9-9F98BB865D5C}"/>
    <cellStyle name="Comma 4 2 2 3 2 12" xfId="19011" xr:uid="{0278AF54-FAD2-472B-AB35-F3319D3FDB15}"/>
    <cellStyle name="Comma 4 2 2 3 2 13" xfId="9714" xr:uid="{5211B849-BC32-4305-938E-771A406C7A8D}"/>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42682" xr:uid="{3AF76EE2-3E13-412B-8525-E7343A7763BA}"/>
    <cellStyle name="Comma 4 2 2 3 2 2 2 2 3" xfId="34235" xr:uid="{B08BDF5E-2D13-4560-91D3-EFE70EB12B45}"/>
    <cellStyle name="Comma 4 2 2 3 2 2 2 2 4" xfId="25787" xr:uid="{5BE3B343-FA57-491C-BC4E-B4A03BC2943D}"/>
    <cellStyle name="Comma 4 2 2 3 2 2 2 2 5" xfId="16490" xr:uid="{BE6DBC3B-F1CC-43A8-B78E-883E35F97B2E}"/>
    <cellStyle name="Comma 4 2 2 3 2 2 2 3" xfId="38465" xr:uid="{997AD184-0399-478A-9A4B-1F8E5B3B9155}"/>
    <cellStyle name="Comma 4 2 2 3 2 2 2 4" xfId="30017" xr:uid="{860780F0-1A74-453B-8A80-8DCA36B7CD34}"/>
    <cellStyle name="Comma 4 2 2 3 2 2 2 5" xfId="21570" xr:uid="{411DB6F6-B528-4DF0-BD53-2CB0DA13F2E7}"/>
    <cellStyle name="Comma 4 2 2 3 2 2 2 6" xfId="12273" xr:uid="{55D8C168-AEC4-4949-8DDC-B4B9B4496BED}"/>
    <cellStyle name="Comma 4 2 2 3 2 2 3" xfId="5019" xr:uid="{00000000-0005-0000-0000-000002080000}"/>
    <cellStyle name="Comma 4 2 2 3 2 2 3 2" xfId="40537" xr:uid="{44AC9E24-C253-4A65-B269-D8BF769B51A0}"/>
    <cellStyle name="Comma 4 2 2 3 2 2 3 3" xfId="32090" xr:uid="{5AD03489-01F3-4ACD-A1AB-2A58B9432B83}"/>
    <cellStyle name="Comma 4 2 2 3 2 2 3 4" xfId="23642" xr:uid="{F8BEB2D8-01A0-4090-ADAD-3BB3F2DE808E}"/>
    <cellStyle name="Comma 4 2 2 3 2 2 3 5" xfId="14345" xr:uid="{755F710D-C35B-43BA-99F8-0474DA0F6143}"/>
    <cellStyle name="Comma 4 2 2 3 2 2 4" xfId="9521" xr:uid="{8F14F654-C711-4E70-8A06-71F68E70E2E0}"/>
    <cellStyle name="Comma 4 2 2 3 2 2 4 2" xfId="36320" xr:uid="{764FE24B-A452-405D-9E54-017029881DB0}"/>
    <cellStyle name="Comma 4 2 2 3 2 2 4 3" xfId="18834" xr:uid="{5C5653CD-22B5-4376-BDFE-ED8BF0814176}"/>
    <cellStyle name="Comma 4 2 2 3 2 2 5" xfId="27872" xr:uid="{E65928C6-0E7B-4D6D-9F80-8CD1006ECC4B}"/>
    <cellStyle name="Comma 4 2 2 3 2 2 6" xfId="19425" xr:uid="{7BA26908-682E-4370-9B84-B128973D1D41}"/>
    <cellStyle name="Comma 4 2 2 3 2 2 7" xfId="10128" xr:uid="{E64B878B-767B-432D-B9A0-837D44AB40F3}"/>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43095" xr:uid="{3B8AD467-FFF3-4C4E-87C7-44E884170402}"/>
    <cellStyle name="Comma 4 2 2 3 2 3 2 2 3" xfId="34648" xr:uid="{69887583-A310-4B11-8670-1E6F9FD5AD38}"/>
    <cellStyle name="Comma 4 2 2 3 2 3 2 2 4" xfId="26200" xr:uid="{9094FBCF-A09B-4F7E-A7F4-E6896EAAC505}"/>
    <cellStyle name="Comma 4 2 2 3 2 3 2 2 5" xfId="16903" xr:uid="{9FC9600D-CA61-46D3-A2EB-385BA08F0FCE}"/>
    <cellStyle name="Comma 4 2 2 3 2 3 2 3" xfId="38878" xr:uid="{5E660C19-CE6A-4DA7-BBF8-F06E41F8AAEF}"/>
    <cellStyle name="Comma 4 2 2 3 2 3 2 4" xfId="30430" xr:uid="{8C3BD883-D5DE-4B18-8E17-07D491A16AF4}"/>
    <cellStyle name="Comma 4 2 2 3 2 3 2 5" xfId="21983" xr:uid="{A4D18FC3-8E77-48DD-ACBB-8A7991B0241D}"/>
    <cellStyle name="Comma 4 2 2 3 2 3 2 6" xfId="12686" xr:uid="{33F87348-C73C-4163-84ED-C6FEA5320EEB}"/>
    <cellStyle name="Comma 4 2 2 3 2 3 3" xfId="5432" xr:uid="{00000000-0005-0000-0000-000006080000}"/>
    <cellStyle name="Comma 4 2 2 3 2 3 3 2" xfId="40950" xr:uid="{B22DFB13-B9D3-4CD5-AD9F-37FBF256FF69}"/>
    <cellStyle name="Comma 4 2 2 3 2 3 3 3" xfId="32503" xr:uid="{6E540D1F-4046-40FD-9945-B0E1165B86CD}"/>
    <cellStyle name="Comma 4 2 2 3 2 3 3 4" xfId="24055" xr:uid="{1A7D73D6-5D9F-479F-90A7-22B9178F9346}"/>
    <cellStyle name="Comma 4 2 2 3 2 3 3 5" xfId="14758" xr:uid="{ECD48F41-0C22-4D1A-9EFF-6DB77B049B60}"/>
    <cellStyle name="Comma 4 2 2 3 2 3 4" xfId="36733" xr:uid="{0B0D56A2-9A28-49D1-89ED-5303F74C5596}"/>
    <cellStyle name="Comma 4 2 2 3 2 3 5" xfId="28285" xr:uid="{7A05572B-E0BD-4D45-8548-50FEC7073F75}"/>
    <cellStyle name="Comma 4 2 2 3 2 3 6" xfId="19838" xr:uid="{391293A7-7F7C-4231-9FF5-61D053CCFF90}"/>
    <cellStyle name="Comma 4 2 2 3 2 3 7" xfId="10541" xr:uid="{6DEFD741-A0D9-462A-AF73-E7431E16938B}"/>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43508" xr:uid="{71E415C7-2726-49AE-B5B0-1656F4B64238}"/>
    <cellStyle name="Comma 4 2 2 3 2 4 2 2 3" xfId="35061" xr:uid="{CEA6B1D9-0295-4BFE-A002-5B51588BBE5C}"/>
    <cellStyle name="Comma 4 2 2 3 2 4 2 2 4" xfId="26613" xr:uid="{3143B9AB-5F8A-47B4-B937-A108905273BE}"/>
    <cellStyle name="Comma 4 2 2 3 2 4 2 2 5" xfId="17316" xr:uid="{2FDBF531-D070-4D9A-BA6D-FB6A0277EF83}"/>
    <cellStyle name="Comma 4 2 2 3 2 4 2 3" xfId="39291" xr:uid="{5B0C5720-A111-4F83-A57A-2C207994A250}"/>
    <cellStyle name="Comma 4 2 2 3 2 4 2 4" xfId="30843" xr:uid="{089DF205-BFF4-443A-BDF1-9393A5C733AA}"/>
    <cellStyle name="Comma 4 2 2 3 2 4 2 5" xfId="22396" xr:uid="{5F9F0673-E0A0-4B89-B244-335D09EF3F85}"/>
    <cellStyle name="Comma 4 2 2 3 2 4 2 6" xfId="13099" xr:uid="{A1ABB9ED-A3EB-4A29-BB6D-967C6662432E}"/>
    <cellStyle name="Comma 4 2 2 3 2 4 3" xfId="5845" xr:uid="{00000000-0005-0000-0000-00000A080000}"/>
    <cellStyle name="Comma 4 2 2 3 2 4 3 2" xfId="41363" xr:uid="{FBFB0D9A-87A9-4E5A-97BC-116CA8A57DAE}"/>
    <cellStyle name="Comma 4 2 2 3 2 4 3 3" xfId="32916" xr:uid="{4820B547-3502-455E-8F22-8BA465EABBEE}"/>
    <cellStyle name="Comma 4 2 2 3 2 4 3 4" xfId="24468" xr:uid="{EB89861A-4F7E-4B3A-90E7-38B81DC6D2EC}"/>
    <cellStyle name="Comma 4 2 2 3 2 4 3 5" xfId="15171" xr:uid="{AA9BF7E8-A5D5-4C11-B96C-7054331FC013}"/>
    <cellStyle name="Comma 4 2 2 3 2 4 4" xfId="37146" xr:uid="{F77CCFF1-2037-410A-A97A-BA722C88E02E}"/>
    <cellStyle name="Comma 4 2 2 3 2 4 5" xfId="28698" xr:uid="{5E6E173F-28AC-4DC4-82BD-68EDFED3E4ED}"/>
    <cellStyle name="Comma 4 2 2 3 2 4 6" xfId="20251" xr:uid="{454BE886-9F85-4C3F-8BFF-B5BACFBB34CF}"/>
    <cellStyle name="Comma 4 2 2 3 2 4 7" xfId="10954" xr:uid="{69D4288F-2F6C-4A4E-8739-34912C334E53}"/>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43921" xr:uid="{2F9F9D47-8C4E-49C0-A7D4-5EA3F008F6EF}"/>
    <cellStyle name="Comma 4 2 2 3 2 5 2 2 3" xfId="35474" xr:uid="{C4C06516-C995-49CB-AFCB-48C72C27513E}"/>
    <cellStyle name="Comma 4 2 2 3 2 5 2 2 4" xfId="27026" xr:uid="{E6332D15-4895-439C-876F-35D701C3CB26}"/>
    <cellStyle name="Comma 4 2 2 3 2 5 2 2 5" xfId="17729" xr:uid="{49A9F70F-B2D1-4E04-BA18-51CA8FD40DA2}"/>
    <cellStyle name="Comma 4 2 2 3 2 5 2 3" xfId="39704" xr:uid="{A8BF2EB2-82E9-41C8-8D43-BC33E91125E4}"/>
    <cellStyle name="Comma 4 2 2 3 2 5 2 4" xfId="31256" xr:uid="{45924E1B-6D02-404D-B1AB-860D7F025DCA}"/>
    <cellStyle name="Comma 4 2 2 3 2 5 2 5" xfId="22809" xr:uid="{E3FEF550-C1F7-4528-874E-DFCE2FB6B0A4}"/>
    <cellStyle name="Comma 4 2 2 3 2 5 2 6" xfId="13512" xr:uid="{2DCFAB10-F80C-4B59-9E4B-E63FBB7452AD}"/>
    <cellStyle name="Comma 4 2 2 3 2 5 3" xfId="6258" xr:uid="{00000000-0005-0000-0000-00000E080000}"/>
    <cellStyle name="Comma 4 2 2 3 2 5 3 2" xfId="41776" xr:uid="{F491A9F1-63FF-400E-B2D6-618A88A89C26}"/>
    <cellStyle name="Comma 4 2 2 3 2 5 3 3" xfId="33329" xr:uid="{CDA2EBD2-26AC-4FAC-A540-9E99858C779F}"/>
    <cellStyle name="Comma 4 2 2 3 2 5 3 4" xfId="24881" xr:uid="{0C488124-7671-43A0-882F-D6C2ACE523D5}"/>
    <cellStyle name="Comma 4 2 2 3 2 5 3 5" xfId="15584" xr:uid="{00D1B4BA-B476-4EBB-AE84-AF637662BB1F}"/>
    <cellStyle name="Comma 4 2 2 3 2 5 4" xfId="37559" xr:uid="{B8C87066-C096-42D4-B002-BB95A27611DC}"/>
    <cellStyle name="Comma 4 2 2 3 2 5 5" xfId="29111" xr:uid="{04189A0D-D085-4A27-857C-C6DC7E0B58A5}"/>
    <cellStyle name="Comma 4 2 2 3 2 5 6" xfId="20664" xr:uid="{FD0ED82A-D63D-405A-AADA-F470226D87E9}"/>
    <cellStyle name="Comma 4 2 2 3 2 5 7" xfId="11367" xr:uid="{88767F27-3A85-466B-9920-B06EB5E6EB48}"/>
    <cellStyle name="Comma 4 2 2 3 2 6" xfId="2387" xr:uid="{00000000-0005-0000-0000-00000F080000}"/>
    <cellStyle name="Comma 4 2 2 3 2 6 2" xfId="6671" xr:uid="{00000000-0005-0000-0000-000010080000}"/>
    <cellStyle name="Comma 4 2 2 3 2 6 2 2" xfId="42189" xr:uid="{481946A4-E8A2-4004-9510-C9FE91804EE8}"/>
    <cellStyle name="Comma 4 2 2 3 2 6 2 3" xfId="33742" xr:uid="{2A2C87E0-AAB1-4106-AA75-6F58F77CD112}"/>
    <cellStyle name="Comma 4 2 2 3 2 6 2 4" xfId="25294" xr:uid="{D3A6B163-BDF6-48F3-BF6C-F0FE1CAC8BC6}"/>
    <cellStyle name="Comma 4 2 2 3 2 6 2 5" xfId="15997" xr:uid="{63FC116E-A2DF-4DAA-9FE1-D9137A7B17FE}"/>
    <cellStyle name="Comma 4 2 2 3 2 6 3" xfId="37972" xr:uid="{0094FBD9-BDB6-4A8E-9974-29108C35BFC1}"/>
    <cellStyle name="Comma 4 2 2 3 2 6 4" xfId="29524" xr:uid="{C5ADEF34-4810-4D20-A81A-2251BC155C2B}"/>
    <cellStyle name="Comma 4 2 2 3 2 6 5" xfId="21077" xr:uid="{D24506D1-9093-49A2-9C7F-49287BEDBA61}"/>
    <cellStyle name="Comma 4 2 2 3 2 6 6" xfId="11780" xr:uid="{75EE9A45-2546-48D3-B399-7034FB3D6DC9}"/>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42506" xr:uid="{18702412-50AC-47D0-A8CF-E5F1F90E0787}"/>
    <cellStyle name="Comma 4 2 2 3 2 8 2 3" xfId="34059" xr:uid="{58EF59CC-E338-49F4-9DEA-C47CDF747B81}"/>
    <cellStyle name="Comma 4 2 2 3 2 8 2 4" xfId="25611" xr:uid="{4E6D7F6B-733F-4463-9E71-66A37F926F49}"/>
    <cellStyle name="Comma 4 2 2 3 2 8 2 5" xfId="16314" xr:uid="{BE3BB185-A89D-4D94-87DD-909B14DF469B}"/>
    <cellStyle name="Comma 4 2 2 3 2 8 3" xfId="38289" xr:uid="{23E96474-BE5B-4905-B622-5BA978B52E32}"/>
    <cellStyle name="Comma 4 2 2 3 2 8 4" xfId="29841" xr:uid="{4D3DFE3A-0809-4C4C-95E0-3C6362AE6FF2}"/>
    <cellStyle name="Comma 4 2 2 3 2 8 5" xfId="21394" xr:uid="{E5B19EDE-56F9-48A8-AFED-B67DB9F6F899}"/>
    <cellStyle name="Comma 4 2 2 3 2 8 6" xfId="12097" xr:uid="{D19DD287-F2CF-4370-9195-BFF4BDFCFA46}"/>
    <cellStyle name="Comma 4 2 2 3 2 9" xfId="4605" xr:uid="{00000000-0005-0000-0000-000014080000}"/>
    <cellStyle name="Comma 4 2 2 3 2 9 2" xfId="40123" xr:uid="{596085BE-C5BA-44DC-95CC-9F79801A2854}"/>
    <cellStyle name="Comma 4 2 2 3 2 9 3" xfId="31676" xr:uid="{6873BFBB-5FDC-4F32-AEC1-007A660D1109}"/>
    <cellStyle name="Comma 4 2 2 3 2 9 4" xfId="23228" xr:uid="{63BF22D7-BD29-4CF2-9873-F579933E5D6F}"/>
    <cellStyle name="Comma 4 2 2 3 2 9 5" xfId="13931" xr:uid="{FFF21FD3-6AFA-4748-B77E-C7326F0A8BC1}"/>
    <cellStyle name="Comma 4 2 2 3 3" xfId="670" xr:uid="{00000000-0005-0000-0000-000015080000}"/>
    <cellStyle name="Comma 4 2 2 3 3 2" xfId="2941" xr:uid="{00000000-0005-0000-0000-000016080000}"/>
    <cellStyle name="Comma 4 2 2 3 3 2 2" xfId="7163" xr:uid="{00000000-0005-0000-0000-000017080000}"/>
    <cellStyle name="Comma 4 2 2 3 3 2 2 2" xfId="42681" xr:uid="{6F5208C0-ADAD-497D-8445-5276AECAB3F6}"/>
    <cellStyle name="Comma 4 2 2 3 3 2 2 3" xfId="34234" xr:uid="{3E712E0B-A323-49B7-8E72-180539DC0B5B}"/>
    <cellStyle name="Comma 4 2 2 3 3 2 2 4" xfId="25786" xr:uid="{12DA5FDC-1BA9-403A-86E7-FE2B637347E8}"/>
    <cellStyle name="Comma 4 2 2 3 3 2 2 5" xfId="16489" xr:uid="{256E2296-516A-41DD-B49D-A868714B05D7}"/>
    <cellStyle name="Comma 4 2 2 3 3 2 3" xfId="38464" xr:uid="{5DA467DB-7E60-4F28-BAF3-3FA568E90075}"/>
    <cellStyle name="Comma 4 2 2 3 3 2 4" xfId="30016" xr:uid="{78E18E29-D23D-4613-84CD-159C09F70FB2}"/>
    <cellStyle name="Comma 4 2 2 3 3 2 5" xfId="21569" xr:uid="{F4D23755-03C2-43F6-ACDC-84C01040A5B8}"/>
    <cellStyle name="Comma 4 2 2 3 3 2 6" xfId="12272" xr:uid="{97706862-47AF-4FD6-98FD-D326124FE4C9}"/>
    <cellStyle name="Comma 4 2 2 3 3 3" xfId="5018" xr:uid="{00000000-0005-0000-0000-000018080000}"/>
    <cellStyle name="Comma 4 2 2 3 3 3 2" xfId="40536" xr:uid="{6D1DD6F9-B702-40CD-9041-65B68DD38966}"/>
    <cellStyle name="Comma 4 2 2 3 3 3 3" xfId="32089" xr:uid="{C8B350DE-2A96-4E15-A337-51A0038B0653}"/>
    <cellStyle name="Comma 4 2 2 3 3 3 4" xfId="23641" xr:uid="{C0BCBF1D-3366-427B-B3FB-8C77E6E5FFBA}"/>
    <cellStyle name="Comma 4 2 2 3 3 3 5" xfId="14344" xr:uid="{9C3F9BE8-CAFE-4080-AA4D-D009F5D5184E}"/>
    <cellStyle name="Comma 4 2 2 3 3 4" xfId="9314" xr:uid="{A74197AE-1229-40FC-8212-8FB289D74FF6}"/>
    <cellStyle name="Comma 4 2 2 3 3 4 2" xfId="36319" xr:uid="{95C796CA-4F71-417B-81A4-1C556F939944}"/>
    <cellStyle name="Comma 4 2 2 3 3 4 3" xfId="18627" xr:uid="{9FB3B4CD-4980-4F08-917B-365505CFC16F}"/>
    <cellStyle name="Comma 4 2 2 3 3 5" xfId="27871" xr:uid="{78E4AA90-7B0C-47BE-95A2-9015C92568CB}"/>
    <cellStyle name="Comma 4 2 2 3 3 6" xfId="19424" xr:uid="{70F21C51-8670-47A5-B51F-B1EBD8210E78}"/>
    <cellStyle name="Comma 4 2 2 3 3 7" xfId="10127" xr:uid="{A33E835E-48C5-4528-8489-92C52E351D06}"/>
    <cellStyle name="Comma 4 2 2 3 4" xfId="1123" xr:uid="{00000000-0005-0000-0000-000019080000}"/>
    <cellStyle name="Comma 4 2 2 3 4 2" xfId="3354" xr:uid="{00000000-0005-0000-0000-00001A080000}"/>
    <cellStyle name="Comma 4 2 2 3 4 2 2" xfId="7576" xr:uid="{00000000-0005-0000-0000-00001B080000}"/>
    <cellStyle name="Comma 4 2 2 3 4 2 2 2" xfId="43094" xr:uid="{1DB7F265-3856-46FE-A40C-0E1513A25F81}"/>
    <cellStyle name="Comma 4 2 2 3 4 2 2 3" xfId="34647" xr:uid="{F7C5EFC3-FDA5-401B-9782-B357DC726F5F}"/>
    <cellStyle name="Comma 4 2 2 3 4 2 2 4" xfId="26199" xr:uid="{42EFB485-B373-41BC-B328-F3C7C74B9C71}"/>
    <cellStyle name="Comma 4 2 2 3 4 2 2 5" xfId="16902" xr:uid="{692163D7-634E-4770-AA27-C7254C765958}"/>
    <cellStyle name="Comma 4 2 2 3 4 2 3" xfId="38877" xr:uid="{9799841A-1FC9-49F3-A151-1AE818051181}"/>
    <cellStyle name="Comma 4 2 2 3 4 2 4" xfId="30429" xr:uid="{C5E063FB-9C7E-40AA-BE82-8820650287C3}"/>
    <cellStyle name="Comma 4 2 2 3 4 2 5" xfId="21982" xr:uid="{67C0776E-0822-41A9-B57A-AEFEAD303766}"/>
    <cellStyle name="Comma 4 2 2 3 4 2 6" xfId="12685" xr:uid="{3532B767-7384-4EBE-BDBA-A2C5087E354F}"/>
    <cellStyle name="Comma 4 2 2 3 4 3" xfId="5431" xr:uid="{00000000-0005-0000-0000-00001C080000}"/>
    <cellStyle name="Comma 4 2 2 3 4 3 2" xfId="40949" xr:uid="{CEC8F4BF-A1F6-467C-B8DD-B7A98B8E757E}"/>
    <cellStyle name="Comma 4 2 2 3 4 3 3" xfId="32502" xr:uid="{E267CA72-E506-4F4A-B978-DCA948F3C911}"/>
    <cellStyle name="Comma 4 2 2 3 4 3 4" xfId="24054" xr:uid="{C8792F30-915A-449A-A488-08A6F0BD33DE}"/>
    <cellStyle name="Comma 4 2 2 3 4 3 5" xfId="14757" xr:uid="{688CBD5D-A32A-4659-9D4D-004A560C00AD}"/>
    <cellStyle name="Comma 4 2 2 3 4 4" xfId="36732" xr:uid="{7608D57F-2FD9-43FA-8AB8-B446B0E1071E}"/>
    <cellStyle name="Comma 4 2 2 3 4 5" xfId="28284" xr:uid="{F0794D9E-8093-498D-9694-640B6092F549}"/>
    <cellStyle name="Comma 4 2 2 3 4 6" xfId="19837" xr:uid="{1389269A-E2FC-4037-8005-F6EB33A644AC}"/>
    <cellStyle name="Comma 4 2 2 3 4 7" xfId="10540" xr:uid="{41A41D7D-7F77-447A-A222-A8FECBEA66B2}"/>
    <cellStyle name="Comma 4 2 2 3 5" xfId="1537" xr:uid="{00000000-0005-0000-0000-00001D080000}"/>
    <cellStyle name="Comma 4 2 2 3 5 2" xfId="3767" xr:uid="{00000000-0005-0000-0000-00001E080000}"/>
    <cellStyle name="Comma 4 2 2 3 5 2 2" xfId="7989" xr:uid="{00000000-0005-0000-0000-00001F080000}"/>
    <cellStyle name="Comma 4 2 2 3 5 2 2 2" xfId="43507" xr:uid="{9E4E2D10-8395-4C11-8B53-961BE477AB8C}"/>
    <cellStyle name="Comma 4 2 2 3 5 2 2 3" xfId="35060" xr:uid="{F830D7C4-BA95-4CDB-82FE-09DE50D2D65F}"/>
    <cellStyle name="Comma 4 2 2 3 5 2 2 4" xfId="26612" xr:uid="{5D5DB2CC-86FC-4A04-9D64-5CCD0E5BA883}"/>
    <cellStyle name="Comma 4 2 2 3 5 2 2 5" xfId="17315" xr:uid="{BC600BE1-4186-40E1-B83B-413E96BF0744}"/>
    <cellStyle name="Comma 4 2 2 3 5 2 3" xfId="39290" xr:uid="{22A894F5-16B0-4E8E-9DD8-85402DC2E033}"/>
    <cellStyle name="Comma 4 2 2 3 5 2 4" xfId="30842" xr:uid="{FA79A931-E7D2-4D7B-9ACC-B443DE64504D}"/>
    <cellStyle name="Comma 4 2 2 3 5 2 5" xfId="22395" xr:uid="{12E4095A-2600-4551-B39A-1C4E39F6656B}"/>
    <cellStyle name="Comma 4 2 2 3 5 2 6" xfId="13098" xr:uid="{52E868B6-6710-4349-A618-5C3BCF79ED21}"/>
    <cellStyle name="Comma 4 2 2 3 5 3" xfId="5844" xr:uid="{00000000-0005-0000-0000-000020080000}"/>
    <cellStyle name="Comma 4 2 2 3 5 3 2" xfId="41362" xr:uid="{D1550950-8D54-46E5-B31A-AA5A05958E8A}"/>
    <cellStyle name="Comma 4 2 2 3 5 3 3" xfId="32915" xr:uid="{5BAE175F-AC98-45F8-8A01-65E9AF96F45F}"/>
    <cellStyle name="Comma 4 2 2 3 5 3 4" xfId="24467" xr:uid="{7F751FAE-3DB6-4BFA-AF9F-2CCE28030D85}"/>
    <cellStyle name="Comma 4 2 2 3 5 3 5" xfId="15170" xr:uid="{25DE3F43-6BDE-44BC-8652-D272278289A6}"/>
    <cellStyle name="Comma 4 2 2 3 5 4" xfId="37145" xr:uid="{04043001-C94C-41AC-A368-65107E463E26}"/>
    <cellStyle name="Comma 4 2 2 3 5 5" xfId="28697" xr:uid="{22388927-2D5E-44AB-ABB0-FA07F7C2D734}"/>
    <cellStyle name="Comma 4 2 2 3 5 6" xfId="20250" xr:uid="{3B740B89-09A2-416A-92C3-F27EF570F182}"/>
    <cellStyle name="Comma 4 2 2 3 5 7" xfId="10953" xr:uid="{F567DE2E-15C5-43A9-B66B-3B1BFDDB02DA}"/>
    <cellStyle name="Comma 4 2 2 3 6" xfId="1951" xr:uid="{00000000-0005-0000-0000-000021080000}"/>
    <cellStyle name="Comma 4 2 2 3 6 2" xfId="4180" xr:uid="{00000000-0005-0000-0000-000022080000}"/>
    <cellStyle name="Comma 4 2 2 3 6 2 2" xfId="8402" xr:uid="{00000000-0005-0000-0000-000023080000}"/>
    <cellStyle name="Comma 4 2 2 3 6 2 2 2" xfId="43920" xr:uid="{58C73419-1A80-4767-8283-C1EF88034075}"/>
    <cellStyle name="Comma 4 2 2 3 6 2 2 3" xfId="35473" xr:uid="{7B4C66E8-5F95-4245-ADD6-29EB6AE5E8E3}"/>
    <cellStyle name="Comma 4 2 2 3 6 2 2 4" xfId="27025" xr:uid="{FFB90BAA-394E-4B57-8D37-F86F789C7122}"/>
    <cellStyle name="Comma 4 2 2 3 6 2 2 5" xfId="17728" xr:uid="{9B77DEC1-CCE2-4C16-9340-404A903CC30A}"/>
    <cellStyle name="Comma 4 2 2 3 6 2 3" xfId="39703" xr:uid="{A6583C32-E875-4EF7-B1C2-186AC18BC54B}"/>
    <cellStyle name="Comma 4 2 2 3 6 2 4" xfId="31255" xr:uid="{51BB5C4A-8C40-4CBE-8439-64A6A0BDF994}"/>
    <cellStyle name="Comma 4 2 2 3 6 2 5" xfId="22808" xr:uid="{DB2CAF07-F51D-4C91-A23B-94F5CA8CC8D6}"/>
    <cellStyle name="Comma 4 2 2 3 6 2 6" xfId="13511" xr:uid="{BCA793C9-0E73-4818-880B-A35B6D9D50E6}"/>
    <cellStyle name="Comma 4 2 2 3 6 3" xfId="6257" xr:uid="{00000000-0005-0000-0000-000024080000}"/>
    <cellStyle name="Comma 4 2 2 3 6 3 2" xfId="41775" xr:uid="{0D70F903-011C-4826-934E-C6307DD62592}"/>
    <cellStyle name="Comma 4 2 2 3 6 3 3" xfId="33328" xr:uid="{820E05F0-567A-455F-B6FC-E8165C7AAA3F}"/>
    <cellStyle name="Comma 4 2 2 3 6 3 4" xfId="24880" xr:uid="{45DD396C-DA6A-4709-9335-5B3252B94A0A}"/>
    <cellStyle name="Comma 4 2 2 3 6 3 5" xfId="15583" xr:uid="{89BD6BB8-8523-4917-9B08-9C554D9E04C6}"/>
    <cellStyle name="Comma 4 2 2 3 6 4" xfId="37558" xr:uid="{A4D92173-0460-48D6-9CB8-524508576624}"/>
    <cellStyle name="Comma 4 2 2 3 6 5" xfId="29110" xr:uid="{A947DAE5-A65D-4A6B-83C1-B7081178B28F}"/>
    <cellStyle name="Comma 4 2 2 3 6 6" xfId="20663" xr:uid="{D8F5EA05-D9AF-431A-9256-760C445930EA}"/>
    <cellStyle name="Comma 4 2 2 3 6 7" xfId="11366" xr:uid="{E6E3131E-22DE-4155-9A78-2860448F16B2}"/>
    <cellStyle name="Comma 4 2 2 3 7" xfId="2386" xr:uid="{00000000-0005-0000-0000-000025080000}"/>
    <cellStyle name="Comma 4 2 2 3 7 2" xfId="6670" xr:uid="{00000000-0005-0000-0000-000026080000}"/>
    <cellStyle name="Comma 4 2 2 3 7 2 2" xfId="42188" xr:uid="{830FC858-0375-4AC6-B7AD-CA8B526DA5C4}"/>
    <cellStyle name="Comma 4 2 2 3 7 2 3" xfId="33741" xr:uid="{AFC0BDCE-5E77-40E9-A49C-6C89B9B2199B}"/>
    <cellStyle name="Comma 4 2 2 3 7 2 4" xfId="25293" xr:uid="{757766BB-0F94-4D9F-8F71-074EB229B3CB}"/>
    <cellStyle name="Comma 4 2 2 3 7 2 5" xfId="15996" xr:uid="{AFC88A63-DDBD-4F67-9DC8-C0147B6B8E8F}"/>
    <cellStyle name="Comma 4 2 2 3 7 3" xfId="37971" xr:uid="{D27B75FF-4122-47F6-B548-BC779EEBEDEC}"/>
    <cellStyle name="Comma 4 2 2 3 7 4" xfId="29523" xr:uid="{FFBF4FDD-4B52-4E9F-9F89-E62B1B1DF45A}"/>
    <cellStyle name="Comma 4 2 2 3 7 5" xfId="21076" xr:uid="{C4EB43B3-1081-481C-86FF-92725EBD2F1A}"/>
    <cellStyle name="Comma 4 2 2 3 7 6" xfId="11779" xr:uid="{92C177F9-B88C-4DE9-AEDF-8576A0707646}"/>
    <cellStyle name="Comma 4 2 2 3 8" xfId="2377" xr:uid="{00000000-0005-0000-0000-000027080000}"/>
    <cellStyle name="Comma 4 2 2 3 9" xfId="2764" xr:uid="{00000000-0005-0000-0000-000028080000}"/>
    <cellStyle name="Comma 4 2 2 3 9 2" xfId="6987" xr:uid="{00000000-0005-0000-0000-000029080000}"/>
    <cellStyle name="Comma 4 2 2 3 9 2 2" xfId="42505" xr:uid="{50EC20DA-6068-4E1F-A2D9-274CC1AD1E76}"/>
    <cellStyle name="Comma 4 2 2 3 9 2 3" xfId="34058" xr:uid="{2E150DE2-C120-4E8B-89E2-00567926ED54}"/>
    <cellStyle name="Comma 4 2 2 3 9 2 4" xfId="25610" xr:uid="{6C1F4DE2-1013-4464-B740-3394FFDF2BE9}"/>
    <cellStyle name="Comma 4 2 2 3 9 2 5" xfId="16313" xr:uid="{F8C45D2A-98CE-4536-A9BA-E74442258D15}"/>
    <cellStyle name="Comma 4 2 2 3 9 3" xfId="38288" xr:uid="{C38A15BE-8571-4855-96DB-CFBEA7B16B5D}"/>
    <cellStyle name="Comma 4 2 2 3 9 4" xfId="29840" xr:uid="{D0EA0DFC-3F88-43BD-920E-C5394BDAD037}"/>
    <cellStyle name="Comma 4 2 2 3 9 5" xfId="21393" xr:uid="{C110700C-8826-4642-81D5-4816A302255D}"/>
    <cellStyle name="Comma 4 2 2 3 9 6" xfId="12096" xr:uid="{3CC3A854-8D09-43E8-A2D3-C6B12A148C83}"/>
    <cellStyle name="Comma 4 2 2 4" xfId="134" xr:uid="{00000000-0005-0000-0000-00002A080000}"/>
    <cellStyle name="Comma 4 2 2 4 10" xfId="8993" xr:uid="{2969CB69-37C4-4C43-BC9D-87F92556F829}"/>
    <cellStyle name="Comma 4 2 2 4 10 2" xfId="35907" xr:uid="{62BA364C-DF62-41DC-85CC-685C5CD63455}"/>
    <cellStyle name="Comma 4 2 2 4 10 3" xfId="18316" xr:uid="{BDBA611B-14F4-4C6C-89C1-0B0698A3959F}"/>
    <cellStyle name="Comma 4 2 2 4 11" xfId="27459" xr:uid="{85D6D625-4AC5-4993-A98A-F9A9623631C0}"/>
    <cellStyle name="Comma 4 2 2 4 12" xfId="19012" xr:uid="{C7E370B4-8208-4F43-AAC2-569A576A480B}"/>
    <cellStyle name="Comma 4 2 2 4 13" xfId="9715" xr:uid="{4EC3EFF6-4E32-4E4C-9D85-A9E25927FD3D}"/>
    <cellStyle name="Comma 4 2 2 4 2" xfId="672" xr:uid="{00000000-0005-0000-0000-00002B080000}"/>
    <cellStyle name="Comma 4 2 2 4 2 2" xfId="2943" xr:uid="{00000000-0005-0000-0000-00002C080000}"/>
    <cellStyle name="Comma 4 2 2 4 2 2 2" xfId="7165" xr:uid="{00000000-0005-0000-0000-00002D080000}"/>
    <cellStyle name="Comma 4 2 2 4 2 2 2 2" xfId="42683" xr:uid="{9B27C9D3-3536-4138-AFBE-1642AF85F3B3}"/>
    <cellStyle name="Comma 4 2 2 4 2 2 2 3" xfId="34236" xr:uid="{22B6FDDB-569D-491B-953B-E45F78803F7E}"/>
    <cellStyle name="Comma 4 2 2 4 2 2 2 4" xfId="25788" xr:uid="{730C15DD-E382-433F-A429-E36E8C0C4F14}"/>
    <cellStyle name="Comma 4 2 2 4 2 2 2 5" xfId="16491" xr:uid="{10827DCF-03D9-4D27-AEAF-176EF0081D05}"/>
    <cellStyle name="Comma 4 2 2 4 2 2 3" xfId="38466" xr:uid="{CBF344CA-72C5-4FDE-A107-E58C2CB1D0B8}"/>
    <cellStyle name="Comma 4 2 2 4 2 2 4" xfId="30018" xr:uid="{D44C6A7E-17F7-4F29-8E81-E2B011256E36}"/>
    <cellStyle name="Comma 4 2 2 4 2 2 5" xfId="21571" xr:uid="{41AC1F2B-5260-4693-BF1E-B202DA3C46A7}"/>
    <cellStyle name="Comma 4 2 2 4 2 2 6" xfId="12274" xr:uid="{F45D69F2-52AC-47C0-84D9-BE007A028F33}"/>
    <cellStyle name="Comma 4 2 2 4 2 3" xfId="5020" xr:uid="{00000000-0005-0000-0000-00002E080000}"/>
    <cellStyle name="Comma 4 2 2 4 2 3 2" xfId="40538" xr:uid="{EF14BCAD-83DD-4153-8FA7-45898FC3051A}"/>
    <cellStyle name="Comma 4 2 2 4 2 3 3" xfId="32091" xr:uid="{6FB0D8FB-6A00-4263-AD93-D2BF331D18AD}"/>
    <cellStyle name="Comma 4 2 2 4 2 3 4" xfId="23643" xr:uid="{9A91110F-4919-42FE-8892-392076B3C46F}"/>
    <cellStyle name="Comma 4 2 2 4 2 3 5" xfId="14346" xr:uid="{5031136C-B3D3-4B19-8E64-C208C6378AEE}"/>
    <cellStyle name="Comma 4 2 2 4 2 4" xfId="9418" xr:uid="{F2EB07B7-2227-485D-9411-A8F75EC2F9DA}"/>
    <cellStyle name="Comma 4 2 2 4 2 4 2" xfId="36321" xr:uid="{62E53007-E4DF-4E28-A95E-265DE56986E2}"/>
    <cellStyle name="Comma 4 2 2 4 2 4 3" xfId="18731" xr:uid="{34BC13AC-B764-49C7-83BC-23CA5DEF7CBD}"/>
    <cellStyle name="Comma 4 2 2 4 2 5" xfId="27873" xr:uid="{BD453142-E62C-4C6C-A060-087C338B4B6A}"/>
    <cellStyle name="Comma 4 2 2 4 2 6" xfId="19426" xr:uid="{CBB70172-3A8E-4640-B414-A7BEF558DB15}"/>
    <cellStyle name="Comma 4 2 2 4 2 7" xfId="10129" xr:uid="{F4C002C4-7F35-44DD-8958-19E2E955CA50}"/>
    <cellStyle name="Comma 4 2 2 4 3" xfId="1125" xr:uid="{00000000-0005-0000-0000-00002F080000}"/>
    <cellStyle name="Comma 4 2 2 4 3 2" xfId="3356" xr:uid="{00000000-0005-0000-0000-000030080000}"/>
    <cellStyle name="Comma 4 2 2 4 3 2 2" xfId="7578" xr:uid="{00000000-0005-0000-0000-000031080000}"/>
    <cellStyle name="Comma 4 2 2 4 3 2 2 2" xfId="43096" xr:uid="{FBE25A67-8DCE-4C21-A9FC-BBC778F1648F}"/>
    <cellStyle name="Comma 4 2 2 4 3 2 2 3" xfId="34649" xr:uid="{9E0F01B3-AEDB-4E77-BA94-1B2657C34B2A}"/>
    <cellStyle name="Comma 4 2 2 4 3 2 2 4" xfId="26201" xr:uid="{4E914A59-5377-4CDA-B727-C32D8C1D52B8}"/>
    <cellStyle name="Comma 4 2 2 4 3 2 2 5" xfId="16904" xr:uid="{EBCD0CD3-30E4-4D49-971E-45D2C9A03FBF}"/>
    <cellStyle name="Comma 4 2 2 4 3 2 3" xfId="38879" xr:uid="{D2B245C5-4BD2-4157-A2F1-75CD89DE2977}"/>
    <cellStyle name="Comma 4 2 2 4 3 2 4" xfId="30431" xr:uid="{D2546A23-DE35-4031-A1F0-6FAE848809A7}"/>
    <cellStyle name="Comma 4 2 2 4 3 2 5" xfId="21984" xr:uid="{3F2A68A1-4949-44C4-8C2B-6CDF8F90A244}"/>
    <cellStyle name="Comma 4 2 2 4 3 2 6" xfId="12687" xr:uid="{CE080511-C05B-4FF6-8FCE-3A362578A615}"/>
    <cellStyle name="Comma 4 2 2 4 3 3" xfId="5433" xr:uid="{00000000-0005-0000-0000-000032080000}"/>
    <cellStyle name="Comma 4 2 2 4 3 3 2" xfId="40951" xr:uid="{A5E3CD89-69C9-4D70-B471-348FDB6F7A24}"/>
    <cellStyle name="Comma 4 2 2 4 3 3 3" xfId="32504" xr:uid="{5A911132-8DA0-4A8A-AA82-3A35ACC0F2DB}"/>
    <cellStyle name="Comma 4 2 2 4 3 3 4" xfId="24056" xr:uid="{C0C64AA7-86CA-4E75-8E7D-24B6EC64236A}"/>
    <cellStyle name="Comma 4 2 2 4 3 3 5" xfId="14759" xr:uid="{5125C7A0-2001-44A2-B855-88FF7083197F}"/>
    <cellStyle name="Comma 4 2 2 4 3 4" xfId="36734" xr:uid="{B3955828-7B80-4BC7-8934-F554DD58D2FF}"/>
    <cellStyle name="Comma 4 2 2 4 3 5" xfId="28286" xr:uid="{8D722920-7E92-4BDA-B276-9CDCF94FE0A9}"/>
    <cellStyle name="Comma 4 2 2 4 3 6" xfId="19839" xr:uid="{BC007BA1-F53D-48C6-8CC2-20D89E3710BE}"/>
    <cellStyle name="Comma 4 2 2 4 3 7" xfId="10542" xr:uid="{045E6FEE-3DFE-4C7B-9079-ABFA7D66DA58}"/>
    <cellStyle name="Comma 4 2 2 4 4" xfId="1539" xr:uid="{00000000-0005-0000-0000-000033080000}"/>
    <cellStyle name="Comma 4 2 2 4 4 2" xfId="3769" xr:uid="{00000000-0005-0000-0000-000034080000}"/>
    <cellStyle name="Comma 4 2 2 4 4 2 2" xfId="7991" xr:uid="{00000000-0005-0000-0000-000035080000}"/>
    <cellStyle name="Comma 4 2 2 4 4 2 2 2" xfId="43509" xr:uid="{B7A6D5D1-6213-45AC-9B95-62A5FE6A3DBA}"/>
    <cellStyle name="Comma 4 2 2 4 4 2 2 3" xfId="35062" xr:uid="{16B70659-C2B4-40FF-A9FD-8C9EA3AA8CB0}"/>
    <cellStyle name="Comma 4 2 2 4 4 2 2 4" xfId="26614" xr:uid="{32D7345A-A1BC-49D7-8BC3-07304DF8A8D0}"/>
    <cellStyle name="Comma 4 2 2 4 4 2 2 5" xfId="17317" xr:uid="{4B31349B-6D48-4321-9BB0-04505F4A6BED}"/>
    <cellStyle name="Comma 4 2 2 4 4 2 3" xfId="39292" xr:uid="{B7F502EF-7C11-4D70-A956-FEBFE9A13351}"/>
    <cellStyle name="Comma 4 2 2 4 4 2 4" xfId="30844" xr:uid="{04501C2C-5311-4DDC-B263-F13D20AD25D0}"/>
    <cellStyle name="Comma 4 2 2 4 4 2 5" xfId="22397" xr:uid="{2ECEBF6E-0DD9-4C8A-9DE2-E381DBA2AF7F}"/>
    <cellStyle name="Comma 4 2 2 4 4 2 6" xfId="13100" xr:uid="{CF646D08-593E-43D1-9A6B-F82E72C5248A}"/>
    <cellStyle name="Comma 4 2 2 4 4 3" xfId="5846" xr:uid="{00000000-0005-0000-0000-000036080000}"/>
    <cellStyle name="Comma 4 2 2 4 4 3 2" xfId="41364" xr:uid="{018E2C38-7216-4994-A2F4-5D79D98C9F99}"/>
    <cellStyle name="Comma 4 2 2 4 4 3 3" xfId="32917" xr:uid="{217D474F-59B9-441E-A2A6-F0939BEC62EA}"/>
    <cellStyle name="Comma 4 2 2 4 4 3 4" xfId="24469" xr:uid="{AE4D6D00-2F3F-4765-BAB1-32A54708A69C}"/>
    <cellStyle name="Comma 4 2 2 4 4 3 5" xfId="15172" xr:uid="{BD2662DF-3189-4BD9-9D4A-B2E8A12E7087}"/>
    <cellStyle name="Comma 4 2 2 4 4 4" xfId="37147" xr:uid="{55ECC183-BD05-4A76-9B27-9528C486DC4C}"/>
    <cellStyle name="Comma 4 2 2 4 4 5" xfId="28699" xr:uid="{FFF391F7-C84A-4DC3-B0A4-C21EA09C0ABE}"/>
    <cellStyle name="Comma 4 2 2 4 4 6" xfId="20252" xr:uid="{E43C3917-1ADD-44C5-A514-1CBEAA48CF5C}"/>
    <cellStyle name="Comma 4 2 2 4 4 7" xfId="10955" xr:uid="{43D963A7-586C-4750-8C4D-9A0B0B435B7E}"/>
    <cellStyle name="Comma 4 2 2 4 5" xfId="1953" xr:uid="{00000000-0005-0000-0000-000037080000}"/>
    <cellStyle name="Comma 4 2 2 4 5 2" xfId="4182" xr:uid="{00000000-0005-0000-0000-000038080000}"/>
    <cellStyle name="Comma 4 2 2 4 5 2 2" xfId="8404" xr:uid="{00000000-0005-0000-0000-000039080000}"/>
    <cellStyle name="Comma 4 2 2 4 5 2 2 2" xfId="43922" xr:uid="{DCAF78BD-7638-42FB-A422-3B2109DC7F46}"/>
    <cellStyle name="Comma 4 2 2 4 5 2 2 3" xfId="35475" xr:uid="{A378FAB8-DD0C-417E-80B1-4C2E30D951CD}"/>
    <cellStyle name="Comma 4 2 2 4 5 2 2 4" xfId="27027" xr:uid="{DFA77F8E-B291-4C3C-91F2-E34CB86AC894}"/>
    <cellStyle name="Comma 4 2 2 4 5 2 2 5" xfId="17730" xr:uid="{2FE2C8E1-EABE-4E02-BF92-8B28A208395C}"/>
    <cellStyle name="Comma 4 2 2 4 5 2 3" xfId="39705" xr:uid="{96B0146F-8632-45A1-B18A-058C42A3FAE3}"/>
    <cellStyle name="Comma 4 2 2 4 5 2 4" xfId="31257" xr:uid="{72B9CAC1-2124-471B-AC20-A6922EA33D64}"/>
    <cellStyle name="Comma 4 2 2 4 5 2 5" xfId="22810" xr:uid="{42136306-1793-46C3-904B-33080C31C722}"/>
    <cellStyle name="Comma 4 2 2 4 5 2 6" xfId="13513" xr:uid="{86C4A1C3-0675-4E45-A28C-614F51CC2397}"/>
    <cellStyle name="Comma 4 2 2 4 5 3" xfId="6259" xr:uid="{00000000-0005-0000-0000-00003A080000}"/>
    <cellStyle name="Comma 4 2 2 4 5 3 2" xfId="41777" xr:uid="{81583F61-E1BB-4559-9429-AB40C3BA991E}"/>
    <cellStyle name="Comma 4 2 2 4 5 3 3" xfId="33330" xr:uid="{6AC4D45C-4918-43A3-8F9D-3DC8296858C5}"/>
    <cellStyle name="Comma 4 2 2 4 5 3 4" xfId="24882" xr:uid="{5D7FCD4D-24F4-4DF8-B056-9D69AF04AE25}"/>
    <cellStyle name="Comma 4 2 2 4 5 3 5" xfId="15585" xr:uid="{5BAA1F38-3070-4299-AE17-EB5C1A780D05}"/>
    <cellStyle name="Comma 4 2 2 4 5 4" xfId="37560" xr:uid="{07986F4D-0C5F-4E79-807E-0B8380BE9C5F}"/>
    <cellStyle name="Comma 4 2 2 4 5 5" xfId="29112" xr:uid="{8BE42C6A-782F-4E4E-A9AF-59FE784FB489}"/>
    <cellStyle name="Comma 4 2 2 4 5 6" xfId="20665" xr:uid="{72584965-4663-4C6E-9AD7-47DD589E6AE7}"/>
    <cellStyle name="Comma 4 2 2 4 5 7" xfId="11368" xr:uid="{51086356-FAF2-44CA-80A0-93589E3EBD5E}"/>
    <cellStyle name="Comma 4 2 2 4 6" xfId="2388" xr:uid="{00000000-0005-0000-0000-00003B080000}"/>
    <cellStyle name="Comma 4 2 2 4 6 2" xfId="6672" xr:uid="{00000000-0005-0000-0000-00003C080000}"/>
    <cellStyle name="Comma 4 2 2 4 6 2 2" xfId="42190" xr:uid="{87A234DB-AAF5-497D-AAC4-97F6F073FAB4}"/>
    <cellStyle name="Comma 4 2 2 4 6 2 3" xfId="33743" xr:uid="{20E60F4B-240A-4C75-B26C-9606DF5E0203}"/>
    <cellStyle name="Comma 4 2 2 4 6 2 4" xfId="25295" xr:uid="{9E7DD757-25C6-4C46-B859-B9B488376073}"/>
    <cellStyle name="Comma 4 2 2 4 6 2 5" xfId="15998" xr:uid="{F0A43917-7EC1-4EEA-BF6C-5A787F38A043}"/>
    <cellStyle name="Comma 4 2 2 4 6 3" xfId="37973" xr:uid="{13562004-710A-4ADF-B5C3-A2E7F3555817}"/>
    <cellStyle name="Comma 4 2 2 4 6 4" xfId="29525" xr:uid="{83DD3DC5-C7FD-41A2-8980-1073068EDF02}"/>
    <cellStyle name="Comma 4 2 2 4 6 5" xfId="21078" xr:uid="{5DD031FB-5F97-40AA-AEC5-2A3C4A5A28D5}"/>
    <cellStyle name="Comma 4 2 2 4 6 6" xfId="11781" xr:uid="{EDA7A4A1-2435-42CF-BC45-A7AD57122EEF}"/>
    <cellStyle name="Comma 4 2 2 4 7" xfId="2375" xr:uid="{00000000-0005-0000-0000-00003D080000}"/>
    <cellStyle name="Comma 4 2 2 4 8" xfId="2766" xr:uid="{00000000-0005-0000-0000-00003E080000}"/>
    <cellStyle name="Comma 4 2 2 4 8 2" xfId="6989" xr:uid="{00000000-0005-0000-0000-00003F080000}"/>
    <cellStyle name="Comma 4 2 2 4 8 2 2" xfId="42507" xr:uid="{021A54B5-F687-4D85-8412-9F190939A157}"/>
    <cellStyle name="Comma 4 2 2 4 8 2 3" xfId="34060" xr:uid="{7B4C4B3F-58E7-4DB2-8F8E-F08AC938135A}"/>
    <cellStyle name="Comma 4 2 2 4 8 2 4" xfId="25612" xr:uid="{C4ED4E64-D9C6-4FE9-969C-635537BFF382}"/>
    <cellStyle name="Comma 4 2 2 4 8 2 5" xfId="16315" xr:uid="{8FF8321B-8B16-4275-86F6-7305C7F746BA}"/>
    <cellStyle name="Comma 4 2 2 4 8 3" xfId="38290" xr:uid="{32DFE5A2-2B02-4081-B949-CAE6577BEC50}"/>
    <cellStyle name="Comma 4 2 2 4 8 4" xfId="29842" xr:uid="{E5659A78-B162-4624-A280-7A64A47B7154}"/>
    <cellStyle name="Comma 4 2 2 4 8 5" xfId="21395" xr:uid="{31386D9F-7978-465A-A7C9-C33C71604969}"/>
    <cellStyle name="Comma 4 2 2 4 8 6" xfId="12098" xr:uid="{3761D87D-6792-4F49-8271-B4300E8E64DE}"/>
    <cellStyle name="Comma 4 2 2 4 9" xfId="4606" xr:uid="{00000000-0005-0000-0000-000040080000}"/>
    <cellStyle name="Comma 4 2 2 4 9 2" xfId="40124" xr:uid="{29096FC0-F5C3-4E65-B524-35C77C8F17A8}"/>
    <cellStyle name="Comma 4 2 2 4 9 3" xfId="31677" xr:uid="{C0E4CF52-C8D5-4608-B5C5-591B945BC898}"/>
    <cellStyle name="Comma 4 2 2 4 9 4" xfId="23229" xr:uid="{CDA4D467-422B-4089-B1D4-7D198404F4C1}"/>
    <cellStyle name="Comma 4 2 2 4 9 5" xfId="13932" xr:uid="{7B5EE336-E054-408B-BF2B-E559B6695EE1}"/>
    <cellStyle name="Comma 4 2 2 5" xfId="135" xr:uid="{00000000-0005-0000-0000-000041080000}"/>
    <cellStyle name="Comma 4 2 2 5 10" xfId="9210" xr:uid="{C1F9418B-EF96-4063-883D-A983E131C6A4}"/>
    <cellStyle name="Comma 4 2 2 5 10 2" xfId="35908" xr:uid="{D1281F3C-93D1-4115-868F-AA500ADBB651}"/>
    <cellStyle name="Comma 4 2 2 5 10 3" xfId="18524" xr:uid="{92C78D66-053D-4FAA-923E-131E26DA5CE2}"/>
    <cellStyle name="Comma 4 2 2 5 11" xfId="27460" xr:uid="{ECF8BBE5-05AB-4E4D-89DC-0DADCC4B05D6}"/>
    <cellStyle name="Comma 4 2 2 5 12" xfId="19013" xr:uid="{384E5D4C-85D7-4773-B47B-2DFBD6BF775E}"/>
    <cellStyle name="Comma 4 2 2 5 13" xfId="9716" xr:uid="{592F6690-51EF-4951-B090-AD4004BC98EB}"/>
    <cellStyle name="Comma 4 2 2 5 2" xfId="673" xr:uid="{00000000-0005-0000-0000-000042080000}"/>
    <cellStyle name="Comma 4 2 2 5 2 2" xfId="2944" xr:uid="{00000000-0005-0000-0000-000043080000}"/>
    <cellStyle name="Comma 4 2 2 5 2 2 2" xfId="7166" xr:uid="{00000000-0005-0000-0000-000044080000}"/>
    <cellStyle name="Comma 4 2 2 5 2 2 2 2" xfId="42684" xr:uid="{BC47B0EA-89F6-447B-95FD-4873ED56BAEC}"/>
    <cellStyle name="Comma 4 2 2 5 2 2 2 3" xfId="34237" xr:uid="{08998434-F869-4AA5-B37E-81FC0E34094E}"/>
    <cellStyle name="Comma 4 2 2 5 2 2 2 4" xfId="25789" xr:uid="{8DA669A1-447E-452B-829C-B02699CE908E}"/>
    <cellStyle name="Comma 4 2 2 5 2 2 2 5" xfId="16492" xr:uid="{F8888773-F5FE-441D-B97A-1A7BDD985976}"/>
    <cellStyle name="Comma 4 2 2 5 2 2 3" xfId="38467" xr:uid="{895F8347-9E5B-439F-9BAF-319595AE03B5}"/>
    <cellStyle name="Comma 4 2 2 5 2 2 4" xfId="30019" xr:uid="{948F921B-9B91-4C4F-B209-DAD122F91FA6}"/>
    <cellStyle name="Comma 4 2 2 5 2 2 5" xfId="21572" xr:uid="{93D8C7A5-BFA4-46CF-9327-57EFB1E607B8}"/>
    <cellStyle name="Comma 4 2 2 5 2 2 6" xfId="12275" xr:uid="{22B4E91D-38D8-44D3-AE2B-99AD8D6C3065}"/>
    <cellStyle name="Comma 4 2 2 5 2 3" xfId="5021" xr:uid="{00000000-0005-0000-0000-000045080000}"/>
    <cellStyle name="Comma 4 2 2 5 2 3 2" xfId="40539" xr:uid="{B696F77E-7490-48A7-A747-99A2E57520BD}"/>
    <cellStyle name="Comma 4 2 2 5 2 3 3" xfId="32092" xr:uid="{CD2820A5-E94C-4B27-8A44-DECCE75BA935}"/>
    <cellStyle name="Comma 4 2 2 5 2 3 4" xfId="23644" xr:uid="{E9A5837A-55D1-4788-9FE3-ACCC1836CBED}"/>
    <cellStyle name="Comma 4 2 2 5 2 3 5" xfId="14347" xr:uid="{5284CE92-AA82-4E1E-B6D6-D221D60E023D}"/>
    <cellStyle name="Comma 4 2 2 5 2 4" xfId="9593" xr:uid="{3B41C66E-2108-4CBE-9776-211459781E55}"/>
    <cellStyle name="Comma 4 2 2 5 2 4 2" xfId="36322" xr:uid="{D82F2BBE-BB08-47AD-BFC4-1BC16B8A9EB5}"/>
    <cellStyle name="Comma 4 2 2 5 2 4 3" xfId="18895" xr:uid="{F733FEF9-DC77-4940-8894-09B94CB7BD8F}"/>
    <cellStyle name="Comma 4 2 2 5 2 5" xfId="27874" xr:uid="{A303F1CF-882F-4C49-885D-94239853CCD5}"/>
    <cellStyle name="Comma 4 2 2 5 2 6" xfId="19427" xr:uid="{82A55F6E-DED7-471B-AE41-53FFAB4576A8}"/>
    <cellStyle name="Comma 4 2 2 5 2 7" xfId="10130" xr:uid="{D93456B3-21D6-4580-8EC8-B780B379A107}"/>
    <cellStyle name="Comma 4 2 2 5 3" xfId="1126" xr:uid="{00000000-0005-0000-0000-000046080000}"/>
    <cellStyle name="Comma 4 2 2 5 3 2" xfId="3357" xr:uid="{00000000-0005-0000-0000-000047080000}"/>
    <cellStyle name="Comma 4 2 2 5 3 2 2" xfId="7579" xr:uid="{00000000-0005-0000-0000-000048080000}"/>
    <cellStyle name="Comma 4 2 2 5 3 2 2 2" xfId="43097" xr:uid="{0D613CD4-B189-4831-9DD4-4FDE6B17A084}"/>
    <cellStyle name="Comma 4 2 2 5 3 2 2 3" xfId="34650" xr:uid="{99808E1F-E79B-47E2-86EE-F35B632C1021}"/>
    <cellStyle name="Comma 4 2 2 5 3 2 2 4" xfId="26202" xr:uid="{7FB3B7E9-A609-4735-9432-2834B6796171}"/>
    <cellStyle name="Comma 4 2 2 5 3 2 2 5" xfId="16905" xr:uid="{C1D0EE24-B957-4F00-B8E5-0B1E738AF04B}"/>
    <cellStyle name="Comma 4 2 2 5 3 2 3" xfId="38880" xr:uid="{63DFF655-2866-472C-BE68-E2409094DD6D}"/>
    <cellStyle name="Comma 4 2 2 5 3 2 4" xfId="30432" xr:uid="{AC17EF51-E925-464F-B086-B86313C3C12C}"/>
    <cellStyle name="Comma 4 2 2 5 3 2 5" xfId="21985" xr:uid="{39007E69-6239-487E-A611-43CB03A4BB53}"/>
    <cellStyle name="Comma 4 2 2 5 3 2 6" xfId="12688" xr:uid="{3832E405-77C2-4B6E-B79E-6843BFFDADCC}"/>
    <cellStyle name="Comma 4 2 2 5 3 3" xfId="5434" xr:uid="{00000000-0005-0000-0000-000049080000}"/>
    <cellStyle name="Comma 4 2 2 5 3 3 2" xfId="40952" xr:uid="{B9EC5538-5423-4A16-B7F1-CB49EC12A5E4}"/>
    <cellStyle name="Comma 4 2 2 5 3 3 3" xfId="32505" xr:uid="{A25260E7-11D2-42D7-AD0F-DCA63543A97D}"/>
    <cellStyle name="Comma 4 2 2 5 3 3 4" xfId="24057" xr:uid="{A992B6C9-E9BE-4138-BA10-8BC0D113FB67}"/>
    <cellStyle name="Comma 4 2 2 5 3 3 5" xfId="14760" xr:uid="{0F79A665-91AE-4CE2-B5FE-B2A7A8ED82F2}"/>
    <cellStyle name="Comma 4 2 2 5 3 4" xfId="36735" xr:uid="{6E4DD7CC-123E-4001-B604-901F48F35918}"/>
    <cellStyle name="Comma 4 2 2 5 3 5" xfId="28287" xr:uid="{0F79C226-EB0B-4403-AD07-615087BBA248}"/>
    <cellStyle name="Comma 4 2 2 5 3 6" xfId="19840" xr:uid="{25CB02A6-7355-40FC-9F8F-721225C940B7}"/>
    <cellStyle name="Comma 4 2 2 5 3 7" xfId="10543" xr:uid="{31876E93-65F6-4982-B220-A333CC71307A}"/>
    <cellStyle name="Comma 4 2 2 5 4" xfId="1540" xr:uid="{00000000-0005-0000-0000-00004A080000}"/>
    <cellStyle name="Comma 4 2 2 5 4 2" xfId="3770" xr:uid="{00000000-0005-0000-0000-00004B080000}"/>
    <cellStyle name="Comma 4 2 2 5 4 2 2" xfId="7992" xr:uid="{00000000-0005-0000-0000-00004C080000}"/>
    <cellStyle name="Comma 4 2 2 5 4 2 2 2" xfId="43510" xr:uid="{82A3952E-1672-4CCE-9CEC-A0B2E9234BE8}"/>
    <cellStyle name="Comma 4 2 2 5 4 2 2 3" xfId="35063" xr:uid="{820543E1-1F35-47B1-B86A-BFDC796217D5}"/>
    <cellStyle name="Comma 4 2 2 5 4 2 2 4" xfId="26615" xr:uid="{7E506DAA-D5C2-49F9-9F3A-83DF4404C369}"/>
    <cellStyle name="Comma 4 2 2 5 4 2 2 5" xfId="17318" xr:uid="{072C15C2-CDFE-491B-A50C-B53B389BFE53}"/>
    <cellStyle name="Comma 4 2 2 5 4 2 3" xfId="39293" xr:uid="{302B1C2D-AD3C-4670-BC94-B75AF78760B7}"/>
    <cellStyle name="Comma 4 2 2 5 4 2 4" xfId="30845" xr:uid="{C7DD23EC-67FC-4C47-A81A-A1A8B6F52692}"/>
    <cellStyle name="Comma 4 2 2 5 4 2 5" xfId="22398" xr:uid="{D06F085B-D119-4A83-B91B-30F4DF13B0C6}"/>
    <cellStyle name="Comma 4 2 2 5 4 2 6" xfId="13101" xr:uid="{6169E1AE-12C8-40C5-BE9B-33881C7FDCD5}"/>
    <cellStyle name="Comma 4 2 2 5 4 3" xfId="5847" xr:uid="{00000000-0005-0000-0000-00004D080000}"/>
    <cellStyle name="Comma 4 2 2 5 4 3 2" xfId="41365" xr:uid="{4EB459DB-8DF7-4D78-9233-B6FE69239B39}"/>
    <cellStyle name="Comma 4 2 2 5 4 3 3" xfId="32918" xr:uid="{80607CFC-F01C-4262-AE36-C17B9D86431D}"/>
    <cellStyle name="Comma 4 2 2 5 4 3 4" xfId="24470" xr:uid="{BE0EA1C8-B6BD-4EC0-BDB1-10A0AE8BD308}"/>
    <cellStyle name="Comma 4 2 2 5 4 3 5" xfId="15173" xr:uid="{03257707-D302-417E-A286-C2C63A2F3F0F}"/>
    <cellStyle name="Comma 4 2 2 5 4 4" xfId="37148" xr:uid="{3EF70E61-9670-465F-A71F-DC75B9668D20}"/>
    <cellStyle name="Comma 4 2 2 5 4 5" xfId="28700" xr:uid="{29632077-3E85-4B4D-985A-8DBA981A189B}"/>
    <cellStyle name="Comma 4 2 2 5 4 6" xfId="20253" xr:uid="{E744D816-38FB-4D94-BEC1-A5B4B682465B}"/>
    <cellStyle name="Comma 4 2 2 5 4 7" xfId="10956" xr:uid="{383EA0D8-7F09-4E64-87DF-1E50F25DA165}"/>
    <cellStyle name="Comma 4 2 2 5 5" xfId="1954" xr:uid="{00000000-0005-0000-0000-00004E080000}"/>
    <cellStyle name="Comma 4 2 2 5 5 2" xfId="4183" xr:uid="{00000000-0005-0000-0000-00004F080000}"/>
    <cellStyle name="Comma 4 2 2 5 5 2 2" xfId="8405" xr:uid="{00000000-0005-0000-0000-000050080000}"/>
    <cellStyle name="Comma 4 2 2 5 5 2 2 2" xfId="43923" xr:uid="{95A9A585-86E3-4EA2-8B62-71B683893665}"/>
    <cellStyle name="Comma 4 2 2 5 5 2 2 3" xfId="35476" xr:uid="{7F1E6A2C-E777-4694-8A7A-5F306C6A3954}"/>
    <cellStyle name="Comma 4 2 2 5 5 2 2 4" xfId="27028" xr:uid="{6D16457B-8172-48D9-904B-C1BA153A8DC1}"/>
    <cellStyle name="Comma 4 2 2 5 5 2 2 5" xfId="17731" xr:uid="{FACCA63A-AFE7-4AB7-92B1-7C9573F1FB1D}"/>
    <cellStyle name="Comma 4 2 2 5 5 2 3" xfId="39706" xr:uid="{79B54501-3A5B-49D1-863B-5A12400F0BC2}"/>
    <cellStyle name="Comma 4 2 2 5 5 2 4" xfId="31258" xr:uid="{C247F259-56AC-470C-88B4-93443B37CFE4}"/>
    <cellStyle name="Comma 4 2 2 5 5 2 5" xfId="22811" xr:uid="{1D5CF719-409C-4DC5-A91B-831003BC8261}"/>
    <cellStyle name="Comma 4 2 2 5 5 2 6" xfId="13514" xr:uid="{76916B61-6E3F-48D3-8709-0A76D0EB4DDF}"/>
    <cellStyle name="Comma 4 2 2 5 5 3" xfId="6260" xr:uid="{00000000-0005-0000-0000-000051080000}"/>
    <cellStyle name="Comma 4 2 2 5 5 3 2" xfId="41778" xr:uid="{82C84107-3D4B-45F9-90EF-13A0A99CCC85}"/>
    <cellStyle name="Comma 4 2 2 5 5 3 3" xfId="33331" xr:uid="{0B91C93C-D62D-47B5-9766-102EDE2EC4FD}"/>
    <cellStyle name="Comma 4 2 2 5 5 3 4" xfId="24883" xr:uid="{1E84F61F-D8E8-42B3-9323-BC4A1E95D600}"/>
    <cellStyle name="Comma 4 2 2 5 5 3 5" xfId="15586" xr:uid="{820185A6-DCDE-40BA-830E-BB6E7C295C51}"/>
    <cellStyle name="Comma 4 2 2 5 5 4" xfId="37561" xr:uid="{85DF1105-B91C-4603-B596-3BD493580A87}"/>
    <cellStyle name="Comma 4 2 2 5 5 5" xfId="29113" xr:uid="{5EB45AF6-8DCD-4686-AAAE-16351CFF5A5A}"/>
    <cellStyle name="Comma 4 2 2 5 5 6" xfId="20666" xr:uid="{49AC7EAD-663D-419F-9AF6-E60791CA58C9}"/>
    <cellStyle name="Comma 4 2 2 5 5 7" xfId="11369" xr:uid="{B4D4C45E-90C0-4581-853F-91D73688B6AC}"/>
    <cellStyle name="Comma 4 2 2 5 6" xfId="2389" xr:uid="{00000000-0005-0000-0000-000052080000}"/>
    <cellStyle name="Comma 4 2 2 5 6 2" xfId="6673" xr:uid="{00000000-0005-0000-0000-000053080000}"/>
    <cellStyle name="Comma 4 2 2 5 6 2 2" xfId="42191" xr:uid="{7CDBC9C9-83AC-4F38-9B71-F737B14768BD}"/>
    <cellStyle name="Comma 4 2 2 5 6 2 3" xfId="33744" xr:uid="{DFEBDC25-94EA-45FD-9A07-0B4469CF6ECA}"/>
    <cellStyle name="Comma 4 2 2 5 6 2 4" xfId="25296" xr:uid="{E807C8AF-D9C5-4563-8DBB-3FE5886266A6}"/>
    <cellStyle name="Comma 4 2 2 5 6 2 5" xfId="15999" xr:uid="{FE1A1CCD-6068-4CA8-9434-5C3A64EFA315}"/>
    <cellStyle name="Comma 4 2 2 5 6 3" xfId="37974" xr:uid="{8DF22690-B13E-40E7-AC88-FFE8E97F444A}"/>
    <cellStyle name="Comma 4 2 2 5 6 4" xfId="29526" xr:uid="{799B37D7-63DE-4DCF-9AF7-3F54ED6EFE8E}"/>
    <cellStyle name="Comma 4 2 2 5 6 5" xfId="21079" xr:uid="{877BE04E-EB3B-4F07-9968-69FD01A97F47}"/>
    <cellStyle name="Comma 4 2 2 5 6 6" xfId="11782" xr:uid="{1F49462F-4996-444F-9D00-19A933CF58FF}"/>
    <cellStyle name="Comma 4 2 2 5 7" xfId="2374" xr:uid="{00000000-0005-0000-0000-000054080000}"/>
    <cellStyle name="Comma 4 2 2 5 8" xfId="2767" xr:uid="{00000000-0005-0000-0000-000055080000}"/>
    <cellStyle name="Comma 4 2 2 5 8 2" xfId="6990" xr:uid="{00000000-0005-0000-0000-000056080000}"/>
    <cellStyle name="Comma 4 2 2 5 8 2 2" xfId="42508" xr:uid="{99E6641C-03BD-466A-A39A-6737D2005857}"/>
    <cellStyle name="Comma 4 2 2 5 8 2 3" xfId="34061" xr:uid="{DF5D6F17-5035-4DCC-B534-D26F07DCEA3C}"/>
    <cellStyle name="Comma 4 2 2 5 8 2 4" xfId="25613" xr:uid="{2E833505-8B52-46DD-97DE-5519071105FC}"/>
    <cellStyle name="Comma 4 2 2 5 8 2 5" xfId="16316" xr:uid="{CC1FE146-6560-4842-B324-BE17FA4A4F63}"/>
    <cellStyle name="Comma 4 2 2 5 8 3" xfId="38291" xr:uid="{06AE77CA-180C-4D92-AA42-4DD167F9EB53}"/>
    <cellStyle name="Comma 4 2 2 5 8 4" xfId="29843" xr:uid="{C41627BE-CD1F-4707-89B4-D4CF9FDE96C2}"/>
    <cellStyle name="Comma 4 2 2 5 8 5" xfId="21396" xr:uid="{A2AAA359-A558-494A-8FF8-A73D2693EFE9}"/>
    <cellStyle name="Comma 4 2 2 5 8 6" xfId="12099" xr:uid="{70FA0CD4-8320-4EB3-BCC3-00D7AFC39BDA}"/>
    <cellStyle name="Comma 4 2 2 5 9" xfId="4607" xr:uid="{00000000-0005-0000-0000-000057080000}"/>
    <cellStyle name="Comma 4 2 2 5 9 2" xfId="40125" xr:uid="{788672AF-3378-435B-BCDB-5FD252E651F2}"/>
    <cellStyle name="Comma 4 2 2 5 9 3" xfId="31678" xr:uid="{46CEE0CD-D902-4888-8B13-36D6C16437EA}"/>
    <cellStyle name="Comma 4 2 2 5 9 4" xfId="23230" xr:uid="{B2748C03-809A-43E1-BEA2-D985CF0E312A}"/>
    <cellStyle name="Comma 4 2 2 5 9 5" xfId="13933" xr:uid="{D84F875D-498B-409E-8796-950826E0D890}"/>
    <cellStyle name="Comma 4 2 2 6" xfId="9228" xr:uid="{49D8FCED-23A7-48B2-8D10-F90787B2F62D}"/>
    <cellStyle name="Comma 4 2 2 7" xfId="8786" xr:uid="{8FDBE9F4-5F27-4B1B-A262-D62BF874EF16}"/>
    <cellStyle name="Comma 4 2 2 7 2" xfId="18109" xr:uid="{E81C6E21-9FE8-4284-90E8-7FE8815D6D43}"/>
    <cellStyle name="Comma 4 2 3" xfId="136" xr:uid="{00000000-0005-0000-0000-000058080000}"/>
    <cellStyle name="Comma 4 2 3 10" xfId="2768" xr:uid="{00000000-0005-0000-0000-000059080000}"/>
    <cellStyle name="Comma 4 2 3 10 2" xfId="6991" xr:uid="{00000000-0005-0000-0000-00005A080000}"/>
    <cellStyle name="Comma 4 2 3 10 2 2" xfId="42509" xr:uid="{FB0E8B25-BA51-4801-895E-8F7F16E89D50}"/>
    <cellStyle name="Comma 4 2 3 10 2 3" xfId="34062" xr:uid="{02F06D50-4E1D-4C64-8D54-3BB3912A7A83}"/>
    <cellStyle name="Comma 4 2 3 10 2 4" xfId="25614" xr:uid="{E1303819-6C12-49C4-BC49-22B2495A9605}"/>
    <cellStyle name="Comma 4 2 3 10 2 5" xfId="16317" xr:uid="{40776E04-F8FA-476B-A549-8F9D84302E1A}"/>
    <cellStyle name="Comma 4 2 3 10 3" xfId="38292" xr:uid="{9948501A-82C1-4EE0-BD37-A8165913AF81}"/>
    <cellStyle name="Comma 4 2 3 10 4" xfId="29844" xr:uid="{B1343998-1C2A-4401-88A5-AE67A4125948}"/>
    <cellStyle name="Comma 4 2 3 10 5" xfId="21397" xr:uid="{792A745A-04C8-42D9-A8CE-E46E1CAFD2D8}"/>
    <cellStyle name="Comma 4 2 3 10 6" xfId="12100" xr:uid="{ACD1B537-E9E1-4266-83B1-E855FE63926C}"/>
    <cellStyle name="Comma 4 2 3 11" xfId="4608" xr:uid="{00000000-0005-0000-0000-00005B080000}"/>
    <cellStyle name="Comma 4 2 3 11 2" xfId="40126" xr:uid="{1E8C7C61-A45E-41B5-B830-9516B10A8C71}"/>
    <cellStyle name="Comma 4 2 3 11 3" xfId="31679" xr:uid="{61085B2A-DE48-42B9-AF2D-BAC4C0068492}"/>
    <cellStyle name="Comma 4 2 3 11 4" xfId="23231" xr:uid="{06D9979C-F98B-4D82-817F-6559988C4A7B}"/>
    <cellStyle name="Comma 4 2 3 11 5" xfId="13934" xr:uid="{6FFBC7D3-4A02-4A37-9D8A-374F5955AC4C}"/>
    <cellStyle name="Comma 4 2 3 12" xfId="8805" xr:uid="{C45527F6-07B7-4887-BAF3-A6424444BA3B}"/>
    <cellStyle name="Comma 4 2 3 12 2" xfId="35909" xr:uid="{E0973273-2640-47D5-BD91-7DEE3C8BD3DC}"/>
    <cellStyle name="Comma 4 2 3 12 3" xfId="18128" xr:uid="{DAD666C4-BD1B-46F6-9AD9-FF2548CA896B}"/>
    <cellStyle name="Comma 4 2 3 13" xfId="27461" xr:uid="{02EB2C74-C99A-446A-9D71-CEA1D911FE22}"/>
    <cellStyle name="Comma 4 2 3 14" xfId="19014" xr:uid="{835BAD98-6CDC-4B06-BC6D-E0BF3E0237B7}"/>
    <cellStyle name="Comma 4 2 3 15" xfId="9717" xr:uid="{1642582F-D3A2-4002-9FB2-04BF02370FAD}"/>
    <cellStyle name="Comma 4 2 3 2" xfId="137" xr:uid="{00000000-0005-0000-0000-00005C080000}"/>
    <cellStyle name="Comma 4 2 3 2 10" xfId="4609" xr:uid="{00000000-0005-0000-0000-00005D080000}"/>
    <cellStyle name="Comma 4 2 3 2 10 2" xfId="40127" xr:uid="{50EB854D-54DB-43E7-970D-49915F20550B}"/>
    <cellStyle name="Comma 4 2 3 2 10 3" xfId="31680" xr:uid="{C33BAF16-B5B7-4F53-A624-7EA6AF2FC29B}"/>
    <cellStyle name="Comma 4 2 3 2 10 4" xfId="23232" xr:uid="{EE538FAE-FAAE-412F-93CE-E0108A5DC001}"/>
    <cellStyle name="Comma 4 2 3 2 10 5" xfId="13935" xr:uid="{114F76B5-077F-4572-B838-9BDFA0E3CF4B}"/>
    <cellStyle name="Comma 4 2 3 2 11" xfId="8908" xr:uid="{E7021C11-E6EB-4392-A0AD-2A78F42B4BB7}"/>
    <cellStyle name="Comma 4 2 3 2 11 2" xfId="35910" xr:uid="{EBB1E773-B4D3-4C12-AF93-D146411704F1}"/>
    <cellStyle name="Comma 4 2 3 2 11 3" xfId="18231" xr:uid="{8A912FCF-45CE-4157-9928-08C280F770C5}"/>
    <cellStyle name="Comma 4 2 3 2 12" xfId="27462" xr:uid="{370C15F4-29A0-4F6A-BB3B-48D6AA13A77B}"/>
    <cellStyle name="Comma 4 2 3 2 13" xfId="19015" xr:uid="{81601DB6-E963-4173-BB73-6E5BEA8026B3}"/>
    <cellStyle name="Comma 4 2 3 2 14" xfId="9718" xr:uid="{687AF72F-42DA-481F-9980-B815D0609E11}"/>
    <cellStyle name="Comma 4 2 3 2 2" xfId="138" xr:uid="{00000000-0005-0000-0000-00005E080000}"/>
    <cellStyle name="Comma 4 2 3 2 2 10" xfId="9115" xr:uid="{1A31CCC4-B2C0-4E0C-B714-855521500FE8}"/>
    <cellStyle name="Comma 4 2 3 2 2 10 2" xfId="35911" xr:uid="{22203B40-E790-48BA-8438-A287E6D7701B}"/>
    <cellStyle name="Comma 4 2 3 2 2 10 3" xfId="18438" xr:uid="{5197C4F0-92F3-4222-8C92-132D72489B3F}"/>
    <cellStyle name="Comma 4 2 3 2 2 11" xfId="27463" xr:uid="{79FC4FE7-2940-4E4B-8420-3A371156E7CD}"/>
    <cellStyle name="Comma 4 2 3 2 2 12" xfId="19016" xr:uid="{0BA0F17F-AF50-4BA1-A741-AFE3903196AC}"/>
    <cellStyle name="Comma 4 2 3 2 2 13" xfId="9719" xr:uid="{CC004542-3C47-480F-8474-2BDC870167E6}"/>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42687" xr:uid="{B290129D-75CC-47EF-A9D3-82135C6C8021}"/>
    <cellStyle name="Comma 4 2 3 2 2 2 2 2 3" xfId="34240" xr:uid="{94BDF17E-04DF-4193-A658-B6946FE0CCDA}"/>
    <cellStyle name="Comma 4 2 3 2 2 2 2 2 4" xfId="25792" xr:uid="{DA7087EA-45A8-49DE-BFAC-1AEA4CDD2A14}"/>
    <cellStyle name="Comma 4 2 3 2 2 2 2 2 5" xfId="16495" xr:uid="{592835AE-5610-4181-AF4B-28586D97626A}"/>
    <cellStyle name="Comma 4 2 3 2 2 2 2 3" xfId="38470" xr:uid="{AC06A258-B5F4-4E41-90DC-CB0824D4D25B}"/>
    <cellStyle name="Comma 4 2 3 2 2 2 2 4" xfId="30022" xr:uid="{DC7BBAAC-2EA5-42A3-9B5D-9F7F25F1171E}"/>
    <cellStyle name="Comma 4 2 3 2 2 2 2 5" xfId="21575" xr:uid="{E87A910D-949B-4709-B2C7-878C0E3FFEB8}"/>
    <cellStyle name="Comma 4 2 3 2 2 2 2 6" xfId="12278" xr:uid="{32FC49CA-D68D-4F63-92B5-27A108F65554}"/>
    <cellStyle name="Comma 4 2 3 2 2 2 3" xfId="5024" xr:uid="{00000000-0005-0000-0000-000062080000}"/>
    <cellStyle name="Comma 4 2 3 2 2 2 3 2" xfId="40542" xr:uid="{E0F09C39-E531-442D-B38F-C3AAA25F9E96}"/>
    <cellStyle name="Comma 4 2 3 2 2 2 3 3" xfId="32095" xr:uid="{527F7847-E608-4BFE-9DF1-E613700D1819}"/>
    <cellStyle name="Comma 4 2 3 2 2 2 3 4" xfId="23647" xr:uid="{93CF1F92-24B4-4E50-B846-0BF575163612}"/>
    <cellStyle name="Comma 4 2 3 2 2 2 3 5" xfId="14350" xr:uid="{5CDA2356-E1C2-42B0-8D11-88746F8CB152}"/>
    <cellStyle name="Comma 4 2 3 2 2 2 4" xfId="9540" xr:uid="{F922DD27-FEAE-4DB6-894F-26CD58815668}"/>
    <cellStyle name="Comma 4 2 3 2 2 2 4 2" xfId="36325" xr:uid="{C31AD258-A484-452A-8433-3EF5866EAA4B}"/>
    <cellStyle name="Comma 4 2 3 2 2 2 4 3" xfId="18853" xr:uid="{1EB8E15D-0DB8-4B10-801F-C3983E80462B}"/>
    <cellStyle name="Comma 4 2 3 2 2 2 5" xfId="27877" xr:uid="{706AB650-AF6F-4ECB-B420-6CF815D88398}"/>
    <cellStyle name="Comma 4 2 3 2 2 2 6" xfId="19430" xr:uid="{D605264C-9E43-42BD-BD52-7F2878D214D1}"/>
    <cellStyle name="Comma 4 2 3 2 2 2 7" xfId="10133" xr:uid="{25994B53-9C45-47C6-8775-8044EEABE8C0}"/>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43100" xr:uid="{1453F697-8E27-48F7-8D97-DAD98EB99FB2}"/>
    <cellStyle name="Comma 4 2 3 2 2 3 2 2 3" xfId="34653" xr:uid="{93101DE9-CC43-4591-88B5-273F63BC518E}"/>
    <cellStyle name="Comma 4 2 3 2 2 3 2 2 4" xfId="26205" xr:uid="{1C66932D-A127-44A5-90B9-B5C84EE7A05E}"/>
    <cellStyle name="Comma 4 2 3 2 2 3 2 2 5" xfId="16908" xr:uid="{2F5CA7C0-249C-421E-8AE0-C0D1CCED78AC}"/>
    <cellStyle name="Comma 4 2 3 2 2 3 2 3" xfId="38883" xr:uid="{6C21132B-426B-4A4E-A5C1-A9CC370F1853}"/>
    <cellStyle name="Comma 4 2 3 2 2 3 2 4" xfId="30435" xr:uid="{44D9292A-BD5B-4330-81F5-47DC39DA91C6}"/>
    <cellStyle name="Comma 4 2 3 2 2 3 2 5" xfId="21988" xr:uid="{8B0A5E11-4900-4E6D-99E9-352DE9D9BDCA}"/>
    <cellStyle name="Comma 4 2 3 2 2 3 2 6" xfId="12691" xr:uid="{90956E62-D88B-42C9-8CFA-6583C5015DDC}"/>
    <cellStyle name="Comma 4 2 3 2 2 3 3" xfId="5437" xr:uid="{00000000-0005-0000-0000-000066080000}"/>
    <cellStyle name="Comma 4 2 3 2 2 3 3 2" xfId="40955" xr:uid="{47B58182-792D-4A13-B3F7-725CE3875608}"/>
    <cellStyle name="Comma 4 2 3 2 2 3 3 3" xfId="32508" xr:uid="{ED78A5D1-66B4-4608-A127-3A07CB1BC4F1}"/>
    <cellStyle name="Comma 4 2 3 2 2 3 3 4" xfId="24060" xr:uid="{C1BAC744-203B-43CD-B5A2-C3D5ED57A52F}"/>
    <cellStyle name="Comma 4 2 3 2 2 3 3 5" xfId="14763" xr:uid="{B12ED803-C5AE-46E4-AD5B-228B537F0C8B}"/>
    <cellStyle name="Comma 4 2 3 2 2 3 4" xfId="36738" xr:uid="{CBD8B8A9-9E3B-4B85-81A3-42F012D57174}"/>
    <cellStyle name="Comma 4 2 3 2 2 3 5" xfId="28290" xr:uid="{4F8C0472-9642-4D9B-B9EA-0F1A6BC0E05D}"/>
    <cellStyle name="Comma 4 2 3 2 2 3 6" xfId="19843" xr:uid="{10BB0BF5-97C3-4555-A658-EFE351537865}"/>
    <cellStyle name="Comma 4 2 3 2 2 3 7" xfId="10546" xr:uid="{F4111A21-63DA-46A8-B217-7C652B1CF567}"/>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43513" xr:uid="{7283AC47-2AFD-4238-80C5-899F9D3E3534}"/>
    <cellStyle name="Comma 4 2 3 2 2 4 2 2 3" xfId="35066" xr:uid="{EB992EB6-5697-494D-8875-ADD23B029970}"/>
    <cellStyle name="Comma 4 2 3 2 2 4 2 2 4" xfId="26618" xr:uid="{D5D86252-2562-46CB-8915-60E2F5CA921A}"/>
    <cellStyle name="Comma 4 2 3 2 2 4 2 2 5" xfId="17321" xr:uid="{55DE98D2-1AF5-46CC-BDE9-7C6D4A55EE6A}"/>
    <cellStyle name="Comma 4 2 3 2 2 4 2 3" xfId="39296" xr:uid="{1FE03DDC-3E55-4F02-974D-1D8935ED4CE6}"/>
    <cellStyle name="Comma 4 2 3 2 2 4 2 4" xfId="30848" xr:uid="{3824E9F5-C5DE-4F9A-BE36-B9B77F113C68}"/>
    <cellStyle name="Comma 4 2 3 2 2 4 2 5" xfId="22401" xr:uid="{8B2BA894-14FB-4ED4-8794-A3C80B99D92C}"/>
    <cellStyle name="Comma 4 2 3 2 2 4 2 6" xfId="13104" xr:uid="{48A255D4-9A84-44CF-A793-BDB961E2B8B6}"/>
    <cellStyle name="Comma 4 2 3 2 2 4 3" xfId="5850" xr:uid="{00000000-0005-0000-0000-00006A080000}"/>
    <cellStyle name="Comma 4 2 3 2 2 4 3 2" xfId="41368" xr:uid="{39DFB1FB-F173-47FB-8110-6DCE8EA97446}"/>
    <cellStyle name="Comma 4 2 3 2 2 4 3 3" xfId="32921" xr:uid="{005D3C55-10F8-4FB2-A863-F8B8D5CEA4E9}"/>
    <cellStyle name="Comma 4 2 3 2 2 4 3 4" xfId="24473" xr:uid="{6D2326C1-7997-498B-8EB2-BD8035F8370E}"/>
    <cellStyle name="Comma 4 2 3 2 2 4 3 5" xfId="15176" xr:uid="{1A373535-CE16-45A9-AA62-73A9EF690D0F}"/>
    <cellStyle name="Comma 4 2 3 2 2 4 4" xfId="37151" xr:uid="{07AE7D79-D487-462F-B410-35F7DA760E47}"/>
    <cellStyle name="Comma 4 2 3 2 2 4 5" xfId="28703" xr:uid="{B13E10B8-DCBD-4B08-873A-93B991269AE7}"/>
    <cellStyle name="Comma 4 2 3 2 2 4 6" xfId="20256" xr:uid="{49B2AA2E-BECB-4AC5-83FE-8492F39E305E}"/>
    <cellStyle name="Comma 4 2 3 2 2 4 7" xfId="10959" xr:uid="{950D1361-5D13-4CF8-A388-29254E349452}"/>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43926" xr:uid="{BB6D6C96-18F8-4C5C-ACAF-4566B8CF5FB2}"/>
    <cellStyle name="Comma 4 2 3 2 2 5 2 2 3" xfId="35479" xr:uid="{AA56C419-F071-42A1-859D-9A2A4F0D4874}"/>
    <cellStyle name="Comma 4 2 3 2 2 5 2 2 4" xfId="27031" xr:uid="{EE4F4E09-DDAD-4362-B94A-1BD7D37BEE4E}"/>
    <cellStyle name="Comma 4 2 3 2 2 5 2 2 5" xfId="17734" xr:uid="{E1B5D8BF-6873-4302-8F10-444A5AF38A01}"/>
    <cellStyle name="Comma 4 2 3 2 2 5 2 3" xfId="39709" xr:uid="{5E831508-2CC1-42E1-BB61-940EAE316010}"/>
    <cellStyle name="Comma 4 2 3 2 2 5 2 4" xfId="31261" xr:uid="{2D9BBD1E-2EC7-4611-A456-E4D0AC697C65}"/>
    <cellStyle name="Comma 4 2 3 2 2 5 2 5" xfId="22814" xr:uid="{52BB4CD1-6A97-4352-AD5A-BB7ACDD1DAFB}"/>
    <cellStyle name="Comma 4 2 3 2 2 5 2 6" xfId="13517" xr:uid="{0A539B2D-9268-45D5-9D0C-E255945FFD9B}"/>
    <cellStyle name="Comma 4 2 3 2 2 5 3" xfId="6263" xr:uid="{00000000-0005-0000-0000-00006E080000}"/>
    <cellStyle name="Comma 4 2 3 2 2 5 3 2" xfId="41781" xr:uid="{A5514DE7-D5CE-44BC-AD29-F7A53356FC13}"/>
    <cellStyle name="Comma 4 2 3 2 2 5 3 3" xfId="33334" xr:uid="{F7D99541-CE55-4FEE-BD82-F24C42992EFA}"/>
    <cellStyle name="Comma 4 2 3 2 2 5 3 4" xfId="24886" xr:uid="{39FD0A54-2D72-4FD2-B6C1-932FBB62262E}"/>
    <cellStyle name="Comma 4 2 3 2 2 5 3 5" xfId="15589" xr:uid="{29254B16-C355-45AB-924D-C683D7E8362C}"/>
    <cellStyle name="Comma 4 2 3 2 2 5 4" xfId="37564" xr:uid="{198D26B0-152F-47BA-96F3-AD1A96582B0C}"/>
    <cellStyle name="Comma 4 2 3 2 2 5 5" xfId="29116" xr:uid="{AFFBED29-C75D-4ECD-B8F9-F142B813D9A0}"/>
    <cellStyle name="Comma 4 2 3 2 2 5 6" xfId="20669" xr:uid="{ECE96B49-9842-470A-A985-0803A6E11935}"/>
    <cellStyle name="Comma 4 2 3 2 2 5 7" xfId="11372" xr:uid="{5C9F4282-4CED-42BA-BE42-032954A5361A}"/>
    <cellStyle name="Comma 4 2 3 2 2 6" xfId="2392" xr:uid="{00000000-0005-0000-0000-00006F080000}"/>
    <cellStyle name="Comma 4 2 3 2 2 6 2" xfId="6676" xr:uid="{00000000-0005-0000-0000-000070080000}"/>
    <cellStyle name="Comma 4 2 3 2 2 6 2 2" xfId="42194" xr:uid="{40E33E4C-ADE7-44F4-9B57-6E1963EF7C2F}"/>
    <cellStyle name="Comma 4 2 3 2 2 6 2 3" xfId="33747" xr:uid="{E0A8E933-0B9E-4286-A761-2FA1BDDEB228}"/>
    <cellStyle name="Comma 4 2 3 2 2 6 2 4" xfId="25299" xr:uid="{D506484B-77D0-4092-AA8E-565945C4A089}"/>
    <cellStyle name="Comma 4 2 3 2 2 6 2 5" xfId="16002" xr:uid="{3A3BD378-CF70-4222-A602-C48ACD74F531}"/>
    <cellStyle name="Comma 4 2 3 2 2 6 3" xfId="37977" xr:uid="{4A5A737B-2359-4950-96E6-4AB6D1F6F7F4}"/>
    <cellStyle name="Comma 4 2 3 2 2 6 4" xfId="29529" xr:uid="{228F7A01-D5B1-45A2-B124-6D9EF670439E}"/>
    <cellStyle name="Comma 4 2 3 2 2 6 5" xfId="21082" xr:uid="{FD6E6478-83E9-4430-8683-74962F4F5CBB}"/>
    <cellStyle name="Comma 4 2 3 2 2 6 6" xfId="11785" xr:uid="{DB4DAF6A-6399-4FC2-BBA8-6ACF9117C234}"/>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42511" xr:uid="{7CD7C727-0A9C-4274-B1B5-5FB656EFF686}"/>
    <cellStyle name="Comma 4 2 3 2 2 8 2 3" xfId="34064" xr:uid="{83A6D781-AC47-48F2-A1D1-D0AF6D1E0685}"/>
    <cellStyle name="Comma 4 2 3 2 2 8 2 4" xfId="25616" xr:uid="{B0924021-5C76-48B6-B8E0-ACF6C059B634}"/>
    <cellStyle name="Comma 4 2 3 2 2 8 2 5" xfId="16319" xr:uid="{3125272C-6923-40D5-B054-11BE41A45C8B}"/>
    <cellStyle name="Comma 4 2 3 2 2 8 3" xfId="38294" xr:uid="{896FBF16-06E8-49F7-A0BF-5EA4CF4AF1E8}"/>
    <cellStyle name="Comma 4 2 3 2 2 8 4" xfId="29846" xr:uid="{0AFBD0C5-9D67-461F-8286-28D3939AE36A}"/>
    <cellStyle name="Comma 4 2 3 2 2 8 5" xfId="21399" xr:uid="{AD3FA167-9978-4C79-989D-0B2339022999}"/>
    <cellStyle name="Comma 4 2 3 2 2 8 6" xfId="12102" xr:uid="{A7A48ED1-74B4-47FC-9528-7F0F92E3780C}"/>
    <cellStyle name="Comma 4 2 3 2 2 9" xfId="4610" xr:uid="{00000000-0005-0000-0000-000074080000}"/>
    <cellStyle name="Comma 4 2 3 2 2 9 2" xfId="40128" xr:uid="{150D47DB-6B5B-448D-8F42-B3B9A0941B2B}"/>
    <cellStyle name="Comma 4 2 3 2 2 9 3" xfId="31681" xr:uid="{6353BA5B-58A2-444B-9833-7314181529EB}"/>
    <cellStyle name="Comma 4 2 3 2 2 9 4" xfId="23233" xr:uid="{4F824E3D-F051-4825-A458-F040228BC6F5}"/>
    <cellStyle name="Comma 4 2 3 2 2 9 5" xfId="13936" xr:uid="{E39E383C-AB1B-475D-A4B5-074ADBB20036}"/>
    <cellStyle name="Comma 4 2 3 2 3" xfId="675" xr:uid="{00000000-0005-0000-0000-000075080000}"/>
    <cellStyle name="Comma 4 2 3 2 3 2" xfId="2946" xr:uid="{00000000-0005-0000-0000-000076080000}"/>
    <cellStyle name="Comma 4 2 3 2 3 2 2" xfId="7168" xr:uid="{00000000-0005-0000-0000-000077080000}"/>
    <cellStyle name="Comma 4 2 3 2 3 2 2 2" xfId="42686" xr:uid="{10CA4569-4B6A-4716-BCFB-B5F5236222C0}"/>
    <cellStyle name="Comma 4 2 3 2 3 2 2 3" xfId="34239" xr:uid="{E90BC4C5-4C8E-4292-888D-C1DA106E59EB}"/>
    <cellStyle name="Comma 4 2 3 2 3 2 2 4" xfId="25791" xr:uid="{4D8CE765-0FC7-4E81-8B65-B3B41DC8C768}"/>
    <cellStyle name="Comma 4 2 3 2 3 2 2 5" xfId="16494" xr:uid="{29100972-4F5D-4FE9-890F-98756C7131BD}"/>
    <cellStyle name="Comma 4 2 3 2 3 2 3" xfId="38469" xr:uid="{8AA9BA44-A31E-4A33-B910-6325DC269DB4}"/>
    <cellStyle name="Comma 4 2 3 2 3 2 4" xfId="30021" xr:uid="{70835A51-BB5A-45D6-BC79-F438CDE32DB9}"/>
    <cellStyle name="Comma 4 2 3 2 3 2 5" xfId="21574" xr:uid="{D8F03E64-BE3A-4510-A650-5B969B718ECB}"/>
    <cellStyle name="Comma 4 2 3 2 3 2 6" xfId="12277" xr:uid="{2223F452-0D9F-47D0-925E-A99E0358D77A}"/>
    <cellStyle name="Comma 4 2 3 2 3 3" xfId="5023" xr:uid="{00000000-0005-0000-0000-000078080000}"/>
    <cellStyle name="Comma 4 2 3 2 3 3 2" xfId="40541" xr:uid="{123921CA-4F40-4B74-ADC1-BA565F3E6F27}"/>
    <cellStyle name="Comma 4 2 3 2 3 3 3" xfId="32094" xr:uid="{96600B10-C7D4-4BEA-9228-C5356FB6F717}"/>
    <cellStyle name="Comma 4 2 3 2 3 3 4" xfId="23646" xr:uid="{0BCEBFCF-FB92-4A6C-9FF3-B98A8A882F4F}"/>
    <cellStyle name="Comma 4 2 3 2 3 3 5" xfId="14349" xr:uid="{F339953D-6E45-408B-A215-DF4FBEAA0AE7}"/>
    <cellStyle name="Comma 4 2 3 2 3 4" xfId="9333" xr:uid="{5C974796-1B06-4FA8-AB2A-F6B34628ACD4}"/>
    <cellStyle name="Comma 4 2 3 2 3 4 2" xfId="36324" xr:uid="{BB0D8745-8EC2-49AA-A7B2-856FD29B0D52}"/>
    <cellStyle name="Comma 4 2 3 2 3 4 3" xfId="18646" xr:uid="{30261067-CEF8-4EEF-A81E-B4E6EBE50158}"/>
    <cellStyle name="Comma 4 2 3 2 3 5" xfId="27876" xr:uid="{0472640E-28AD-4CF9-A258-7A84B552F3C0}"/>
    <cellStyle name="Comma 4 2 3 2 3 6" xfId="19429" xr:uid="{AB860FF4-89F5-4EC1-BC9E-3E1BFFFE14EF}"/>
    <cellStyle name="Comma 4 2 3 2 3 7" xfId="10132" xr:uid="{E4D424BA-FB23-42D1-B057-AB32BAD60331}"/>
    <cellStyle name="Comma 4 2 3 2 4" xfId="1128" xr:uid="{00000000-0005-0000-0000-000079080000}"/>
    <cellStyle name="Comma 4 2 3 2 4 2" xfId="3359" xr:uid="{00000000-0005-0000-0000-00007A080000}"/>
    <cellStyle name="Comma 4 2 3 2 4 2 2" xfId="7581" xr:uid="{00000000-0005-0000-0000-00007B080000}"/>
    <cellStyle name="Comma 4 2 3 2 4 2 2 2" xfId="43099" xr:uid="{8B44C4DC-22D1-46FF-95CC-075326B19834}"/>
    <cellStyle name="Comma 4 2 3 2 4 2 2 3" xfId="34652" xr:uid="{D9C5F5C9-6DC1-4CE2-AD83-84E68EFB13A7}"/>
    <cellStyle name="Comma 4 2 3 2 4 2 2 4" xfId="26204" xr:uid="{5513A6D0-A2FD-4334-9329-09510CE0EB28}"/>
    <cellStyle name="Comma 4 2 3 2 4 2 2 5" xfId="16907" xr:uid="{F0B05B9F-8A88-4150-BDE1-614E479FD0B7}"/>
    <cellStyle name="Comma 4 2 3 2 4 2 3" xfId="38882" xr:uid="{7D74651B-0AE7-4C40-BA23-1C55602BB989}"/>
    <cellStyle name="Comma 4 2 3 2 4 2 4" xfId="30434" xr:uid="{40B523A4-9DAC-4636-9B91-4F446724CE45}"/>
    <cellStyle name="Comma 4 2 3 2 4 2 5" xfId="21987" xr:uid="{44BE58F4-4751-4851-B98A-9011252C562D}"/>
    <cellStyle name="Comma 4 2 3 2 4 2 6" xfId="12690" xr:uid="{84189063-4795-4EF9-A8A9-26CF7734D7FF}"/>
    <cellStyle name="Comma 4 2 3 2 4 3" xfId="5436" xr:uid="{00000000-0005-0000-0000-00007C080000}"/>
    <cellStyle name="Comma 4 2 3 2 4 3 2" xfId="40954" xr:uid="{166091A5-74B8-4F9B-A541-250F85C5DFD5}"/>
    <cellStyle name="Comma 4 2 3 2 4 3 3" xfId="32507" xr:uid="{9A2518EA-A217-45C5-ABA7-9E0CDA385C35}"/>
    <cellStyle name="Comma 4 2 3 2 4 3 4" xfId="24059" xr:uid="{2E23A7DF-4E52-4C99-AC13-CC7EE2915C0F}"/>
    <cellStyle name="Comma 4 2 3 2 4 3 5" xfId="14762" xr:uid="{D4DC9094-C597-43FE-B58D-422DF11B686C}"/>
    <cellStyle name="Comma 4 2 3 2 4 4" xfId="36737" xr:uid="{C782E9EA-D307-4759-BFF3-CE19E820B1BD}"/>
    <cellStyle name="Comma 4 2 3 2 4 5" xfId="28289" xr:uid="{C81AD9E1-65AF-4E1A-8765-C6650302F13C}"/>
    <cellStyle name="Comma 4 2 3 2 4 6" xfId="19842" xr:uid="{E5444F6C-3382-48AB-9380-FD1D967327C3}"/>
    <cellStyle name="Comma 4 2 3 2 4 7" xfId="10545" xr:uid="{8A5838FB-35F9-4622-9301-3FDA73DE8785}"/>
    <cellStyle name="Comma 4 2 3 2 5" xfId="1542" xr:uid="{00000000-0005-0000-0000-00007D080000}"/>
    <cellStyle name="Comma 4 2 3 2 5 2" xfId="3772" xr:uid="{00000000-0005-0000-0000-00007E080000}"/>
    <cellStyle name="Comma 4 2 3 2 5 2 2" xfId="7994" xr:uid="{00000000-0005-0000-0000-00007F080000}"/>
    <cellStyle name="Comma 4 2 3 2 5 2 2 2" xfId="43512" xr:uid="{468046CC-722A-4590-A8E0-5933DD58B0F4}"/>
    <cellStyle name="Comma 4 2 3 2 5 2 2 3" xfId="35065" xr:uid="{A891AC64-38E6-4D92-B7F7-10A691EE09EB}"/>
    <cellStyle name="Comma 4 2 3 2 5 2 2 4" xfId="26617" xr:uid="{A2B99ADC-E229-4665-90C7-266D8F481BED}"/>
    <cellStyle name="Comma 4 2 3 2 5 2 2 5" xfId="17320" xr:uid="{043750FB-0527-4951-BB19-BF358FE1A1D8}"/>
    <cellStyle name="Comma 4 2 3 2 5 2 3" xfId="39295" xr:uid="{40D0317C-B7C3-4A96-94C7-D8624FFFD3B2}"/>
    <cellStyle name="Comma 4 2 3 2 5 2 4" xfId="30847" xr:uid="{1A3C907D-FB72-41B3-BB5D-CCFC41D33B2C}"/>
    <cellStyle name="Comma 4 2 3 2 5 2 5" xfId="22400" xr:uid="{2078B6F0-0885-4F79-8DEF-9D2065180C44}"/>
    <cellStyle name="Comma 4 2 3 2 5 2 6" xfId="13103" xr:uid="{59615700-2C65-419B-9A78-C93FA83FB3F4}"/>
    <cellStyle name="Comma 4 2 3 2 5 3" xfId="5849" xr:uid="{00000000-0005-0000-0000-000080080000}"/>
    <cellStyle name="Comma 4 2 3 2 5 3 2" xfId="41367" xr:uid="{A2254525-AA18-45B4-9A0F-B18818621D46}"/>
    <cellStyle name="Comma 4 2 3 2 5 3 3" xfId="32920" xr:uid="{F554923C-4C5B-405B-8813-9DA90517736F}"/>
    <cellStyle name="Comma 4 2 3 2 5 3 4" xfId="24472" xr:uid="{B053AD3A-2F61-40D9-99B1-7CB65D7974D4}"/>
    <cellStyle name="Comma 4 2 3 2 5 3 5" xfId="15175" xr:uid="{4F0FD61C-FFC6-4D3D-B4A1-1AA2A19653C3}"/>
    <cellStyle name="Comma 4 2 3 2 5 4" xfId="37150" xr:uid="{FE186EEA-DA81-4330-9B0C-F707898DC771}"/>
    <cellStyle name="Comma 4 2 3 2 5 5" xfId="28702" xr:uid="{08899D93-4C4A-49CD-A64E-A5C3EDF4254F}"/>
    <cellStyle name="Comma 4 2 3 2 5 6" xfId="20255" xr:uid="{DD24EC7C-AFFF-46A3-8868-FCEC783B90A4}"/>
    <cellStyle name="Comma 4 2 3 2 5 7" xfId="10958" xr:uid="{3562E5CA-0994-42FE-9596-86F328236AC1}"/>
    <cellStyle name="Comma 4 2 3 2 6" xfId="1956" xr:uid="{00000000-0005-0000-0000-000081080000}"/>
    <cellStyle name="Comma 4 2 3 2 6 2" xfId="4185" xr:uid="{00000000-0005-0000-0000-000082080000}"/>
    <cellStyle name="Comma 4 2 3 2 6 2 2" xfId="8407" xr:uid="{00000000-0005-0000-0000-000083080000}"/>
    <cellStyle name="Comma 4 2 3 2 6 2 2 2" xfId="43925" xr:uid="{8628F048-1F6D-4A17-9A53-D57C312E8172}"/>
    <cellStyle name="Comma 4 2 3 2 6 2 2 3" xfId="35478" xr:uid="{3B52F73A-57A0-4B94-9ECD-3FF7E55611E7}"/>
    <cellStyle name="Comma 4 2 3 2 6 2 2 4" xfId="27030" xr:uid="{457614BE-7144-42E5-9AC9-FBF3182AAB9E}"/>
    <cellStyle name="Comma 4 2 3 2 6 2 2 5" xfId="17733" xr:uid="{86595E3F-9079-4FA7-AC24-6122E901BB6C}"/>
    <cellStyle name="Comma 4 2 3 2 6 2 3" xfId="39708" xr:uid="{D2C450BE-ABD6-4148-B14C-137F6AC439BA}"/>
    <cellStyle name="Comma 4 2 3 2 6 2 4" xfId="31260" xr:uid="{0475D8C4-9B8E-4292-B4A3-4F4FF504FD75}"/>
    <cellStyle name="Comma 4 2 3 2 6 2 5" xfId="22813" xr:uid="{A066D97B-00E0-48C9-9734-64ECD960BF0D}"/>
    <cellStyle name="Comma 4 2 3 2 6 2 6" xfId="13516" xr:uid="{40440B06-9ACD-48E5-829E-260B38BF323D}"/>
    <cellStyle name="Comma 4 2 3 2 6 3" xfId="6262" xr:uid="{00000000-0005-0000-0000-000084080000}"/>
    <cellStyle name="Comma 4 2 3 2 6 3 2" xfId="41780" xr:uid="{45F4755D-21F5-4755-912A-202B85AC577E}"/>
    <cellStyle name="Comma 4 2 3 2 6 3 3" xfId="33333" xr:uid="{48614502-0F92-4CEB-A6BD-5D6784954734}"/>
    <cellStyle name="Comma 4 2 3 2 6 3 4" xfId="24885" xr:uid="{5462E353-DC6E-4185-B7EF-10A17C21DC55}"/>
    <cellStyle name="Comma 4 2 3 2 6 3 5" xfId="15588" xr:uid="{E0E37CF9-CA89-4A01-B4A6-6B2323809205}"/>
    <cellStyle name="Comma 4 2 3 2 6 4" xfId="37563" xr:uid="{2D897424-90E9-48FC-AF64-B380214084FA}"/>
    <cellStyle name="Comma 4 2 3 2 6 5" xfId="29115" xr:uid="{5B644D23-4E4B-4BE8-9C31-B672C3E21BED}"/>
    <cellStyle name="Comma 4 2 3 2 6 6" xfId="20668" xr:uid="{5436012F-99C0-4100-AB13-0B042FC6C14A}"/>
    <cellStyle name="Comma 4 2 3 2 6 7" xfId="11371" xr:uid="{7BECD1D2-9ACD-408F-AA78-CB8989D4792C}"/>
    <cellStyle name="Comma 4 2 3 2 7" xfId="2391" xr:uid="{00000000-0005-0000-0000-000085080000}"/>
    <cellStyle name="Comma 4 2 3 2 7 2" xfId="6675" xr:uid="{00000000-0005-0000-0000-000086080000}"/>
    <cellStyle name="Comma 4 2 3 2 7 2 2" xfId="42193" xr:uid="{A06E847D-EF23-481C-991B-51ABE1A6607F}"/>
    <cellStyle name="Comma 4 2 3 2 7 2 3" xfId="33746" xr:uid="{B0C5348B-502F-4C71-8CF9-42CAC8BD57D0}"/>
    <cellStyle name="Comma 4 2 3 2 7 2 4" xfId="25298" xr:uid="{F4B5F484-2311-4605-A0B3-7A6FC84E7014}"/>
    <cellStyle name="Comma 4 2 3 2 7 2 5" xfId="16001" xr:uid="{672DD8D0-2623-4D0D-A399-D128AC2DCD04}"/>
    <cellStyle name="Comma 4 2 3 2 7 3" xfId="37976" xr:uid="{785BC0A5-1EC6-4836-B6D8-3E6B952530C6}"/>
    <cellStyle name="Comma 4 2 3 2 7 4" xfId="29528" xr:uid="{26320FA3-ABE2-4784-9E9E-500CB48959D5}"/>
    <cellStyle name="Comma 4 2 3 2 7 5" xfId="21081" xr:uid="{731A086B-C728-42D3-A3CC-437457D10C44}"/>
    <cellStyle name="Comma 4 2 3 2 7 6" xfId="11784" xr:uid="{901E0EBF-49B8-4E11-BBDD-204942793774}"/>
    <cellStyle name="Comma 4 2 3 2 8" xfId="2372" xr:uid="{00000000-0005-0000-0000-000087080000}"/>
    <cellStyle name="Comma 4 2 3 2 9" xfId="2769" xr:uid="{00000000-0005-0000-0000-000088080000}"/>
    <cellStyle name="Comma 4 2 3 2 9 2" xfId="6992" xr:uid="{00000000-0005-0000-0000-000089080000}"/>
    <cellStyle name="Comma 4 2 3 2 9 2 2" xfId="42510" xr:uid="{1636AC55-B884-4994-A070-2C43339EAD47}"/>
    <cellStyle name="Comma 4 2 3 2 9 2 3" xfId="34063" xr:uid="{A20E2D72-5A59-417E-8F21-E2928EE15101}"/>
    <cellStyle name="Comma 4 2 3 2 9 2 4" xfId="25615" xr:uid="{493198AB-5C62-4801-97F4-E79AB6E0BB81}"/>
    <cellStyle name="Comma 4 2 3 2 9 2 5" xfId="16318" xr:uid="{303C6FBC-1658-4A3A-B212-95519AE28772}"/>
    <cellStyle name="Comma 4 2 3 2 9 3" xfId="38293" xr:uid="{49A3A6C0-64C3-4D2D-9190-5FB44A9680E5}"/>
    <cellStyle name="Comma 4 2 3 2 9 4" xfId="29845" xr:uid="{B209668C-BA61-4DB2-B334-5C2C4151745D}"/>
    <cellStyle name="Comma 4 2 3 2 9 5" xfId="21398" xr:uid="{E9F17E2A-D229-4C6D-AD74-40927865697B}"/>
    <cellStyle name="Comma 4 2 3 2 9 6" xfId="12101" xr:uid="{4E5E84AF-E477-4D32-89D6-A3F0B05B906F}"/>
    <cellStyle name="Comma 4 2 3 3" xfId="139" xr:uid="{00000000-0005-0000-0000-00008A080000}"/>
    <cellStyle name="Comma 4 2 3 3 10" xfId="9012" xr:uid="{61C0F117-76A9-43CA-B381-88B2CFF6294C}"/>
    <cellStyle name="Comma 4 2 3 3 10 2" xfId="35912" xr:uid="{584FDB7B-4F20-4881-B102-644980EB724E}"/>
    <cellStyle name="Comma 4 2 3 3 10 3" xfId="18335" xr:uid="{9041C290-B85F-42B0-B66E-A8EB40D92B19}"/>
    <cellStyle name="Comma 4 2 3 3 11" xfId="27464" xr:uid="{4F8CB701-A84E-426C-A74C-56D2DAD26D08}"/>
    <cellStyle name="Comma 4 2 3 3 12" xfId="19017" xr:uid="{C04540DB-CF04-4D88-806E-3C72624F04E4}"/>
    <cellStyle name="Comma 4 2 3 3 13" xfId="9720" xr:uid="{3A7E499E-2098-443F-A04F-0634CEDA97FC}"/>
    <cellStyle name="Comma 4 2 3 3 2" xfId="677" xr:uid="{00000000-0005-0000-0000-00008B080000}"/>
    <cellStyle name="Comma 4 2 3 3 2 2" xfId="2948" xr:uid="{00000000-0005-0000-0000-00008C080000}"/>
    <cellStyle name="Comma 4 2 3 3 2 2 2" xfId="7170" xr:uid="{00000000-0005-0000-0000-00008D080000}"/>
    <cellStyle name="Comma 4 2 3 3 2 2 2 2" xfId="42688" xr:uid="{76559ACE-78AB-4811-A3AE-1A52701A31C7}"/>
    <cellStyle name="Comma 4 2 3 3 2 2 2 3" xfId="34241" xr:uid="{6925EDDE-4678-4258-96D5-F9C8234562A7}"/>
    <cellStyle name="Comma 4 2 3 3 2 2 2 4" xfId="25793" xr:uid="{82F75E28-D3BB-4DD7-BF63-2138968410CA}"/>
    <cellStyle name="Comma 4 2 3 3 2 2 2 5" xfId="16496" xr:uid="{4C01D465-E49A-4FDD-9955-09E60584DF10}"/>
    <cellStyle name="Comma 4 2 3 3 2 2 3" xfId="38471" xr:uid="{531A6399-5C68-4D84-8AA0-7320DE8BB243}"/>
    <cellStyle name="Comma 4 2 3 3 2 2 4" xfId="30023" xr:uid="{F50CC9BD-CED8-454C-9B5F-E5F44D892EF6}"/>
    <cellStyle name="Comma 4 2 3 3 2 2 5" xfId="21576" xr:uid="{E93A6F05-49B3-469F-A599-B48BBC8ECB0B}"/>
    <cellStyle name="Comma 4 2 3 3 2 2 6" xfId="12279" xr:uid="{9B7FCE78-7FB5-4E41-93FB-110A6E5D59DB}"/>
    <cellStyle name="Comma 4 2 3 3 2 3" xfId="5025" xr:uid="{00000000-0005-0000-0000-00008E080000}"/>
    <cellStyle name="Comma 4 2 3 3 2 3 2" xfId="40543" xr:uid="{F3A2DBA7-8F8D-4266-9647-FB1F63ADD1FC}"/>
    <cellStyle name="Comma 4 2 3 3 2 3 3" xfId="32096" xr:uid="{90AD4877-C81E-449B-98F4-E3D1185798C5}"/>
    <cellStyle name="Comma 4 2 3 3 2 3 4" xfId="23648" xr:uid="{CA81C156-9E49-4EBC-B34B-00CF6FCD3D7D}"/>
    <cellStyle name="Comma 4 2 3 3 2 3 5" xfId="14351" xr:uid="{A81FF3CA-E103-4596-A2CE-014701035A1E}"/>
    <cellStyle name="Comma 4 2 3 3 2 4" xfId="9437" xr:uid="{35C6809B-E49F-4A7F-8CB1-650474E72B0A}"/>
    <cellStyle name="Comma 4 2 3 3 2 4 2" xfId="36326" xr:uid="{2A35C65D-1D6D-4AAF-B64E-01B74A796BEA}"/>
    <cellStyle name="Comma 4 2 3 3 2 4 3" xfId="18750" xr:uid="{C1C325A6-60C1-4EBA-B649-715A3D0CDF78}"/>
    <cellStyle name="Comma 4 2 3 3 2 5" xfId="27878" xr:uid="{DA696215-184B-428C-8997-1C3B2C763D30}"/>
    <cellStyle name="Comma 4 2 3 3 2 6" xfId="19431" xr:uid="{95444881-BBBA-48FB-B06A-2A38DAC10D22}"/>
    <cellStyle name="Comma 4 2 3 3 2 7" xfId="10134" xr:uid="{EEBC2978-BC3D-4E23-A44F-52732F1DDCAA}"/>
    <cellStyle name="Comma 4 2 3 3 3" xfId="1130" xr:uid="{00000000-0005-0000-0000-00008F080000}"/>
    <cellStyle name="Comma 4 2 3 3 3 2" xfId="3361" xr:uid="{00000000-0005-0000-0000-000090080000}"/>
    <cellStyle name="Comma 4 2 3 3 3 2 2" xfId="7583" xr:uid="{00000000-0005-0000-0000-000091080000}"/>
    <cellStyle name="Comma 4 2 3 3 3 2 2 2" xfId="43101" xr:uid="{184CCF96-1F87-4B75-A978-4838CDDA530F}"/>
    <cellStyle name="Comma 4 2 3 3 3 2 2 3" xfId="34654" xr:uid="{3109F2F3-28FC-4C0C-A1D4-1E926987691E}"/>
    <cellStyle name="Comma 4 2 3 3 3 2 2 4" xfId="26206" xr:uid="{AC5C82DE-7589-403A-852D-2EE11250D02C}"/>
    <cellStyle name="Comma 4 2 3 3 3 2 2 5" xfId="16909" xr:uid="{840787BE-E338-4848-A226-DAC226AE0AEE}"/>
    <cellStyle name="Comma 4 2 3 3 3 2 3" xfId="38884" xr:uid="{419F8984-9F74-42EB-ADA0-13CB721ACBAD}"/>
    <cellStyle name="Comma 4 2 3 3 3 2 4" xfId="30436" xr:uid="{7B98F826-8ABF-4CC4-8D7C-753EF3213E7E}"/>
    <cellStyle name="Comma 4 2 3 3 3 2 5" xfId="21989" xr:uid="{A9578B2A-A2D1-44EF-85A7-8E56547007B0}"/>
    <cellStyle name="Comma 4 2 3 3 3 2 6" xfId="12692" xr:uid="{A781485D-3F35-454F-A97B-31FB5899B0EF}"/>
    <cellStyle name="Comma 4 2 3 3 3 3" xfId="5438" xr:uid="{00000000-0005-0000-0000-000092080000}"/>
    <cellStyle name="Comma 4 2 3 3 3 3 2" xfId="40956" xr:uid="{A1A917E6-C0B9-4862-B2A0-2637C3AED591}"/>
    <cellStyle name="Comma 4 2 3 3 3 3 3" xfId="32509" xr:uid="{B697F13E-60E2-427E-9F10-21D6A7A6F306}"/>
    <cellStyle name="Comma 4 2 3 3 3 3 4" xfId="24061" xr:uid="{ADB58D4F-B166-4BE1-ABD8-266B274D1C1A}"/>
    <cellStyle name="Comma 4 2 3 3 3 3 5" xfId="14764" xr:uid="{C869AA3A-4B57-4026-A1E7-E4D2893220CE}"/>
    <cellStyle name="Comma 4 2 3 3 3 4" xfId="36739" xr:uid="{22F5A98C-8663-41A8-8D92-F895CA1A96EE}"/>
    <cellStyle name="Comma 4 2 3 3 3 5" xfId="28291" xr:uid="{90438639-27EC-43E7-872B-79F71F8F8DF9}"/>
    <cellStyle name="Comma 4 2 3 3 3 6" xfId="19844" xr:uid="{7D82493F-85B3-47A9-A27B-7896F950AD94}"/>
    <cellStyle name="Comma 4 2 3 3 3 7" xfId="10547" xr:uid="{32C3C781-49E6-47F4-A8A2-6E3AB880D3E8}"/>
    <cellStyle name="Comma 4 2 3 3 4" xfId="1544" xr:uid="{00000000-0005-0000-0000-000093080000}"/>
    <cellStyle name="Comma 4 2 3 3 4 2" xfId="3774" xr:uid="{00000000-0005-0000-0000-000094080000}"/>
    <cellStyle name="Comma 4 2 3 3 4 2 2" xfId="7996" xr:uid="{00000000-0005-0000-0000-000095080000}"/>
    <cellStyle name="Comma 4 2 3 3 4 2 2 2" xfId="43514" xr:uid="{CC73EB38-B946-4F5F-A491-1EEFD4495D0C}"/>
    <cellStyle name="Comma 4 2 3 3 4 2 2 3" xfId="35067" xr:uid="{615F37D8-E9D3-4CAB-B530-A2C776079D8D}"/>
    <cellStyle name="Comma 4 2 3 3 4 2 2 4" xfId="26619" xr:uid="{0EC9D9C1-AA24-4EFC-B716-74995EEE09E8}"/>
    <cellStyle name="Comma 4 2 3 3 4 2 2 5" xfId="17322" xr:uid="{C00D2411-CD7E-4DE7-8563-5EDFD55ED4C1}"/>
    <cellStyle name="Comma 4 2 3 3 4 2 3" xfId="39297" xr:uid="{9B26E55A-C105-42A7-8D06-85905E9FAE86}"/>
    <cellStyle name="Comma 4 2 3 3 4 2 4" xfId="30849" xr:uid="{FC99DE11-7473-4082-8C1B-65650E898A65}"/>
    <cellStyle name="Comma 4 2 3 3 4 2 5" xfId="22402" xr:uid="{F7082272-C5E9-4F80-B864-D9D88910529E}"/>
    <cellStyle name="Comma 4 2 3 3 4 2 6" xfId="13105" xr:uid="{084CA411-DD7A-4C58-9667-A913EB979416}"/>
    <cellStyle name="Comma 4 2 3 3 4 3" xfId="5851" xr:uid="{00000000-0005-0000-0000-000096080000}"/>
    <cellStyle name="Comma 4 2 3 3 4 3 2" xfId="41369" xr:uid="{E966897F-1267-49FF-97E6-737857C80E3F}"/>
    <cellStyle name="Comma 4 2 3 3 4 3 3" xfId="32922" xr:uid="{835B75A2-3267-4F4C-9CD3-7E08E1B4D90C}"/>
    <cellStyle name="Comma 4 2 3 3 4 3 4" xfId="24474" xr:uid="{F1F6E72D-D3A1-48FF-95E6-D0E69E7A227E}"/>
    <cellStyle name="Comma 4 2 3 3 4 3 5" xfId="15177" xr:uid="{0525A588-4F47-48BB-AB70-8DAD4485147E}"/>
    <cellStyle name="Comma 4 2 3 3 4 4" xfId="37152" xr:uid="{D46C851C-5869-4560-8554-6FEED4940E5C}"/>
    <cellStyle name="Comma 4 2 3 3 4 5" xfId="28704" xr:uid="{07443C97-6EB4-4CF9-9349-9623B3FB7784}"/>
    <cellStyle name="Comma 4 2 3 3 4 6" xfId="20257" xr:uid="{F33DEEDF-2DA2-490C-BFE2-AA596A2AB5AB}"/>
    <cellStyle name="Comma 4 2 3 3 4 7" xfId="10960" xr:uid="{E5D1C1EE-3F22-4F94-A9FD-73001D371F6D}"/>
    <cellStyle name="Comma 4 2 3 3 5" xfId="1958" xr:uid="{00000000-0005-0000-0000-000097080000}"/>
    <cellStyle name="Comma 4 2 3 3 5 2" xfId="4187" xr:uid="{00000000-0005-0000-0000-000098080000}"/>
    <cellStyle name="Comma 4 2 3 3 5 2 2" xfId="8409" xr:uid="{00000000-0005-0000-0000-000099080000}"/>
    <cellStyle name="Comma 4 2 3 3 5 2 2 2" xfId="43927" xr:uid="{5B610B57-C8EE-415B-AE54-008D8EFD3023}"/>
    <cellStyle name="Comma 4 2 3 3 5 2 2 3" xfId="35480" xr:uid="{064FF499-D740-4812-9F3E-F57FC4EF9BB0}"/>
    <cellStyle name="Comma 4 2 3 3 5 2 2 4" xfId="27032" xr:uid="{AA098CB4-C479-4A9D-991C-8EB55EA878C9}"/>
    <cellStyle name="Comma 4 2 3 3 5 2 2 5" xfId="17735" xr:uid="{7405685A-8846-4F9A-9706-B79F25D29BA8}"/>
    <cellStyle name="Comma 4 2 3 3 5 2 3" xfId="39710" xr:uid="{F769BF8E-5DF9-45A7-929D-4A82EE459384}"/>
    <cellStyle name="Comma 4 2 3 3 5 2 4" xfId="31262" xr:uid="{CEB0B999-9256-4852-A593-48BAC4B48767}"/>
    <cellStyle name="Comma 4 2 3 3 5 2 5" xfId="22815" xr:uid="{A36A5ED3-F118-49E5-A441-B9FB0B19ECDA}"/>
    <cellStyle name="Comma 4 2 3 3 5 2 6" xfId="13518" xr:uid="{49934841-5671-4795-B999-D3A3E769B6E4}"/>
    <cellStyle name="Comma 4 2 3 3 5 3" xfId="6264" xr:uid="{00000000-0005-0000-0000-00009A080000}"/>
    <cellStyle name="Comma 4 2 3 3 5 3 2" xfId="41782" xr:uid="{719871E2-4AAB-4941-ABF5-F94B664B2257}"/>
    <cellStyle name="Comma 4 2 3 3 5 3 3" xfId="33335" xr:uid="{AEF1D06E-3B06-443F-9F51-DA8945EBC418}"/>
    <cellStyle name="Comma 4 2 3 3 5 3 4" xfId="24887" xr:uid="{3DDC72BF-4824-4DC8-8DDA-B5765C23A8BD}"/>
    <cellStyle name="Comma 4 2 3 3 5 3 5" xfId="15590" xr:uid="{F5E01CA6-1482-4737-892E-D5F194CC4522}"/>
    <cellStyle name="Comma 4 2 3 3 5 4" xfId="37565" xr:uid="{4DF9E51B-D3A7-4D31-AE53-58A27FD88ACD}"/>
    <cellStyle name="Comma 4 2 3 3 5 5" xfId="29117" xr:uid="{A1BD37AD-BCED-422B-A0FA-1D0C153158F4}"/>
    <cellStyle name="Comma 4 2 3 3 5 6" xfId="20670" xr:uid="{01E28399-D681-44AF-B67F-55694A1B58A5}"/>
    <cellStyle name="Comma 4 2 3 3 5 7" xfId="11373" xr:uid="{06B1E014-76D7-41F1-98B5-52D765EEBBA7}"/>
    <cellStyle name="Comma 4 2 3 3 6" xfId="2393" xr:uid="{00000000-0005-0000-0000-00009B080000}"/>
    <cellStyle name="Comma 4 2 3 3 6 2" xfId="6677" xr:uid="{00000000-0005-0000-0000-00009C080000}"/>
    <cellStyle name="Comma 4 2 3 3 6 2 2" xfId="42195" xr:uid="{63D4BA8C-64CE-4B4A-8569-4868DFE83D06}"/>
    <cellStyle name="Comma 4 2 3 3 6 2 3" xfId="33748" xr:uid="{97E01347-0237-432F-8C77-B4C68D4EDC76}"/>
    <cellStyle name="Comma 4 2 3 3 6 2 4" xfId="25300" xr:uid="{DEB3E084-C61E-49A1-9395-566B3DD12C86}"/>
    <cellStyle name="Comma 4 2 3 3 6 2 5" xfId="16003" xr:uid="{9ED7F728-C8FE-4A26-92F6-E31DB6DB0C0A}"/>
    <cellStyle name="Comma 4 2 3 3 6 3" xfId="37978" xr:uid="{41137A33-AD48-4FFA-9E00-9889FE0370DE}"/>
    <cellStyle name="Comma 4 2 3 3 6 4" xfId="29530" xr:uid="{2EBF3D62-F990-4AC9-8F7A-5264F935BCA1}"/>
    <cellStyle name="Comma 4 2 3 3 6 5" xfId="21083" xr:uid="{69AB824E-C473-4B52-AB52-59183CCD7A8C}"/>
    <cellStyle name="Comma 4 2 3 3 6 6" xfId="11786" xr:uid="{EF0EF459-65D9-4C26-A2A2-D0F1DA5A2AAF}"/>
    <cellStyle name="Comma 4 2 3 3 7" xfId="2370" xr:uid="{00000000-0005-0000-0000-00009D080000}"/>
    <cellStyle name="Comma 4 2 3 3 8" xfId="2771" xr:uid="{00000000-0005-0000-0000-00009E080000}"/>
    <cellStyle name="Comma 4 2 3 3 8 2" xfId="6994" xr:uid="{00000000-0005-0000-0000-00009F080000}"/>
    <cellStyle name="Comma 4 2 3 3 8 2 2" xfId="42512" xr:uid="{376B0056-64E5-441E-A180-5D5D0B479F77}"/>
    <cellStyle name="Comma 4 2 3 3 8 2 3" xfId="34065" xr:uid="{31352901-8E6E-4E5C-AFF5-E26ED7D4023A}"/>
    <cellStyle name="Comma 4 2 3 3 8 2 4" xfId="25617" xr:uid="{22DFDB55-F74B-42CF-B429-E10FB57DD415}"/>
    <cellStyle name="Comma 4 2 3 3 8 2 5" xfId="16320" xr:uid="{32DB2604-3E4F-4C21-8554-643EC969CA4F}"/>
    <cellStyle name="Comma 4 2 3 3 8 3" xfId="38295" xr:uid="{8FB03441-BB92-41ED-839E-D82586161409}"/>
    <cellStyle name="Comma 4 2 3 3 8 4" xfId="29847" xr:uid="{5CBB51CD-5EC6-4252-87E8-3664BF78C8B4}"/>
    <cellStyle name="Comma 4 2 3 3 8 5" xfId="21400" xr:uid="{0F0372EC-71BD-40CE-8958-B2882A322448}"/>
    <cellStyle name="Comma 4 2 3 3 8 6" xfId="12103" xr:uid="{6520DABA-7C8C-481E-99E9-2811AAFCA7A4}"/>
    <cellStyle name="Comma 4 2 3 3 9" xfId="4611" xr:uid="{00000000-0005-0000-0000-0000A0080000}"/>
    <cellStyle name="Comma 4 2 3 3 9 2" xfId="40129" xr:uid="{5E8D8B1F-A4FE-4D0B-9EDD-24999E16D894}"/>
    <cellStyle name="Comma 4 2 3 3 9 3" xfId="31682" xr:uid="{D0A3C508-A808-440C-8FA3-2DCCA1E55D4A}"/>
    <cellStyle name="Comma 4 2 3 3 9 4" xfId="23234" xr:uid="{C89A1BBB-1084-4DA7-A3A0-6209583F05D9}"/>
    <cellStyle name="Comma 4 2 3 3 9 5" xfId="13937" xr:uid="{22B072BB-4951-43D5-8D8C-5B17E778B694}"/>
    <cellStyle name="Comma 4 2 3 4" xfId="674" xr:uid="{00000000-0005-0000-0000-0000A1080000}"/>
    <cellStyle name="Comma 4 2 3 4 2" xfId="2945" xr:uid="{00000000-0005-0000-0000-0000A2080000}"/>
    <cellStyle name="Comma 4 2 3 4 2 2" xfId="7167" xr:uid="{00000000-0005-0000-0000-0000A3080000}"/>
    <cellStyle name="Comma 4 2 3 4 2 2 2" xfId="42685" xr:uid="{5FFDA67D-B07F-472F-BE90-9051A5B113E6}"/>
    <cellStyle name="Comma 4 2 3 4 2 2 3" xfId="34238" xr:uid="{02BA9860-6196-4B61-B13B-971AF307A6CD}"/>
    <cellStyle name="Comma 4 2 3 4 2 2 4" xfId="25790" xr:uid="{CDEB1D8B-A571-487F-9757-E07E032BEDDE}"/>
    <cellStyle name="Comma 4 2 3 4 2 2 5" xfId="16493" xr:uid="{3C66EE36-4F8E-401E-B6E3-9BC33DA3BA29}"/>
    <cellStyle name="Comma 4 2 3 4 2 3" xfId="38468" xr:uid="{4DA00E96-21A1-47B7-9267-C688C72800D3}"/>
    <cellStyle name="Comma 4 2 3 4 2 4" xfId="30020" xr:uid="{B7A7C3D1-7B8B-4F4A-96E5-A832492532CE}"/>
    <cellStyle name="Comma 4 2 3 4 2 5" xfId="21573" xr:uid="{64DDBB69-7F61-4696-A223-9F8316F294B8}"/>
    <cellStyle name="Comma 4 2 3 4 2 6" xfId="12276" xr:uid="{9BA813AC-AA11-447F-AE12-C04A261FCBDD}"/>
    <cellStyle name="Comma 4 2 3 4 3" xfId="5022" xr:uid="{00000000-0005-0000-0000-0000A4080000}"/>
    <cellStyle name="Comma 4 2 3 4 3 2" xfId="40540" xr:uid="{1D87C345-2537-4F54-A9A5-70D2194B2D74}"/>
    <cellStyle name="Comma 4 2 3 4 3 3" xfId="32093" xr:uid="{F4CAA728-4CA4-4371-88B0-2FD1F79B1A27}"/>
    <cellStyle name="Comma 4 2 3 4 3 4" xfId="23645" xr:uid="{C6542678-CAE2-4234-8346-2399F1137D95}"/>
    <cellStyle name="Comma 4 2 3 4 3 5" xfId="14348" xr:uid="{CF975903-512C-45B8-A571-74CDD6243DC0}"/>
    <cellStyle name="Comma 4 2 3 4 4" xfId="9230" xr:uid="{24B6B749-023F-4009-8785-C6CFE1098E24}"/>
    <cellStyle name="Comma 4 2 3 4 4 2" xfId="36323" xr:uid="{720D41DA-5E53-48C3-A92A-1952C1BF522C}"/>
    <cellStyle name="Comma 4 2 3 4 4 3" xfId="18543" xr:uid="{2CF3A6D6-E811-42A0-B926-843A9A1F5183}"/>
    <cellStyle name="Comma 4 2 3 4 5" xfId="27875" xr:uid="{264D6713-8E28-498B-BE6B-40B57CC0ACF1}"/>
    <cellStyle name="Comma 4 2 3 4 6" xfId="19428" xr:uid="{16110138-81F6-4AE2-ACA8-E16E7AD58A02}"/>
    <cellStyle name="Comma 4 2 3 4 7" xfId="10131" xr:uid="{678AE0AB-8CC3-406C-9E87-898C3F9E9900}"/>
    <cellStyle name="Comma 4 2 3 5" xfId="1127" xr:uid="{00000000-0005-0000-0000-0000A5080000}"/>
    <cellStyle name="Comma 4 2 3 5 2" xfId="3358" xr:uid="{00000000-0005-0000-0000-0000A6080000}"/>
    <cellStyle name="Comma 4 2 3 5 2 2" xfId="7580" xr:uid="{00000000-0005-0000-0000-0000A7080000}"/>
    <cellStyle name="Comma 4 2 3 5 2 2 2" xfId="43098" xr:uid="{8619CF71-A7E2-4B73-80DA-2147F7D46794}"/>
    <cellStyle name="Comma 4 2 3 5 2 2 3" xfId="34651" xr:uid="{99DE1888-AD3B-4117-9085-0AE3F34DF906}"/>
    <cellStyle name="Comma 4 2 3 5 2 2 4" xfId="26203" xr:uid="{E00DD963-9FC7-45C6-8854-49FFF495DD83}"/>
    <cellStyle name="Comma 4 2 3 5 2 2 5" xfId="16906" xr:uid="{4C9C33CF-C885-49FD-A5E5-2A676356508B}"/>
    <cellStyle name="Comma 4 2 3 5 2 3" xfId="38881" xr:uid="{28286F08-EF05-4EB8-88FD-7A9C52A2F32F}"/>
    <cellStyle name="Comma 4 2 3 5 2 4" xfId="30433" xr:uid="{B4AF9B72-6568-4030-8B4F-F6EE92A2AFFF}"/>
    <cellStyle name="Comma 4 2 3 5 2 5" xfId="21986" xr:uid="{B6F0583E-7CBE-409C-992A-18C388EC9059}"/>
    <cellStyle name="Comma 4 2 3 5 2 6" xfId="12689" xr:uid="{44FA7344-E6DA-4433-B682-E55BCF07E29E}"/>
    <cellStyle name="Comma 4 2 3 5 3" xfId="5435" xr:uid="{00000000-0005-0000-0000-0000A8080000}"/>
    <cellStyle name="Comma 4 2 3 5 3 2" xfId="40953" xr:uid="{98C51D3C-4D37-468F-B70A-A6EB897FEDD4}"/>
    <cellStyle name="Comma 4 2 3 5 3 3" xfId="32506" xr:uid="{1BF45A32-855B-4BED-8A22-DFD8209581D0}"/>
    <cellStyle name="Comma 4 2 3 5 3 4" xfId="24058" xr:uid="{8A4273D1-AEF7-4A85-8B5F-6000E416B1DB}"/>
    <cellStyle name="Comma 4 2 3 5 3 5" xfId="14761" xr:uid="{523892B1-93AB-4FF2-A1A1-BE044C2E0275}"/>
    <cellStyle name="Comma 4 2 3 5 4" xfId="36736" xr:uid="{AC3EEA8C-04E0-466D-B1A2-C023B823C30E}"/>
    <cellStyle name="Comma 4 2 3 5 5" xfId="28288" xr:uid="{69E84122-83D6-4503-BF2F-4EBBE691C57C}"/>
    <cellStyle name="Comma 4 2 3 5 6" xfId="19841" xr:uid="{0CCC6CBA-C2E4-4BD5-96A8-48E7A73D76FB}"/>
    <cellStyle name="Comma 4 2 3 5 7" xfId="10544" xr:uid="{19B081FE-A27E-47EA-83A2-8071047E3194}"/>
    <cellStyle name="Comma 4 2 3 6" xfId="1541" xr:uid="{00000000-0005-0000-0000-0000A9080000}"/>
    <cellStyle name="Comma 4 2 3 6 2" xfId="3771" xr:uid="{00000000-0005-0000-0000-0000AA080000}"/>
    <cellStyle name="Comma 4 2 3 6 2 2" xfId="7993" xr:uid="{00000000-0005-0000-0000-0000AB080000}"/>
    <cellStyle name="Comma 4 2 3 6 2 2 2" xfId="43511" xr:uid="{11C6B0D6-8FC5-41A0-BB32-BEA99C740A39}"/>
    <cellStyle name="Comma 4 2 3 6 2 2 3" xfId="35064" xr:uid="{E9B81749-22AB-4229-9412-DAC24D673347}"/>
    <cellStyle name="Comma 4 2 3 6 2 2 4" xfId="26616" xr:uid="{A1C1D12E-4171-4B3F-9224-6A2FAD228458}"/>
    <cellStyle name="Comma 4 2 3 6 2 2 5" xfId="17319" xr:uid="{6C3915E8-3D79-4DEA-B2F2-62AEAB3FB733}"/>
    <cellStyle name="Comma 4 2 3 6 2 3" xfId="39294" xr:uid="{D0A9BBCF-0699-4EAD-9BC7-D4C3CE1A154F}"/>
    <cellStyle name="Comma 4 2 3 6 2 4" xfId="30846" xr:uid="{6BD03662-455B-4380-9610-A64EE8BD1931}"/>
    <cellStyle name="Comma 4 2 3 6 2 5" xfId="22399" xr:uid="{D66F9532-670D-4922-8F23-24BC3AE85FD2}"/>
    <cellStyle name="Comma 4 2 3 6 2 6" xfId="13102" xr:uid="{AF725C5E-3DC3-4CEA-9310-3BBC62B0DF16}"/>
    <cellStyle name="Comma 4 2 3 6 3" xfId="5848" xr:uid="{00000000-0005-0000-0000-0000AC080000}"/>
    <cellStyle name="Comma 4 2 3 6 3 2" xfId="41366" xr:uid="{0A7BD252-77DD-4F8A-9701-784FD34537BF}"/>
    <cellStyle name="Comma 4 2 3 6 3 3" xfId="32919" xr:uid="{22BD01EA-9148-4AB0-B5F1-B338B4F77293}"/>
    <cellStyle name="Comma 4 2 3 6 3 4" xfId="24471" xr:uid="{FA88BDEE-6BE6-4BED-BA41-401C3EE54FAC}"/>
    <cellStyle name="Comma 4 2 3 6 3 5" xfId="15174" xr:uid="{669AC0C5-C05B-4A7A-8309-12F0EC0D89DC}"/>
    <cellStyle name="Comma 4 2 3 6 4" xfId="37149" xr:uid="{61D35ECB-9481-4A21-8512-1576D468F178}"/>
    <cellStyle name="Comma 4 2 3 6 5" xfId="28701" xr:uid="{4C1A21D6-44E5-4197-A5C2-36087620F230}"/>
    <cellStyle name="Comma 4 2 3 6 6" xfId="20254" xr:uid="{0A580CC8-8F0D-4D0D-8FDB-5F79A6F9FF41}"/>
    <cellStyle name="Comma 4 2 3 6 7" xfId="10957" xr:uid="{D95C509A-DDA7-4B82-83BD-9BCFC54605C6}"/>
    <cellStyle name="Comma 4 2 3 7" xfId="1955" xr:uid="{00000000-0005-0000-0000-0000AD080000}"/>
    <cellStyle name="Comma 4 2 3 7 2" xfId="4184" xr:uid="{00000000-0005-0000-0000-0000AE080000}"/>
    <cellStyle name="Comma 4 2 3 7 2 2" xfId="8406" xr:uid="{00000000-0005-0000-0000-0000AF080000}"/>
    <cellStyle name="Comma 4 2 3 7 2 2 2" xfId="43924" xr:uid="{61A9EE96-33E8-4E5F-986C-C5F84F08E33C}"/>
    <cellStyle name="Comma 4 2 3 7 2 2 3" xfId="35477" xr:uid="{C1E4027D-AE5A-43C8-A960-C53887914EEF}"/>
    <cellStyle name="Comma 4 2 3 7 2 2 4" xfId="27029" xr:uid="{835A65CB-3DE2-4FC6-9A39-6EE01E47392E}"/>
    <cellStyle name="Comma 4 2 3 7 2 2 5" xfId="17732" xr:uid="{7EB4A481-A3BF-4982-92F9-FA0654EC6BA2}"/>
    <cellStyle name="Comma 4 2 3 7 2 3" xfId="39707" xr:uid="{506DB30A-3024-4002-B056-866ED2DBBB5C}"/>
    <cellStyle name="Comma 4 2 3 7 2 4" xfId="31259" xr:uid="{F3468F9A-14F2-49A4-BE8E-74C48476ED36}"/>
    <cellStyle name="Comma 4 2 3 7 2 5" xfId="22812" xr:uid="{1C546FE2-5EBB-4A26-AA8E-B058A9696E24}"/>
    <cellStyle name="Comma 4 2 3 7 2 6" xfId="13515" xr:uid="{B9D8EA6F-47E5-43F9-BB33-059A3A889DDB}"/>
    <cellStyle name="Comma 4 2 3 7 3" xfId="6261" xr:uid="{00000000-0005-0000-0000-0000B0080000}"/>
    <cellStyle name="Comma 4 2 3 7 3 2" xfId="41779" xr:uid="{CD1044C6-8DC7-49FC-9893-500C47A8271A}"/>
    <cellStyle name="Comma 4 2 3 7 3 3" xfId="33332" xr:uid="{4D01E623-8069-45F1-B337-6E0826A9E413}"/>
    <cellStyle name="Comma 4 2 3 7 3 4" xfId="24884" xr:uid="{C635C256-2CAD-463F-B5FD-BDAB2C56BFED}"/>
    <cellStyle name="Comma 4 2 3 7 3 5" xfId="15587" xr:uid="{8C5AB0DA-AB90-42D4-80B4-01D280A65886}"/>
    <cellStyle name="Comma 4 2 3 7 4" xfId="37562" xr:uid="{55541127-A144-4A6B-9E41-0533CBBD274D}"/>
    <cellStyle name="Comma 4 2 3 7 5" xfId="29114" xr:uid="{22E91FA9-F152-402D-AB37-FDEC5B23CD1F}"/>
    <cellStyle name="Comma 4 2 3 7 6" xfId="20667" xr:uid="{121DD2E4-CBCA-47A9-B65B-F386115F813C}"/>
    <cellStyle name="Comma 4 2 3 7 7" xfId="11370" xr:uid="{2D33C730-E762-40EE-A524-DA0B5E66E1DE}"/>
    <cellStyle name="Comma 4 2 3 8" xfId="2390" xr:uid="{00000000-0005-0000-0000-0000B1080000}"/>
    <cellStyle name="Comma 4 2 3 8 2" xfId="6674" xr:uid="{00000000-0005-0000-0000-0000B2080000}"/>
    <cellStyle name="Comma 4 2 3 8 2 2" xfId="42192" xr:uid="{26D9F526-A116-4B85-9E21-A3028EA9742F}"/>
    <cellStyle name="Comma 4 2 3 8 2 3" xfId="33745" xr:uid="{A99252C6-D1A2-4E09-8637-449256D6CD4A}"/>
    <cellStyle name="Comma 4 2 3 8 2 4" xfId="25297" xr:uid="{F4FB3481-022F-48FB-8934-4B3EC00AFD60}"/>
    <cellStyle name="Comma 4 2 3 8 2 5" xfId="16000" xr:uid="{32BE7113-8045-4EC1-8CDC-A0149524FA40}"/>
    <cellStyle name="Comma 4 2 3 8 3" xfId="37975" xr:uid="{57D48BB9-E30C-4643-A34C-286A992F504C}"/>
    <cellStyle name="Comma 4 2 3 8 4" xfId="29527" xr:uid="{2C5F454D-7FCF-49F9-8138-0AED97A36ECE}"/>
    <cellStyle name="Comma 4 2 3 8 5" xfId="21080" xr:uid="{7F71022C-C4C1-4373-B94C-23838EA156C9}"/>
    <cellStyle name="Comma 4 2 3 8 6" xfId="11783" xr:uid="{8A5C948A-5E71-422C-B6EA-C7E5AB7D3612}"/>
    <cellStyle name="Comma 4 2 3 9" xfId="2373" xr:uid="{00000000-0005-0000-0000-0000B3080000}"/>
    <cellStyle name="Comma 4 2 4" xfId="140" xr:uid="{00000000-0005-0000-0000-0000B4080000}"/>
    <cellStyle name="Comma 4 2 4 10" xfId="4612" xr:uid="{00000000-0005-0000-0000-0000B5080000}"/>
    <cellStyle name="Comma 4 2 4 10 2" xfId="40130" xr:uid="{9452C3CF-D128-4824-9F74-4749AAA34BAA}"/>
    <cellStyle name="Comma 4 2 4 10 3" xfId="31683" xr:uid="{CAC6FCCF-3E71-47FB-A567-3B3BB1D017D1}"/>
    <cellStyle name="Comma 4 2 4 10 4" xfId="23235" xr:uid="{437F1472-AD35-49F8-861F-333FA9919AEF}"/>
    <cellStyle name="Comma 4 2 4 10 5" xfId="13938" xr:uid="{CE56C635-D026-4520-BEB3-C2BE02929884}"/>
    <cellStyle name="Comma 4 2 4 11" xfId="8858" xr:uid="{B6A00C95-D04C-44B2-B8AF-67540882256C}"/>
    <cellStyle name="Comma 4 2 4 11 2" xfId="35913" xr:uid="{30E0F24A-B747-4029-9777-22C906CCE263}"/>
    <cellStyle name="Comma 4 2 4 11 3" xfId="18181" xr:uid="{42F4612E-4CA9-4346-9F46-0C43A761F5A4}"/>
    <cellStyle name="Comma 4 2 4 12" xfId="27465" xr:uid="{5E7794E0-598F-4773-A7FA-5A6D71126F85}"/>
    <cellStyle name="Comma 4 2 4 13" xfId="19018" xr:uid="{7185BB30-0C61-441B-A74C-90E0D8E20BC7}"/>
    <cellStyle name="Comma 4 2 4 14" xfId="9721" xr:uid="{B3C48745-0BFD-4DDF-AD42-15FD92F5DA07}"/>
    <cellStyle name="Comma 4 2 4 2" xfId="141" xr:uid="{00000000-0005-0000-0000-0000B6080000}"/>
    <cellStyle name="Comma 4 2 4 2 10" xfId="9065" xr:uid="{961AA06A-D943-447E-AADB-49B440E7E7CE}"/>
    <cellStyle name="Comma 4 2 4 2 10 2" xfId="35914" xr:uid="{B8A692B0-C1BB-4784-A3A9-AE8C2D73979B}"/>
    <cellStyle name="Comma 4 2 4 2 10 3" xfId="18388" xr:uid="{917CEF26-F953-4211-8627-5F236B19D175}"/>
    <cellStyle name="Comma 4 2 4 2 11" xfId="27466" xr:uid="{A59583CA-1A29-41B7-A13A-5130994C6B51}"/>
    <cellStyle name="Comma 4 2 4 2 12" xfId="19019" xr:uid="{F6376ADD-98D9-4F9D-A72C-4F45836DBD64}"/>
    <cellStyle name="Comma 4 2 4 2 13" xfId="9722" xr:uid="{612AF6B5-EE96-4020-BA86-772A379CB0FA}"/>
    <cellStyle name="Comma 4 2 4 2 2" xfId="679" xr:uid="{00000000-0005-0000-0000-0000B7080000}"/>
    <cellStyle name="Comma 4 2 4 2 2 2" xfId="2950" xr:uid="{00000000-0005-0000-0000-0000B8080000}"/>
    <cellStyle name="Comma 4 2 4 2 2 2 2" xfId="7172" xr:uid="{00000000-0005-0000-0000-0000B9080000}"/>
    <cellStyle name="Comma 4 2 4 2 2 2 2 2" xfId="42690" xr:uid="{D4047E8A-BA41-403B-8D77-459EC80CBC30}"/>
    <cellStyle name="Comma 4 2 4 2 2 2 2 3" xfId="34243" xr:uid="{9580426F-1B04-4251-AD0E-58ECB3C8B7D3}"/>
    <cellStyle name="Comma 4 2 4 2 2 2 2 4" xfId="25795" xr:uid="{321D7ECA-9169-4CDD-BF02-4CD2E4F9C367}"/>
    <cellStyle name="Comma 4 2 4 2 2 2 2 5" xfId="16498" xr:uid="{5FFBD6FE-1D20-4AFA-B506-D54F0D26CB29}"/>
    <cellStyle name="Comma 4 2 4 2 2 2 3" xfId="38473" xr:uid="{1B56C1B1-6972-4C6E-8EE8-C16E6AABB87E}"/>
    <cellStyle name="Comma 4 2 4 2 2 2 4" xfId="30025" xr:uid="{A9ECD27E-2D31-4891-BE1A-1A46D60C6218}"/>
    <cellStyle name="Comma 4 2 4 2 2 2 5" xfId="21578" xr:uid="{624226F8-A495-471B-B7E3-277833700B11}"/>
    <cellStyle name="Comma 4 2 4 2 2 2 6" xfId="12281" xr:uid="{DE73E595-F730-474A-8524-4A50131ABAE4}"/>
    <cellStyle name="Comma 4 2 4 2 2 3" xfId="5027" xr:uid="{00000000-0005-0000-0000-0000BA080000}"/>
    <cellStyle name="Comma 4 2 4 2 2 3 2" xfId="40545" xr:uid="{81E91DA9-259A-4972-A967-76FCB9FFA7DF}"/>
    <cellStyle name="Comma 4 2 4 2 2 3 3" xfId="32098" xr:uid="{28860E35-0AC4-4C8A-8C5E-016917CBD31B}"/>
    <cellStyle name="Comma 4 2 4 2 2 3 4" xfId="23650" xr:uid="{BD7D1D74-5F4B-4772-B286-9B7DD68CE5CE}"/>
    <cellStyle name="Comma 4 2 4 2 2 3 5" xfId="14353" xr:uid="{E26333A9-0001-4BCE-9D8A-1F9CF9E30758}"/>
    <cellStyle name="Comma 4 2 4 2 2 4" xfId="9490" xr:uid="{2FAEB1E6-7B41-437B-B2A9-4352AB4F4B98}"/>
    <cellStyle name="Comma 4 2 4 2 2 4 2" xfId="36328" xr:uid="{CD215F9C-2E99-4353-AF08-B82FB34239FE}"/>
    <cellStyle name="Comma 4 2 4 2 2 4 3" xfId="18803" xr:uid="{D8457717-15CE-48DA-B754-BBC2141B18E2}"/>
    <cellStyle name="Comma 4 2 4 2 2 5" xfId="27880" xr:uid="{5A54A7FC-938B-48D5-A0C5-0FD080DB3AA9}"/>
    <cellStyle name="Comma 4 2 4 2 2 6" xfId="19433" xr:uid="{347DCA92-C999-41A9-869D-AC199C1E93C6}"/>
    <cellStyle name="Comma 4 2 4 2 2 7" xfId="10136" xr:uid="{3BDF0C2B-4870-4714-9E49-9719E14F52BE}"/>
    <cellStyle name="Comma 4 2 4 2 3" xfId="1132" xr:uid="{00000000-0005-0000-0000-0000BB080000}"/>
    <cellStyle name="Comma 4 2 4 2 3 2" xfId="3363" xr:uid="{00000000-0005-0000-0000-0000BC080000}"/>
    <cellStyle name="Comma 4 2 4 2 3 2 2" xfId="7585" xr:uid="{00000000-0005-0000-0000-0000BD080000}"/>
    <cellStyle name="Comma 4 2 4 2 3 2 2 2" xfId="43103" xr:uid="{0FDD12F6-24BD-4060-A780-3556C080D622}"/>
    <cellStyle name="Comma 4 2 4 2 3 2 2 3" xfId="34656" xr:uid="{267FDF04-F3C5-4CB9-A051-73E6DDFF19E8}"/>
    <cellStyle name="Comma 4 2 4 2 3 2 2 4" xfId="26208" xr:uid="{36CED349-16AB-4E4E-B54B-7DE3AECE362C}"/>
    <cellStyle name="Comma 4 2 4 2 3 2 2 5" xfId="16911" xr:uid="{54DBF69B-CF66-4915-99FF-AFA64DAA50C1}"/>
    <cellStyle name="Comma 4 2 4 2 3 2 3" xfId="38886" xr:uid="{73915D50-6C1E-457E-B0E2-F5566158BF57}"/>
    <cellStyle name="Comma 4 2 4 2 3 2 4" xfId="30438" xr:uid="{22D866E5-2615-48AF-96D7-8E8FBDC99EB5}"/>
    <cellStyle name="Comma 4 2 4 2 3 2 5" xfId="21991" xr:uid="{4D30DB00-874A-4D82-BD82-CA29BB198378}"/>
    <cellStyle name="Comma 4 2 4 2 3 2 6" xfId="12694" xr:uid="{B03F6251-7895-429F-A2D3-9A85FEBC8A32}"/>
    <cellStyle name="Comma 4 2 4 2 3 3" xfId="5440" xr:uid="{00000000-0005-0000-0000-0000BE080000}"/>
    <cellStyle name="Comma 4 2 4 2 3 3 2" xfId="40958" xr:uid="{409AB828-F4CF-4E3D-B970-D0EF8C27FDC8}"/>
    <cellStyle name="Comma 4 2 4 2 3 3 3" xfId="32511" xr:uid="{9C4CE0D6-64A2-4AC9-89C5-9B883B9A54DF}"/>
    <cellStyle name="Comma 4 2 4 2 3 3 4" xfId="24063" xr:uid="{A3B46F4E-F131-4DC7-B61D-CE9162E97E96}"/>
    <cellStyle name="Comma 4 2 4 2 3 3 5" xfId="14766" xr:uid="{D1AB1B8C-36ED-4814-A943-A71837FE130B}"/>
    <cellStyle name="Comma 4 2 4 2 3 4" xfId="36741" xr:uid="{952B793B-3A3A-4662-ABB6-C01C6A687A96}"/>
    <cellStyle name="Comma 4 2 4 2 3 5" xfId="28293" xr:uid="{7742F636-8591-4078-90D2-199C1BA6AAEC}"/>
    <cellStyle name="Comma 4 2 4 2 3 6" xfId="19846" xr:uid="{D1C7C393-7AFC-4E70-A3D7-444086B6BB34}"/>
    <cellStyle name="Comma 4 2 4 2 3 7" xfId="10549" xr:uid="{81EF615B-5386-4404-A956-B27415165109}"/>
    <cellStyle name="Comma 4 2 4 2 4" xfId="1546" xr:uid="{00000000-0005-0000-0000-0000BF080000}"/>
    <cellStyle name="Comma 4 2 4 2 4 2" xfId="3776" xr:uid="{00000000-0005-0000-0000-0000C0080000}"/>
    <cellStyle name="Comma 4 2 4 2 4 2 2" xfId="7998" xr:uid="{00000000-0005-0000-0000-0000C1080000}"/>
    <cellStyle name="Comma 4 2 4 2 4 2 2 2" xfId="43516" xr:uid="{E468CE2E-E7BD-4412-9EFA-7355A269CBA5}"/>
    <cellStyle name="Comma 4 2 4 2 4 2 2 3" xfId="35069" xr:uid="{F529C692-AF01-489A-B68B-36196204193E}"/>
    <cellStyle name="Comma 4 2 4 2 4 2 2 4" xfId="26621" xr:uid="{B160DD39-DD91-4CF3-A2F7-A40AEDE5C5CC}"/>
    <cellStyle name="Comma 4 2 4 2 4 2 2 5" xfId="17324" xr:uid="{99619B0E-6284-4FA8-808A-E66AED8DA950}"/>
    <cellStyle name="Comma 4 2 4 2 4 2 3" xfId="39299" xr:uid="{245782E3-C689-4125-8069-E8FC40803D2A}"/>
    <cellStyle name="Comma 4 2 4 2 4 2 4" xfId="30851" xr:uid="{89F07778-4EB0-4FF6-89BC-153A4D024C3E}"/>
    <cellStyle name="Comma 4 2 4 2 4 2 5" xfId="22404" xr:uid="{DE24EA18-2B62-4DE2-BC1E-F27BA08E3ADB}"/>
    <cellStyle name="Comma 4 2 4 2 4 2 6" xfId="13107" xr:uid="{93302CBA-90DB-4548-B607-07A70A83814C}"/>
    <cellStyle name="Comma 4 2 4 2 4 3" xfId="5853" xr:uid="{00000000-0005-0000-0000-0000C2080000}"/>
    <cellStyle name="Comma 4 2 4 2 4 3 2" xfId="41371" xr:uid="{B2C68366-D796-4CCD-ABA6-18FE6CAA1D9D}"/>
    <cellStyle name="Comma 4 2 4 2 4 3 3" xfId="32924" xr:uid="{7A3AD9EB-6C25-48C3-9A5B-C38835E28809}"/>
    <cellStyle name="Comma 4 2 4 2 4 3 4" xfId="24476" xr:uid="{4AB5CD22-C325-410F-9FE6-6D3368C7A0B0}"/>
    <cellStyle name="Comma 4 2 4 2 4 3 5" xfId="15179" xr:uid="{DE753D43-0869-4DFB-8A0A-BB81AE42B70F}"/>
    <cellStyle name="Comma 4 2 4 2 4 4" xfId="37154" xr:uid="{7665DF03-08A0-445F-B695-DD6CF0210FEC}"/>
    <cellStyle name="Comma 4 2 4 2 4 5" xfId="28706" xr:uid="{7D7E2192-CEA2-404B-A920-75341C4569FB}"/>
    <cellStyle name="Comma 4 2 4 2 4 6" xfId="20259" xr:uid="{B4BDD3C6-7637-4920-B0EF-B698FB5A15FF}"/>
    <cellStyle name="Comma 4 2 4 2 4 7" xfId="10962" xr:uid="{E0E56C95-9295-467D-B7F4-E1F66956F282}"/>
    <cellStyle name="Comma 4 2 4 2 5" xfId="1960" xr:uid="{00000000-0005-0000-0000-0000C3080000}"/>
    <cellStyle name="Comma 4 2 4 2 5 2" xfId="4189" xr:uid="{00000000-0005-0000-0000-0000C4080000}"/>
    <cellStyle name="Comma 4 2 4 2 5 2 2" xfId="8411" xr:uid="{00000000-0005-0000-0000-0000C5080000}"/>
    <cellStyle name="Comma 4 2 4 2 5 2 2 2" xfId="43929" xr:uid="{4BFEC54E-0A58-466B-A2B1-C21E200F0CEE}"/>
    <cellStyle name="Comma 4 2 4 2 5 2 2 3" xfId="35482" xr:uid="{4048705F-07E3-48D5-A416-8707EB97B15A}"/>
    <cellStyle name="Comma 4 2 4 2 5 2 2 4" xfId="27034" xr:uid="{0E71C1C6-44DF-4ADC-889F-5A9E08F94668}"/>
    <cellStyle name="Comma 4 2 4 2 5 2 2 5" xfId="17737" xr:uid="{AFE764FB-62B8-44BF-865C-F7169F72B2A0}"/>
    <cellStyle name="Comma 4 2 4 2 5 2 3" xfId="39712" xr:uid="{ED2F0132-53A5-44BB-AC57-1D9251852AE1}"/>
    <cellStyle name="Comma 4 2 4 2 5 2 4" xfId="31264" xr:uid="{E05E30EE-065C-4141-9F38-67BA3DE120FB}"/>
    <cellStyle name="Comma 4 2 4 2 5 2 5" xfId="22817" xr:uid="{F05BE2D3-A0BD-46EA-93D2-6D2423247FB2}"/>
    <cellStyle name="Comma 4 2 4 2 5 2 6" xfId="13520" xr:uid="{CCB51546-62BB-4B07-8554-3834C5EB9A86}"/>
    <cellStyle name="Comma 4 2 4 2 5 3" xfId="6266" xr:uid="{00000000-0005-0000-0000-0000C6080000}"/>
    <cellStyle name="Comma 4 2 4 2 5 3 2" xfId="41784" xr:uid="{F2ABE035-27E6-4B59-9AB9-E2226B351052}"/>
    <cellStyle name="Comma 4 2 4 2 5 3 3" xfId="33337" xr:uid="{99FA5ADF-6C14-4A85-934D-ED6A74F9288A}"/>
    <cellStyle name="Comma 4 2 4 2 5 3 4" xfId="24889" xr:uid="{3406A22E-D90B-4776-A086-E28F14D2390C}"/>
    <cellStyle name="Comma 4 2 4 2 5 3 5" xfId="15592" xr:uid="{8B82F379-B65A-4FBB-8812-0061990970ED}"/>
    <cellStyle name="Comma 4 2 4 2 5 4" xfId="37567" xr:uid="{4844273C-AF52-4F75-B381-90314FFB8987}"/>
    <cellStyle name="Comma 4 2 4 2 5 5" xfId="29119" xr:uid="{A394B651-6AA0-448D-BB6A-939429E9ADB6}"/>
    <cellStyle name="Comma 4 2 4 2 5 6" xfId="20672" xr:uid="{FE49FC6C-B6B8-4817-9A41-17E06FB64F1E}"/>
    <cellStyle name="Comma 4 2 4 2 5 7" xfId="11375" xr:uid="{C1AC02B9-8273-4027-A782-D079E8D0DBCE}"/>
    <cellStyle name="Comma 4 2 4 2 6" xfId="2395" xr:uid="{00000000-0005-0000-0000-0000C7080000}"/>
    <cellStyle name="Comma 4 2 4 2 6 2" xfId="6679" xr:uid="{00000000-0005-0000-0000-0000C8080000}"/>
    <cellStyle name="Comma 4 2 4 2 6 2 2" xfId="42197" xr:uid="{81873FAE-A346-4B11-A80B-D9308F835C93}"/>
    <cellStyle name="Comma 4 2 4 2 6 2 3" xfId="33750" xr:uid="{1146908D-0E0C-4ECF-901C-7285469694D1}"/>
    <cellStyle name="Comma 4 2 4 2 6 2 4" xfId="25302" xr:uid="{60B0399A-36C0-4779-AD1C-3CA4C0751FEA}"/>
    <cellStyle name="Comma 4 2 4 2 6 2 5" xfId="16005" xr:uid="{0A9D312B-24D0-4D2C-92F2-461837F94F53}"/>
    <cellStyle name="Comma 4 2 4 2 6 3" xfId="37980" xr:uid="{B8129252-49F3-4C33-A723-9537C59217A9}"/>
    <cellStyle name="Comma 4 2 4 2 6 4" xfId="29532" xr:uid="{07702AC3-4F65-4453-94D9-14AC5919E16A}"/>
    <cellStyle name="Comma 4 2 4 2 6 5" xfId="21085" xr:uid="{1156BB65-FD64-4C6C-8D27-401D053C8F80}"/>
    <cellStyle name="Comma 4 2 4 2 6 6" xfId="11788" xr:uid="{D0DC2606-C772-49F6-873C-98660878AB46}"/>
    <cellStyle name="Comma 4 2 4 2 7" xfId="2368" xr:uid="{00000000-0005-0000-0000-0000C9080000}"/>
    <cellStyle name="Comma 4 2 4 2 8" xfId="2773" xr:uid="{00000000-0005-0000-0000-0000CA080000}"/>
    <cellStyle name="Comma 4 2 4 2 8 2" xfId="6996" xr:uid="{00000000-0005-0000-0000-0000CB080000}"/>
    <cellStyle name="Comma 4 2 4 2 8 2 2" xfId="42514" xr:uid="{10E7CECA-F4F5-460F-BA42-44B916AA85BA}"/>
    <cellStyle name="Comma 4 2 4 2 8 2 3" xfId="34067" xr:uid="{283D3065-EFB5-4409-ACFA-193E2DF59B26}"/>
    <cellStyle name="Comma 4 2 4 2 8 2 4" xfId="25619" xr:uid="{91983D71-2D31-421A-AD93-76E979F41EC7}"/>
    <cellStyle name="Comma 4 2 4 2 8 2 5" xfId="16322" xr:uid="{71979C59-299C-412F-8AE8-578A2D5BF9F6}"/>
    <cellStyle name="Comma 4 2 4 2 8 3" xfId="38297" xr:uid="{0382068D-3BF3-4EED-B036-75DC89D3A103}"/>
    <cellStyle name="Comma 4 2 4 2 8 4" xfId="29849" xr:uid="{2E35B541-F885-4D3B-AD98-3C8953F1BD9A}"/>
    <cellStyle name="Comma 4 2 4 2 8 5" xfId="21402" xr:uid="{984D0936-A7F8-4272-AD8F-3D1CE1E01CFC}"/>
    <cellStyle name="Comma 4 2 4 2 8 6" xfId="12105" xr:uid="{3F2CC142-A9F1-403B-9BCF-35437A21C4E5}"/>
    <cellStyle name="Comma 4 2 4 2 9" xfId="4613" xr:uid="{00000000-0005-0000-0000-0000CC080000}"/>
    <cellStyle name="Comma 4 2 4 2 9 2" xfId="40131" xr:uid="{D01E6B77-3094-470D-BB15-1E309C2ACBE4}"/>
    <cellStyle name="Comma 4 2 4 2 9 3" xfId="31684" xr:uid="{486E0115-3C32-4D3E-814B-5964B7BCAFA2}"/>
    <cellStyle name="Comma 4 2 4 2 9 4" xfId="23236" xr:uid="{02AEE0E2-E94D-42D0-A955-C5745A218B5D}"/>
    <cellStyle name="Comma 4 2 4 2 9 5" xfId="13939" xr:uid="{AC2E6FD7-428C-428A-9F6B-FBC515CCFEC3}"/>
    <cellStyle name="Comma 4 2 4 3" xfId="678" xr:uid="{00000000-0005-0000-0000-0000CD080000}"/>
    <cellStyle name="Comma 4 2 4 3 2" xfId="2949" xr:uid="{00000000-0005-0000-0000-0000CE080000}"/>
    <cellStyle name="Comma 4 2 4 3 2 2" xfId="7171" xr:uid="{00000000-0005-0000-0000-0000CF080000}"/>
    <cellStyle name="Comma 4 2 4 3 2 2 2" xfId="42689" xr:uid="{82097B2E-E614-4B34-AA86-5E055DA8C923}"/>
    <cellStyle name="Comma 4 2 4 3 2 2 3" xfId="34242" xr:uid="{89114B97-6F87-43F4-B4AB-69A601BDA6C7}"/>
    <cellStyle name="Comma 4 2 4 3 2 2 4" xfId="25794" xr:uid="{50CD7F1F-08BF-453E-9153-1C0D131B9E0A}"/>
    <cellStyle name="Comma 4 2 4 3 2 2 5" xfId="16497" xr:uid="{B32C97DF-01D7-479F-B05F-F71C7DA9C7C4}"/>
    <cellStyle name="Comma 4 2 4 3 2 3" xfId="38472" xr:uid="{E978D379-EC43-4CEE-A9D4-161B4494EDEF}"/>
    <cellStyle name="Comma 4 2 4 3 2 4" xfId="30024" xr:uid="{1D7A1524-E799-416A-A517-28DD7AF6D7FE}"/>
    <cellStyle name="Comma 4 2 4 3 2 5" xfId="21577" xr:uid="{0172BD5C-B794-43E5-B57E-F8822A4BAFD3}"/>
    <cellStyle name="Comma 4 2 4 3 2 6" xfId="12280" xr:uid="{2D56BE07-5EAF-4DF4-9DFB-AF59C6938AF6}"/>
    <cellStyle name="Comma 4 2 4 3 3" xfId="5026" xr:uid="{00000000-0005-0000-0000-0000D0080000}"/>
    <cellStyle name="Comma 4 2 4 3 3 2" xfId="40544" xr:uid="{507FD29A-91E8-484D-9A45-A4B4A1D521C1}"/>
    <cellStyle name="Comma 4 2 4 3 3 3" xfId="32097" xr:uid="{1ED90A77-9AD2-42EB-8EC1-BDD40001FDEB}"/>
    <cellStyle name="Comma 4 2 4 3 3 4" xfId="23649" xr:uid="{B9CD3F81-9BE8-46E9-A553-FEC0F7AFB445}"/>
    <cellStyle name="Comma 4 2 4 3 3 5" xfId="14352" xr:uid="{DC8771D4-166D-4936-AFB3-C4051677854C}"/>
    <cellStyle name="Comma 4 2 4 3 4" xfId="9283" xr:uid="{7E46ED3C-A8F4-4512-93D9-5F41F1AC397C}"/>
    <cellStyle name="Comma 4 2 4 3 4 2" xfId="36327" xr:uid="{D9FDE4F4-4A86-4F47-AD81-CA6581C11A51}"/>
    <cellStyle name="Comma 4 2 4 3 4 3" xfId="18596" xr:uid="{D4D4D77D-0554-445D-AFAE-B31EE643514E}"/>
    <cellStyle name="Comma 4 2 4 3 5" xfId="27879" xr:uid="{FAA3DE82-3C40-4BB5-B4CA-06B4CBC8606B}"/>
    <cellStyle name="Comma 4 2 4 3 6" xfId="19432" xr:uid="{8CE59693-320F-4687-BC91-018648788F4A}"/>
    <cellStyle name="Comma 4 2 4 3 7" xfId="10135" xr:uid="{844494F6-892D-44E0-8DC9-5554C971BCB9}"/>
    <cellStyle name="Comma 4 2 4 4" xfId="1131" xr:uid="{00000000-0005-0000-0000-0000D1080000}"/>
    <cellStyle name="Comma 4 2 4 4 2" xfId="3362" xr:uid="{00000000-0005-0000-0000-0000D2080000}"/>
    <cellStyle name="Comma 4 2 4 4 2 2" xfId="7584" xr:uid="{00000000-0005-0000-0000-0000D3080000}"/>
    <cellStyle name="Comma 4 2 4 4 2 2 2" xfId="43102" xr:uid="{E6001E12-3462-4ED1-8CD5-C8842B55B4D9}"/>
    <cellStyle name="Comma 4 2 4 4 2 2 3" xfId="34655" xr:uid="{EE8F3F90-26C9-4F45-9862-71EC38DFCECC}"/>
    <cellStyle name="Comma 4 2 4 4 2 2 4" xfId="26207" xr:uid="{7335C50A-9C6D-485A-8414-E71DBFF34A0A}"/>
    <cellStyle name="Comma 4 2 4 4 2 2 5" xfId="16910" xr:uid="{FC2BCCD3-73CB-489A-8E1F-0907A6D326D1}"/>
    <cellStyle name="Comma 4 2 4 4 2 3" xfId="38885" xr:uid="{BD03ED9C-A76D-4900-8C39-83F08DE6888A}"/>
    <cellStyle name="Comma 4 2 4 4 2 4" xfId="30437" xr:uid="{956632DC-F1A5-497E-B385-62AF6DAA8605}"/>
    <cellStyle name="Comma 4 2 4 4 2 5" xfId="21990" xr:uid="{08225342-308C-47A4-A1A0-ED27EFD76DC1}"/>
    <cellStyle name="Comma 4 2 4 4 2 6" xfId="12693" xr:uid="{3FD9D814-1DD6-4C45-BC1A-886797288508}"/>
    <cellStyle name="Comma 4 2 4 4 3" xfId="5439" xr:uid="{00000000-0005-0000-0000-0000D4080000}"/>
    <cellStyle name="Comma 4 2 4 4 3 2" xfId="40957" xr:uid="{83CB1CDE-838C-452A-8B86-056F2A9B7875}"/>
    <cellStyle name="Comma 4 2 4 4 3 3" xfId="32510" xr:uid="{FBC05BB1-D4DA-4611-A6F0-712FFE7449AE}"/>
    <cellStyle name="Comma 4 2 4 4 3 4" xfId="24062" xr:uid="{D6AD42DD-D380-4189-8569-DF6FA4041979}"/>
    <cellStyle name="Comma 4 2 4 4 3 5" xfId="14765" xr:uid="{9B3CEF56-0D64-456E-91F1-F748F665E10D}"/>
    <cellStyle name="Comma 4 2 4 4 4" xfId="36740" xr:uid="{D84BD96B-1366-471E-8992-06318DEC01FF}"/>
    <cellStyle name="Comma 4 2 4 4 5" xfId="28292" xr:uid="{7D51CAF0-687A-43DC-A896-05C7CB6110BA}"/>
    <cellStyle name="Comma 4 2 4 4 6" xfId="19845" xr:uid="{82FD825E-429D-4445-95DD-C94176EE54CC}"/>
    <cellStyle name="Comma 4 2 4 4 7" xfId="10548" xr:uid="{57074E26-0131-4029-B779-BDAABE3F5604}"/>
    <cellStyle name="Comma 4 2 4 5" xfId="1545" xr:uid="{00000000-0005-0000-0000-0000D5080000}"/>
    <cellStyle name="Comma 4 2 4 5 2" xfId="3775" xr:uid="{00000000-0005-0000-0000-0000D6080000}"/>
    <cellStyle name="Comma 4 2 4 5 2 2" xfId="7997" xr:uid="{00000000-0005-0000-0000-0000D7080000}"/>
    <cellStyle name="Comma 4 2 4 5 2 2 2" xfId="43515" xr:uid="{FD49FFE9-3C65-4547-AD92-3BF8B015970F}"/>
    <cellStyle name="Comma 4 2 4 5 2 2 3" xfId="35068" xr:uid="{DA3C492F-70B8-488F-BF7F-F4BEE461F8B9}"/>
    <cellStyle name="Comma 4 2 4 5 2 2 4" xfId="26620" xr:uid="{37070043-C62C-4439-B3FD-16D270B5277D}"/>
    <cellStyle name="Comma 4 2 4 5 2 2 5" xfId="17323" xr:uid="{F7A5C2D2-A0BA-4650-906C-F15DD4756596}"/>
    <cellStyle name="Comma 4 2 4 5 2 3" xfId="39298" xr:uid="{2CB2769B-5CDD-4F53-BB4D-97DC8CB78712}"/>
    <cellStyle name="Comma 4 2 4 5 2 4" xfId="30850" xr:uid="{404FF420-8C9E-4282-AB9A-0D668E9AE076}"/>
    <cellStyle name="Comma 4 2 4 5 2 5" xfId="22403" xr:uid="{BB23277D-272B-422A-BACD-1AD056BE59DE}"/>
    <cellStyle name="Comma 4 2 4 5 2 6" xfId="13106" xr:uid="{E971B19B-7338-41B3-B1DC-4960BF4F408D}"/>
    <cellStyle name="Comma 4 2 4 5 3" xfId="5852" xr:uid="{00000000-0005-0000-0000-0000D8080000}"/>
    <cellStyle name="Comma 4 2 4 5 3 2" xfId="41370" xr:uid="{1A1328B8-0F5C-4F80-BEFD-E7347FA8488C}"/>
    <cellStyle name="Comma 4 2 4 5 3 3" xfId="32923" xr:uid="{EE356D24-B49B-43D1-BDA0-6AE6D32E57BF}"/>
    <cellStyle name="Comma 4 2 4 5 3 4" xfId="24475" xr:uid="{C1547B30-5D94-456A-9CF2-A0BBD159CCD2}"/>
    <cellStyle name="Comma 4 2 4 5 3 5" xfId="15178" xr:uid="{E2B4B404-AE20-419D-9FDC-358206562514}"/>
    <cellStyle name="Comma 4 2 4 5 4" xfId="37153" xr:uid="{DBCB03B3-9FB4-42AD-A1C2-B259099DDF23}"/>
    <cellStyle name="Comma 4 2 4 5 5" xfId="28705" xr:uid="{36F44CCF-2FF1-4012-9F63-70F9454CEABC}"/>
    <cellStyle name="Comma 4 2 4 5 6" xfId="20258" xr:uid="{C6CA740B-8EF1-441C-8FD8-8C4BB492E002}"/>
    <cellStyle name="Comma 4 2 4 5 7" xfId="10961" xr:uid="{49618523-C116-4E8E-B1B6-8D1873948E4F}"/>
    <cellStyle name="Comma 4 2 4 6" xfId="1959" xr:uid="{00000000-0005-0000-0000-0000D9080000}"/>
    <cellStyle name="Comma 4 2 4 6 2" xfId="4188" xr:uid="{00000000-0005-0000-0000-0000DA080000}"/>
    <cellStyle name="Comma 4 2 4 6 2 2" xfId="8410" xr:uid="{00000000-0005-0000-0000-0000DB080000}"/>
    <cellStyle name="Comma 4 2 4 6 2 2 2" xfId="43928" xr:uid="{960FD406-62D3-4022-A24E-A41160377929}"/>
    <cellStyle name="Comma 4 2 4 6 2 2 3" xfId="35481" xr:uid="{8D963D26-BB82-40B5-B2FD-0AE80B42242F}"/>
    <cellStyle name="Comma 4 2 4 6 2 2 4" xfId="27033" xr:uid="{26B2EE44-2AC7-4580-85BE-BEAF4B599D8B}"/>
    <cellStyle name="Comma 4 2 4 6 2 2 5" xfId="17736" xr:uid="{8A85F2AA-F654-4E50-8F1B-A1B9C510CDC7}"/>
    <cellStyle name="Comma 4 2 4 6 2 3" xfId="39711" xr:uid="{894CF6E8-7B5C-4408-BEA9-1AB970B863C4}"/>
    <cellStyle name="Comma 4 2 4 6 2 4" xfId="31263" xr:uid="{59CA462A-4CBC-4949-99DC-E1C6236CB002}"/>
    <cellStyle name="Comma 4 2 4 6 2 5" xfId="22816" xr:uid="{8C6EE3D6-C620-43E9-930E-19FE1292D4CF}"/>
    <cellStyle name="Comma 4 2 4 6 2 6" xfId="13519" xr:uid="{0559AC75-53ED-4CCD-AAE9-2B6B3B49E7E1}"/>
    <cellStyle name="Comma 4 2 4 6 3" xfId="6265" xr:uid="{00000000-0005-0000-0000-0000DC080000}"/>
    <cellStyle name="Comma 4 2 4 6 3 2" xfId="41783" xr:uid="{B7ACD3E3-277A-4D4A-88ED-3C8BE9727F3E}"/>
    <cellStyle name="Comma 4 2 4 6 3 3" xfId="33336" xr:uid="{AABF0425-70AB-453F-8F1B-5A4A928136F2}"/>
    <cellStyle name="Comma 4 2 4 6 3 4" xfId="24888" xr:uid="{114AC689-24D4-4E08-BC03-83BE751C642F}"/>
    <cellStyle name="Comma 4 2 4 6 3 5" xfId="15591" xr:uid="{4F809A44-AE00-42A7-B95B-F5D6BE774BFE}"/>
    <cellStyle name="Comma 4 2 4 6 4" xfId="37566" xr:uid="{8F62AF19-F53A-4439-A104-0D575EFA3A41}"/>
    <cellStyle name="Comma 4 2 4 6 5" xfId="29118" xr:uid="{6F2A2C56-E91E-4784-953C-15A354B9007D}"/>
    <cellStyle name="Comma 4 2 4 6 6" xfId="20671" xr:uid="{964F734D-5D50-48ED-81BF-C9145AF5600D}"/>
    <cellStyle name="Comma 4 2 4 6 7" xfId="11374" xr:uid="{62298ED6-205C-4AC3-8DCC-4FD90CD7A2AF}"/>
    <cellStyle name="Comma 4 2 4 7" xfId="2394" xr:uid="{00000000-0005-0000-0000-0000DD080000}"/>
    <cellStyle name="Comma 4 2 4 7 2" xfId="6678" xr:uid="{00000000-0005-0000-0000-0000DE080000}"/>
    <cellStyle name="Comma 4 2 4 7 2 2" xfId="42196" xr:uid="{2E743F15-F2C4-402D-AA64-EC6970017110}"/>
    <cellStyle name="Comma 4 2 4 7 2 3" xfId="33749" xr:uid="{E087145D-AE89-464B-BE5A-E40CD69F30FA}"/>
    <cellStyle name="Comma 4 2 4 7 2 4" xfId="25301" xr:uid="{0575C798-A363-4677-9F88-C37AA3D34099}"/>
    <cellStyle name="Comma 4 2 4 7 2 5" xfId="16004" xr:uid="{EEF2BFF4-CD82-46E2-9729-3389C1BF8C3C}"/>
    <cellStyle name="Comma 4 2 4 7 3" xfId="37979" xr:uid="{371BA1B9-BE32-4623-85FE-A1F271AAF7DD}"/>
    <cellStyle name="Comma 4 2 4 7 4" xfId="29531" xr:uid="{DAC7E68A-2FBD-4964-A1B0-81841419907B}"/>
    <cellStyle name="Comma 4 2 4 7 5" xfId="21084" xr:uid="{3CE95E44-E88B-43E8-A09B-248A73B7223B}"/>
    <cellStyle name="Comma 4 2 4 7 6" xfId="11787" xr:uid="{D36B9661-7990-439E-9611-A942BCD831CA}"/>
    <cellStyle name="Comma 4 2 4 8" xfId="2369" xr:uid="{00000000-0005-0000-0000-0000DF080000}"/>
    <cellStyle name="Comma 4 2 4 9" xfId="2772" xr:uid="{00000000-0005-0000-0000-0000E0080000}"/>
    <cellStyle name="Comma 4 2 4 9 2" xfId="6995" xr:uid="{00000000-0005-0000-0000-0000E1080000}"/>
    <cellStyle name="Comma 4 2 4 9 2 2" xfId="42513" xr:uid="{966B2219-C9DD-4B99-94CB-2B1AC6A496F5}"/>
    <cellStyle name="Comma 4 2 4 9 2 3" xfId="34066" xr:uid="{E47B92B4-902E-4E92-8CEC-8C1C9316F480}"/>
    <cellStyle name="Comma 4 2 4 9 2 4" xfId="25618" xr:uid="{80FE330C-BEE8-4F85-96C6-E27A560E5465}"/>
    <cellStyle name="Comma 4 2 4 9 2 5" xfId="16321" xr:uid="{74DF98E1-2D94-4E67-BD33-13BC76DA6B5A}"/>
    <cellStyle name="Comma 4 2 4 9 3" xfId="38296" xr:uid="{50563AB5-69B8-43C0-AC02-D760335A6005}"/>
    <cellStyle name="Comma 4 2 4 9 4" xfId="29848" xr:uid="{A2DB1833-A2F8-4F97-BA6E-F6555219E3A4}"/>
    <cellStyle name="Comma 4 2 4 9 5" xfId="21401" xr:uid="{2919909A-AE52-4A9E-9EF4-980F386A9EA5}"/>
    <cellStyle name="Comma 4 2 4 9 6" xfId="12104" xr:uid="{BF2EA71B-07B5-417B-929D-8BFFBA8C5686}"/>
    <cellStyle name="Comma 4 2 5" xfId="142" xr:uid="{00000000-0005-0000-0000-0000E2080000}"/>
    <cellStyle name="Comma 4 2 5 10" xfId="8974" xr:uid="{86B0C89A-8A2D-4755-B15D-84E412E1D380}"/>
    <cellStyle name="Comma 4 2 5 10 2" xfId="35915" xr:uid="{ACB0AC08-004E-48D4-B2A6-3088723297E5}"/>
    <cellStyle name="Comma 4 2 5 10 3" xfId="18297" xr:uid="{F5A94DE7-371C-42C7-811C-243E5E30EB8C}"/>
    <cellStyle name="Comma 4 2 5 11" xfId="27467" xr:uid="{5D00B7D2-46C8-4163-AEF4-1A07759F3497}"/>
    <cellStyle name="Comma 4 2 5 12" xfId="19020" xr:uid="{0697E7A0-C859-4FE3-BB30-D3EC946FDFCE}"/>
    <cellStyle name="Comma 4 2 5 13" xfId="9723" xr:uid="{B95CD9E0-A1FA-4421-8B73-D1A27BF94E61}"/>
    <cellStyle name="Comma 4 2 5 2" xfId="680" xr:uid="{00000000-0005-0000-0000-0000E3080000}"/>
    <cellStyle name="Comma 4 2 5 2 2" xfId="2951" xr:uid="{00000000-0005-0000-0000-0000E4080000}"/>
    <cellStyle name="Comma 4 2 5 2 2 2" xfId="7173" xr:uid="{00000000-0005-0000-0000-0000E5080000}"/>
    <cellStyle name="Comma 4 2 5 2 2 2 2" xfId="42691" xr:uid="{0721F7E5-41F4-4580-A3F0-C37F817E4892}"/>
    <cellStyle name="Comma 4 2 5 2 2 2 3" xfId="34244" xr:uid="{53F4A1FA-F3F0-4785-8A9B-E23BC572BC97}"/>
    <cellStyle name="Comma 4 2 5 2 2 2 4" xfId="25796" xr:uid="{690539C2-9ABA-4235-861B-25E6D0C5294B}"/>
    <cellStyle name="Comma 4 2 5 2 2 2 5" xfId="16499" xr:uid="{40B4DA10-C5A1-443E-A49C-571E7A07B18C}"/>
    <cellStyle name="Comma 4 2 5 2 2 3" xfId="38474" xr:uid="{C5F1CA73-4BBD-431E-9BC1-67C2EF31C055}"/>
    <cellStyle name="Comma 4 2 5 2 2 4" xfId="30026" xr:uid="{65456652-1800-4EA0-BE13-4525B6BB71D8}"/>
    <cellStyle name="Comma 4 2 5 2 2 5" xfId="21579" xr:uid="{67980157-2D8F-4147-B5B0-5054660A7E0E}"/>
    <cellStyle name="Comma 4 2 5 2 2 6" xfId="12282" xr:uid="{B954939B-4C0B-4D71-B946-3396F26E5F31}"/>
    <cellStyle name="Comma 4 2 5 2 3" xfId="5028" xr:uid="{00000000-0005-0000-0000-0000E6080000}"/>
    <cellStyle name="Comma 4 2 5 2 3 2" xfId="40546" xr:uid="{B89FBF0F-8E36-4ADC-BD8F-48F1E17B52F6}"/>
    <cellStyle name="Comma 4 2 5 2 3 3" xfId="32099" xr:uid="{C4D6184A-1529-4A14-BFAF-8997FE9F0605}"/>
    <cellStyle name="Comma 4 2 5 2 3 4" xfId="23651" xr:uid="{F321EC52-6A69-4876-AE1B-E2163F0884BC}"/>
    <cellStyle name="Comma 4 2 5 2 3 5" xfId="14354" xr:uid="{DBC2CC86-6C0F-4434-B3FD-C587B52D8247}"/>
    <cellStyle name="Comma 4 2 5 2 4" xfId="9399" xr:uid="{1B388BC7-1FC6-4DC3-B345-755F61B57864}"/>
    <cellStyle name="Comma 4 2 5 2 4 2" xfId="36329" xr:uid="{6884EB68-4584-4A50-A848-B635D4CD3FAF}"/>
    <cellStyle name="Comma 4 2 5 2 4 3" xfId="18712" xr:uid="{E8F9DAB7-A484-469B-A57C-D5D2FCC1A97C}"/>
    <cellStyle name="Comma 4 2 5 2 5" xfId="27881" xr:uid="{DC7F6486-E258-4FDB-AB06-AF75A8F9D55D}"/>
    <cellStyle name="Comma 4 2 5 2 6" xfId="19434" xr:uid="{8E9D7D13-6D50-4313-8DE1-5B2C1D18B9D2}"/>
    <cellStyle name="Comma 4 2 5 2 7" xfId="10137" xr:uid="{5FF04930-A8D2-4BE7-B6C4-CBE95B66BEDA}"/>
    <cellStyle name="Comma 4 2 5 3" xfId="1133" xr:uid="{00000000-0005-0000-0000-0000E7080000}"/>
    <cellStyle name="Comma 4 2 5 3 2" xfId="3364" xr:uid="{00000000-0005-0000-0000-0000E8080000}"/>
    <cellStyle name="Comma 4 2 5 3 2 2" xfId="7586" xr:uid="{00000000-0005-0000-0000-0000E9080000}"/>
    <cellStyle name="Comma 4 2 5 3 2 2 2" xfId="43104" xr:uid="{162764B1-E999-42D7-9496-8682F0FB2951}"/>
    <cellStyle name="Comma 4 2 5 3 2 2 3" xfId="34657" xr:uid="{FF08D95B-368A-473C-A462-5FAA6E3FA4C6}"/>
    <cellStyle name="Comma 4 2 5 3 2 2 4" xfId="26209" xr:uid="{51F95CD3-6FF8-4053-93B7-084588376089}"/>
    <cellStyle name="Comma 4 2 5 3 2 2 5" xfId="16912" xr:uid="{1A9C2BFE-BD14-46BC-AA14-B9F472218046}"/>
    <cellStyle name="Comma 4 2 5 3 2 3" xfId="38887" xr:uid="{2A2BB836-152F-4C3A-B1AD-0BE7D9BF0DF4}"/>
    <cellStyle name="Comma 4 2 5 3 2 4" xfId="30439" xr:uid="{C1E7E7BB-AB9D-4D51-855A-A7B0F6B6597C}"/>
    <cellStyle name="Comma 4 2 5 3 2 5" xfId="21992" xr:uid="{FFAE658B-D191-4420-A462-10C6D861B44E}"/>
    <cellStyle name="Comma 4 2 5 3 2 6" xfId="12695" xr:uid="{9C7C97B3-E2D1-4CD8-95ED-723DC5AEAC3F}"/>
    <cellStyle name="Comma 4 2 5 3 3" xfId="5441" xr:uid="{00000000-0005-0000-0000-0000EA080000}"/>
    <cellStyle name="Comma 4 2 5 3 3 2" xfId="40959" xr:uid="{A104AB20-0220-4CC8-8081-D1C47285955C}"/>
    <cellStyle name="Comma 4 2 5 3 3 3" xfId="32512" xr:uid="{1ADAFE8F-81F8-41CA-A757-3AF17D8DB86B}"/>
    <cellStyle name="Comma 4 2 5 3 3 4" xfId="24064" xr:uid="{E4437F77-6A69-40C2-AD53-8A855665FFBE}"/>
    <cellStyle name="Comma 4 2 5 3 3 5" xfId="14767" xr:uid="{FC4793A0-32FB-4C57-8216-AD545262CAC4}"/>
    <cellStyle name="Comma 4 2 5 3 4" xfId="36742" xr:uid="{00529631-2849-43E4-AF09-F7A24A73BD1C}"/>
    <cellStyle name="Comma 4 2 5 3 5" xfId="28294" xr:uid="{06D74543-EC33-4F45-AAED-73A6E6B29A47}"/>
    <cellStyle name="Comma 4 2 5 3 6" xfId="19847" xr:uid="{DFD595AB-39F3-4560-AB34-24DDD8FE8510}"/>
    <cellStyle name="Comma 4 2 5 3 7" xfId="10550" xr:uid="{50E48EFF-1654-4CE4-8C72-18761DC13FAE}"/>
    <cellStyle name="Comma 4 2 5 4" xfId="1547" xr:uid="{00000000-0005-0000-0000-0000EB080000}"/>
    <cellStyle name="Comma 4 2 5 4 2" xfId="3777" xr:uid="{00000000-0005-0000-0000-0000EC080000}"/>
    <cellStyle name="Comma 4 2 5 4 2 2" xfId="7999" xr:uid="{00000000-0005-0000-0000-0000ED080000}"/>
    <cellStyle name="Comma 4 2 5 4 2 2 2" xfId="43517" xr:uid="{5B435CE1-8060-495B-A2E7-85A903280922}"/>
    <cellStyle name="Comma 4 2 5 4 2 2 3" xfId="35070" xr:uid="{DC1CB278-62C1-465D-A427-B98DC286DFE1}"/>
    <cellStyle name="Comma 4 2 5 4 2 2 4" xfId="26622" xr:uid="{1EB2EE96-A6BB-421F-9816-3DF93D5246A3}"/>
    <cellStyle name="Comma 4 2 5 4 2 2 5" xfId="17325" xr:uid="{344316B4-2E13-4BF7-864B-7A983F12278D}"/>
    <cellStyle name="Comma 4 2 5 4 2 3" xfId="39300" xr:uid="{1CB53DCD-FC88-4FDA-820C-EBA81EDAA748}"/>
    <cellStyle name="Comma 4 2 5 4 2 4" xfId="30852" xr:uid="{6377E04C-949B-4869-8E33-85B0CAE712FB}"/>
    <cellStyle name="Comma 4 2 5 4 2 5" xfId="22405" xr:uid="{642800DC-410D-4B0D-B327-659984225768}"/>
    <cellStyle name="Comma 4 2 5 4 2 6" xfId="13108" xr:uid="{3417570F-2BF1-4A11-A339-663CA7E4C80A}"/>
    <cellStyle name="Comma 4 2 5 4 3" xfId="5854" xr:uid="{00000000-0005-0000-0000-0000EE080000}"/>
    <cellStyle name="Comma 4 2 5 4 3 2" xfId="41372" xr:uid="{23D55C66-BC54-4B6B-B7EB-6FA55744A923}"/>
    <cellStyle name="Comma 4 2 5 4 3 3" xfId="32925" xr:uid="{4C06F71E-79E0-45DC-9288-3CBC1BF47092}"/>
    <cellStyle name="Comma 4 2 5 4 3 4" xfId="24477" xr:uid="{3576A461-83BC-44FC-AFC7-53500C9ED229}"/>
    <cellStyle name="Comma 4 2 5 4 3 5" xfId="15180" xr:uid="{C50734A8-768A-4AF0-8675-DA7946802FC4}"/>
    <cellStyle name="Comma 4 2 5 4 4" xfId="37155" xr:uid="{8DA3314F-5024-4BEA-BA7A-46C4D368C1BF}"/>
    <cellStyle name="Comma 4 2 5 4 5" xfId="28707" xr:uid="{E4703E32-F21F-471A-B6D0-618EC5175A41}"/>
    <cellStyle name="Comma 4 2 5 4 6" xfId="20260" xr:uid="{705B497E-3805-4912-8D2B-F45294880478}"/>
    <cellStyle name="Comma 4 2 5 4 7" xfId="10963" xr:uid="{B54210E1-9383-4BC9-9573-3367E889E499}"/>
    <cellStyle name="Comma 4 2 5 5" xfId="1961" xr:uid="{00000000-0005-0000-0000-0000EF080000}"/>
    <cellStyle name="Comma 4 2 5 5 2" xfId="4190" xr:uid="{00000000-0005-0000-0000-0000F0080000}"/>
    <cellStyle name="Comma 4 2 5 5 2 2" xfId="8412" xr:uid="{00000000-0005-0000-0000-0000F1080000}"/>
    <cellStyle name="Comma 4 2 5 5 2 2 2" xfId="43930" xr:uid="{45BAD160-9853-4922-B7AC-57E213738D89}"/>
    <cellStyle name="Comma 4 2 5 5 2 2 3" xfId="35483" xr:uid="{A4D13F8B-D00D-4CB8-B7A9-3A056300A557}"/>
    <cellStyle name="Comma 4 2 5 5 2 2 4" xfId="27035" xr:uid="{D258F5A1-2584-479F-A2A6-5E21BFAA1AB3}"/>
    <cellStyle name="Comma 4 2 5 5 2 2 5" xfId="17738" xr:uid="{02DE8C48-4400-4E16-8A6C-1EDA438AB8B6}"/>
    <cellStyle name="Comma 4 2 5 5 2 3" xfId="39713" xr:uid="{00497B3D-301F-4F08-903D-8500A5FE7AE0}"/>
    <cellStyle name="Comma 4 2 5 5 2 4" xfId="31265" xr:uid="{C11D49F6-FD06-4A1E-9D26-86671C9E42EA}"/>
    <cellStyle name="Comma 4 2 5 5 2 5" xfId="22818" xr:uid="{7AF60192-E058-4CD0-B0FF-29967DA13654}"/>
    <cellStyle name="Comma 4 2 5 5 2 6" xfId="13521" xr:uid="{40BBB77B-BA16-448C-8C2B-D448466488BE}"/>
    <cellStyle name="Comma 4 2 5 5 3" xfId="6267" xr:uid="{00000000-0005-0000-0000-0000F2080000}"/>
    <cellStyle name="Comma 4 2 5 5 3 2" xfId="41785" xr:uid="{A13EEE11-3F67-4A4F-98D3-DB2624B9DDF3}"/>
    <cellStyle name="Comma 4 2 5 5 3 3" xfId="33338" xr:uid="{FFD7FDD7-E75E-4852-885F-CF10880DCA5C}"/>
    <cellStyle name="Comma 4 2 5 5 3 4" xfId="24890" xr:uid="{AC68A770-F420-4C40-A50E-D708F32090EA}"/>
    <cellStyle name="Comma 4 2 5 5 3 5" xfId="15593" xr:uid="{CC82EB31-CB64-4044-8493-9C84D6F111D3}"/>
    <cellStyle name="Comma 4 2 5 5 4" xfId="37568" xr:uid="{602BFC0C-0C9D-4CC4-8399-7E05948B7FF9}"/>
    <cellStyle name="Comma 4 2 5 5 5" xfId="29120" xr:uid="{FE6CEFDC-FA80-4E92-AD81-0CBCDB81FC7C}"/>
    <cellStyle name="Comma 4 2 5 5 6" xfId="20673" xr:uid="{299B4414-8AB9-4D7D-9DE7-73FC3F8DF97F}"/>
    <cellStyle name="Comma 4 2 5 5 7" xfId="11376" xr:uid="{A79AD5D2-BFC2-4F6D-A341-F36B36726024}"/>
    <cellStyle name="Comma 4 2 5 6" xfId="2396" xr:uid="{00000000-0005-0000-0000-0000F3080000}"/>
    <cellStyle name="Comma 4 2 5 6 2" xfId="6680" xr:uid="{00000000-0005-0000-0000-0000F4080000}"/>
    <cellStyle name="Comma 4 2 5 6 2 2" xfId="42198" xr:uid="{0145BD11-455B-4D04-8FCD-AD01B97ED4E3}"/>
    <cellStyle name="Comma 4 2 5 6 2 3" xfId="33751" xr:uid="{679B84E2-53A7-4677-83BD-E754F0316B95}"/>
    <cellStyle name="Comma 4 2 5 6 2 4" xfId="25303" xr:uid="{81CB0661-5481-46B6-9763-5AEDA35CB267}"/>
    <cellStyle name="Comma 4 2 5 6 2 5" xfId="16006" xr:uid="{90F2D88E-3228-407F-ABB8-BBDCB74C8B6B}"/>
    <cellStyle name="Comma 4 2 5 6 3" xfId="37981" xr:uid="{1640DAA4-A320-4635-8CF4-1B5A1F1DAD96}"/>
    <cellStyle name="Comma 4 2 5 6 4" xfId="29533" xr:uid="{5F5C94EC-259D-43F4-A0D5-0BD08CCF9116}"/>
    <cellStyle name="Comma 4 2 5 6 5" xfId="21086" xr:uid="{E6F5ABB5-E10D-4949-A371-5236F409D694}"/>
    <cellStyle name="Comma 4 2 5 6 6" xfId="11789" xr:uid="{35C16D6B-EDD1-4E18-B9ED-055B6ECE699B}"/>
    <cellStyle name="Comma 4 2 5 7" xfId="2367" xr:uid="{00000000-0005-0000-0000-0000F5080000}"/>
    <cellStyle name="Comma 4 2 5 8" xfId="2774" xr:uid="{00000000-0005-0000-0000-0000F6080000}"/>
    <cellStyle name="Comma 4 2 5 8 2" xfId="6997" xr:uid="{00000000-0005-0000-0000-0000F7080000}"/>
    <cellStyle name="Comma 4 2 5 8 2 2" xfId="42515" xr:uid="{26870170-25FE-4C5E-A5BE-4BB525AD44E9}"/>
    <cellStyle name="Comma 4 2 5 8 2 3" xfId="34068" xr:uid="{D572E3A5-FFB1-408A-822D-463ABAB7592F}"/>
    <cellStyle name="Comma 4 2 5 8 2 4" xfId="25620" xr:uid="{B6480E27-2585-4063-BBF4-1C23AFA80462}"/>
    <cellStyle name="Comma 4 2 5 8 2 5" xfId="16323" xr:uid="{0DE91A50-535C-4093-95ED-DBC086829AE4}"/>
    <cellStyle name="Comma 4 2 5 8 3" xfId="38298" xr:uid="{2CF278EC-FF38-4FC5-AFA2-A805719CD6B3}"/>
    <cellStyle name="Comma 4 2 5 8 4" xfId="29850" xr:uid="{ABCFEC55-A4EB-4F49-8181-ED4009F855BD}"/>
    <cellStyle name="Comma 4 2 5 8 5" xfId="21403" xr:uid="{25DB62E6-5A9A-4B4F-9FA5-C148814C4110}"/>
    <cellStyle name="Comma 4 2 5 8 6" xfId="12106" xr:uid="{D2EF0FD4-1CBE-4C38-8513-464CEB9E38D3}"/>
    <cellStyle name="Comma 4 2 5 9" xfId="4614" xr:uid="{00000000-0005-0000-0000-0000F8080000}"/>
    <cellStyle name="Comma 4 2 5 9 2" xfId="40132" xr:uid="{2BB0358B-9379-4984-BEBD-F5B51FC98BCE}"/>
    <cellStyle name="Comma 4 2 5 9 3" xfId="31685" xr:uid="{5BC2946B-2748-44AC-AB4C-347CA85E95C5}"/>
    <cellStyle name="Comma 4 2 5 9 4" xfId="23237" xr:uid="{652079B5-97DD-4C9B-A9FE-30D7C8B2FBBF}"/>
    <cellStyle name="Comma 4 2 5 9 5" xfId="13940" xr:uid="{EF414DF3-657D-4E76-945E-73FDFB73C7F7}"/>
    <cellStyle name="Comma 4 2 6" xfId="143" xr:uid="{00000000-0005-0000-0000-0000F9080000}"/>
    <cellStyle name="Comma 4 2 6 10" xfId="9177" xr:uid="{A20A3B72-7630-464F-8E57-DA2B9D6E44FB}"/>
    <cellStyle name="Comma 4 2 6 10 2" xfId="35916" xr:uid="{39C824E5-764B-41BC-A0D2-6D7C932A8FAF}"/>
    <cellStyle name="Comma 4 2 6 10 3" xfId="18493" xr:uid="{B94E9DF6-2502-4F88-AD22-1BB4DC11C1AC}"/>
    <cellStyle name="Comma 4 2 6 11" xfId="27468" xr:uid="{7D8EE1D8-B753-44E3-BB26-B4235E82CAC4}"/>
    <cellStyle name="Comma 4 2 6 12" xfId="19021" xr:uid="{99D0C29A-EC94-4D5A-972B-4E62509D6EC8}"/>
    <cellStyle name="Comma 4 2 6 13" xfId="9724" xr:uid="{6BF64005-ADFA-42F9-9317-97C954BCC02F}"/>
    <cellStyle name="Comma 4 2 6 2" xfId="681" xr:uid="{00000000-0005-0000-0000-0000FA080000}"/>
    <cellStyle name="Comma 4 2 6 2 2" xfId="2952" xr:uid="{00000000-0005-0000-0000-0000FB080000}"/>
    <cellStyle name="Comma 4 2 6 2 2 2" xfId="7174" xr:uid="{00000000-0005-0000-0000-0000FC080000}"/>
    <cellStyle name="Comma 4 2 6 2 2 2 2" xfId="42692" xr:uid="{CEE66640-49AB-4277-A7CC-EF6843265336}"/>
    <cellStyle name="Comma 4 2 6 2 2 2 3" xfId="34245" xr:uid="{EF2248A2-4AD1-45BA-934F-AE41556CF3E7}"/>
    <cellStyle name="Comma 4 2 6 2 2 2 4" xfId="25797" xr:uid="{4C6E61FE-99C9-44D9-A702-4FDAD865A265}"/>
    <cellStyle name="Comma 4 2 6 2 2 2 5" xfId="16500" xr:uid="{54C4CC9A-C503-4F79-98EC-22D814F16902}"/>
    <cellStyle name="Comma 4 2 6 2 2 3" xfId="38475" xr:uid="{7B9A4E00-8776-43C1-9543-6D9E3F5699D4}"/>
    <cellStyle name="Comma 4 2 6 2 2 4" xfId="30027" xr:uid="{2BB03F7E-6405-4326-891E-7242E339ABC7}"/>
    <cellStyle name="Comma 4 2 6 2 2 5" xfId="21580" xr:uid="{AED3CFB7-4376-4580-8498-31D17393FB21}"/>
    <cellStyle name="Comma 4 2 6 2 2 6" xfId="12283" xr:uid="{03953519-6A6A-4F88-B466-104F4353F783}"/>
    <cellStyle name="Comma 4 2 6 2 3" xfId="5029" xr:uid="{00000000-0005-0000-0000-0000FD080000}"/>
    <cellStyle name="Comma 4 2 6 2 3 2" xfId="40547" xr:uid="{1406B4C1-8655-471C-86D0-4A867A3C939C}"/>
    <cellStyle name="Comma 4 2 6 2 3 3" xfId="32100" xr:uid="{BD840DC9-B0CA-434A-966C-E46E8596C08D}"/>
    <cellStyle name="Comma 4 2 6 2 3 4" xfId="23652" xr:uid="{B80DB2AE-27AC-42E7-AD17-F11D97564189}"/>
    <cellStyle name="Comma 4 2 6 2 3 5" xfId="14355" xr:uid="{E9F323B3-2E46-4C50-95FA-87E3D1D20451}"/>
    <cellStyle name="Comma 4 2 6 2 4" xfId="9594" xr:uid="{CCB8D3FE-19FC-4F7F-9966-44FD23A1A32A}"/>
    <cellStyle name="Comma 4 2 6 2 4 2" xfId="36330" xr:uid="{72454BC0-E1FC-4821-A8C3-7668525FC8A0}"/>
    <cellStyle name="Comma 4 2 6 2 4 3" xfId="18896" xr:uid="{61C3DA98-9DEB-44AB-9879-AB7FCC13E9AC}"/>
    <cellStyle name="Comma 4 2 6 2 5" xfId="27882" xr:uid="{00847E5D-2853-4284-A335-94C4E7DC2F15}"/>
    <cellStyle name="Comma 4 2 6 2 6" xfId="19435" xr:uid="{6A740E20-91CE-4AD1-AB66-C49BB697D90C}"/>
    <cellStyle name="Comma 4 2 6 2 7" xfId="10138" xr:uid="{D2480D03-B4F3-469C-B937-D4C47BD7AFF8}"/>
    <cellStyle name="Comma 4 2 6 3" xfId="1134" xr:uid="{00000000-0005-0000-0000-0000FE080000}"/>
    <cellStyle name="Comma 4 2 6 3 2" xfId="3365" xr:uid="{00000000-0005-0000-0000-0000FF080000}"/>
    <cellStyle name="Comma 4 2 6 3 2 2" xfId="7587" xr:uid="{00000000-0005-0000-0000-000000090000}"/>
    <cellStyle name="Comma 4 2 6 3 2 2 2" xfId="43105" xr:uid="{C372D663-DB6A-4174-A8F2-DC3A0178E803}"/>
    <cellStyle name="Comma 4 2 6 3 2 2 3" xfId="34658" xr:uid="{5C2E5725-7F1B-4A05-990D-846C4B136696}"/>
    <cellStyle name="Comma 4 2 6 3 2 2 4" xfId="26210" xr:uid="{6A556FAE-519E-4028-83DF-261E70ECE275}"/>
    <cellStyle name="Comma 4 2 6 3 2 2 5" xfId="16913" xr:uid="{B187C584-0E1C-4774-84F2-3ECC9AB21A60}"/>
    <cellStyle name="Comma 4 2 6 3 2 3" xfId="38888" xr:uid="{B88C6D65-62D0-4B23-AF78-192F397C96F5}"/>
    <cellStyle name="Comma 4 2 6 3 2 4" xfId="30440" xr:uid="{41D2AE49-DCF1-4EE8-8625-52623151F3B1}"/>
    <cellStyle name="Comma 4 2 6 3 2 5" xfId="21993" xr:uid="{3A5B512E-5A2B-4C01-95F0-9306E403AEB3}"/>
    <cellStyle name="Comma 4 2 6 3 2 6" xfId="12696" xr:uid="{90A40FD5-250C-4007-8AC2-F29A6287CECC}"/>
    <cellStyle name="Comma 4 2 6 3 3" xfId="5442" xr:uid="{00000000-0005-0000-0000-000001090000}"/>
    <cellStyle name="Comma 4 2 6 3 3 2" xfId="40960" xr:uid="{3C235C21-ADED-4A59-9DFB-EC93652BD6B6}"/>
    <cellStyle name="Comma 4 2 6 3 3 3" xfId="32513" xr:uid="{15C91E0B-C152-410F-B884-17B3E524B2D0}"/>
    <cellStyle name="Comma 4 2 6 3 3 4" xfId="24065" xr:uid="{8977E04E-FF68-47C4-A045-FE4DBD780381}"/>
    <cellStyle name="Comma 4 2 6 3 3 5" xfId="14768" xr:uid="{664E68B3-D3B4-416A-9858-FFB5492C7285}"/>
    <cellStyle name="Comma 4 2 6 3 4" xfId="36743" xr:uid="{4E9EE208-001D-4432-A5DF-48DC6D409537}"/>
    <cellStyle name="Comma 4 2 6 3 5" xfId="28295" xr:uid="{45C00183-729E-4E84-81BB-B53DA70AEC0C}"/>
    <cellStyle name="Comma 4 2 6 3 6" xfId="19848" xr:uid="{ADB211DA-5838-4F21-A1CA-5A5B2A1DF1E3}"/>
    <cellStyle name="Comma 4 2 6 3 7" xfId="10551" xr:uid="{4009DF69-5E68-448F-AC77-D3F0AF3D7999}"/>
    <cellStyle name="Comma 4 2 6 4" xfId="1548" xr:uid="{00000000-0005-0000-0000-000002090000}"/>
    <cellStyle name="Comma 4 2 6 4 2" xfId="3778" xr:uid="{00000000-0005-0000-0000-000003090000}"/>
    <cellStyle name="Comma 4 2 6 4 2 2" xfId="8000" xr:uid="{00000000-0005-0000-0000-000004090000}"/>
    <cellStyle name="Comma 4 2 6 4 2 2 2" xfId="43518" xr:uid="{9C359539-7B3E-4D67-9F20-4E0E31C504BF}"/>
    <cellStyle name="Comma 4 2 6 4 2 2 3" xfId="35071" xr:uid="{47D3E640-A529-4D2E-89C1-C2754447E581}"/>
    <cellStyle name="Comma 4 2 6 4 2 2 4" xfId="26623" xr:uid="{56010A7D-B481-4AA9-9CD6-53A0B70950E0}"/>
    <cellStyle name="Comma 4 2 6 4 2 2 5" xfId="17326" xr:uid="{F95B089D-7F02-4339-B887-C05205ED113F}"/>
    <cellStyle name="Comma 4 2 6 4 2 3" xfId="39301" xr:uid="{29B88971-B07C-47F1-8B41-56504B2D18D3}"/>
    <cellStyle name="Comma 4 2 6 4 2 4" xfId="30853" xr:uid="{F416D869-3AA3-45D3-9250-CA3F5151A0D7}"/>
    <cellStyle name="Comma 4 2 6 4 2 5" xfId="22406" xr:uid="{8FC4F4A0-EEE3-4546-9CDB-3930AEAB1D23}"/>
    <cellStyle name="Comma 4 2 6 4 2 6" xfId="13109" xr:uid="{6D467DAF-CAE9-41E8-80E7-43341E305E92}"/>
    <cellStyle name="Comma 4 2 6 4 3" xfId="5855" xr:uid="{00000000-0005-0000-0000-000005090000}"/>
    <cellStyle name="Comma 4 2 6 4 3 2" xfId="41373" xr:uid="{B214F9DE-3A39-47C4-8920-127C270A02D6}"/>
    <cellStyle name="Comma 4 2 6 4 3 3" xfId="32926" xr:uid="{5324050A-156F-451F-9CAC-0B2EF6D81BC0}"/>
    <cellStyle name="Comma 4 2 6 4 3 4" xfId="24478" xr:uid="{4BE605C9-D1D0-45D4-AA97-92CBA448BFF2}"/>
    <cellStyle name="Comma 4 2 6 4 3 5" xfId="15181" xr:uid="{32CDF665-2AE8-4FE5-B489-FB07E3990E55}"/>
    <cellStyle name="Comma 4 2 6 4 4" xfId="37156" xr:uid="{B1855518-9831-4317-BFA2-DF582E3399DC}"/>
    <cellStyle name="Comma 4 2 6 4 5" xfId="28708" xr:uid="{9FE734A8-C0E7-463F-BCFB-92B343D473B5}"/>
    <cellStyle name="Comma 4 2 6 4 6" xfId="20261" xr:uid="{AA0ADBB0-0D4D-4920-8DE4-F930E698054D}"/>
    <cellStyle name="Comma 4 2 6 4 7" xfId="10964" xr:uid="{717101FB-EB01-4376-8322-718CACF956B6}"/>
    <cellStyle name="Comma 4 2 6 5" xfId="1962" xr:uid="{00000000-0005-0000-0000-000006090000}"/>
    <cellStyle name="Comma 4 2 6 5 2" xfId="4191" xr:uid="{00000000-0005-0000-0000-000007090000}"/>
    <cellStyle name="Comma 4 2 6 5 2 2" xfId="8413" xr:uid="{00000000-0005-0000-0000-000008090000}"/>
    <cellStyle name="Comma 4 2 6 5 2 2 2" xfId="43931" xr:uid="{C143FDF4-C85E-4774-B763-AD9AF0A612C4}"/>
    <cellStyle name="Comma 4 2 6 5 2 2 3" xfId="35484" xr:uid="{884013F6-AD82-4E1A-A76D-12AA92B34B94}"/>
    <cellStyle name="Comma 4 2 6 5 2 2 4" xfId="27036" xr:uid="{3C02109A-3373-4C03-999D-86C84A0ABBBD}"/>
    <cellStyle name="Comma 4 2 6 5 2 2 5" xfId="17739" xr:uid="{E0488DBC-EFC0-4BCC-8E48-F174F05D8AC3}"/>
    <cellStyle name="Comma 4 2 6 5 2 3" xfId="39714" xr:uid="{470A4FB0-C782-4553-939A-F947EB273137}"/>
    <cellStyle name="Comma 4 2 6 5 2 4" xfId="31266" xr:uid="{A291F656-72AF-45D5-A1AE-21F57EAB331D}"/>
    <cellStyle name="Comma 4 2 6 5 2 5" xfId="22819" xr:uid="{D7276F6B-DE5F-407D-8FC1-A069FADE12C2}"/>
    <cellStyle name="Comma 4 2 6 5 2 6" xfId="13522" xr:uid="{877151EB-8134-4A61-B380-BFD086F64A6F}"/>
    <cellStyle name="Comma 4 2 6 5 3" xfId="6268" xr:uid="{00000000-0005-0000-0000-000009090000}"/>
    <cellStyle name="Comma 4 2 6 5 3 2" xfId="41786" xr:uid="{A294ADDD-6069-44D0-AF38-AE36335CDE19}"/>
    <cellStyle name="Comma 4 2 6 5 3 3" xfId="33339" xr:uid="{B85655B9-8A1C-4C8B-87F6-0FF63C77AF44}"/>
    <cellStyle name="Comma 4 2 6 5 3 4" xfId="24891" xr:uid="{FF2998D2-D0F9-45FD-822C-56406594F67F}"/>
    <cellStyle name="Comma 4 2 6 5 3 5" xfId="15594" xr:uid="{F36DE622-EF5E-4207-87D6-81FED86F6966}"/>
    <cellStyle name="Comma 4 2 6 5 4" xfId="37569" xr:uid="{C1737182-0774-41B5-980B-098303682D79}"/>
    <cellStyle name="Comma 4 2 6 5 5" xfId="29121" xr:uid="{8DADADDA-F41B-4560-A78A-4ED419CB713D}"/>
    <cellStyle name="Comma 4 2 6 5 6" xfId="20674" xr:uid="{501D6467-0C80-4631-85DE-00A7A2ECB896}"/>
    <cellStyle name="Comma 4 2 6 5 7" xfId="11377" xr:uid="{12242E52-972D-4689-9ACB-C3B2040512E5}"/>
    <cellStyle name="Comma 4 2 6 6" xfId="2397" xr:uid="{00000000-0005-0000-0000-00000A090000}"/>
    <cellStyle name="Comma 4 2 6 6 2" xfId="6681" xr:uid="{00000000-0005-0000-0000-00000B090000}"/>
    <cellStyle name="Comma 4 2 6 6 2 2" xfId="42199" xr:uid="{006DA245-393A-4FEE-8213-DC10F6A6A3EF}"/>
    <cellStyle name="Comma 4 2 6 6 2 3" xfId="33752" xr:uid="{8341A0BA-346D-4A22-B8A5-AEC3876FAF77}"/>
    <cellStyle name="Comma 4 2 6 6 2 4" xfId="25304" xr:uid="{AAEBFADC-414E-40A2-9032-5F65F2101B88}"/>
    <cellStyle name="Comma 4 2 6 6 2 5" xfId="16007" xr:uid="{1FDF20B0-1458-4EA0-AC5F-3C5506CE747A}"/>
    <cellStyle name="Comma 4 2 6 6 3" xfId="37982" xr:uid="{B17C13D0-05C5-4ED7-8273-E98893656C08}"/>
    <cellStyle name="Comma 4 2 6 6 4" xfId="29534" xr:uid="{6C643069-00F3-4E73-99F9-BF89120A37C7}"/>
    <cellStyle name="Comma 4 2 6 6 5" xfId="21087" xr:uid="{5418A1FA-9F3E-43DB-82F4-F2BA584CC719}"/>
    <cellStyle name="Comma 4 2 6 6 6" xfId="11790" xr:uid="{463E2070-0050-4E95-BC35-035D5B03D9B3}"/>
    <cellStyle name="Comma 4 2 6 7" xfId="2366" xr:uid="{00000000-0005-0000-0000-00000C090000}"/>
    <cellStyle name="Comma 4 2 6 8" xfId="2775" xr:uid="{00000000-0005-0000-0000-00000D090000}"/>
    <cellStyle name="Comma 4 2 6 8 2" xfId="6998" xr:uid="{00000000-0005-0000-0000-00000E090000}"/>
    <cellStyle name="Comma 4 2 6 8 2 2" xfId="42516" xr:uid="{58CAAF4E-B43F-417F-BE78-19440D951EA0}"/>
    <cellStyle name="Comma 4 2 6 8 2 3" xfId="34069" xr:uid="{BD871673-E551-4321-B90A-4D280E538CF9}"/>
    <cellStyle name="Comma 4 2 6 8 2 4" xfId="25621" xr:uid="{DF22FD3F-4971-4462-B8D8-941715E6B8A2}"/>
    <cellStyle name="Comma 4 2 6 8 2 5" xfId="16324" xr:uid="{574A4D19-D8EB-4CB0-BEF8-BA1B1B073BC1}"/>
    <cellStyle name="Comma 4 2 6 8 3" xfId="38299" xr:uid="{20F58761-02E4-4FA3-86AF-A31BCD43DF48}"/>
    <cellStyle name="Comma 4 2 6 8 4" xfId="29851" xr:uid="{CFC0B359-7135-42A9-B109-75FEB74F0B8E}"/>
    <cellStyle name="Comma 4 2 6 8 5" xfId="21404" xr:uid="{85C723AF-575A-4E7F-94D5-DB8CD9F899EE}"/>
    <cellStyle name="Comma 4 2 6 8 6" xfId="12107" xr:uid="{B30032CE-B874-446C-A911-ADD2EB437A42}"/>
    <cellStyle name="Comma 4 2 6 9" xfId="4615" xr:uid="{00000000-0005-0000-0000-00000F090000}"/>
    <cellStyle name="Comma 4 2 6 9 2" xfId="40133" xr:uid="{C5129626-48B6-4283-BA56-53063B6D14EF}"/>
    <cellStyle name="Comma 4 2 6 9 3" xfId="31686" xr:uid="{F8D70C55-8510-43E9-8355-E38E806F2E6B}"/>
    <cellStyle name="Comma 4 2 6 9 4" xfId="23238" xr:uid="{FD55F345-E95F-46FE-AB99-1566A8DF273E}"/>
    <cellStyle name="Comma 4 2 6 9 5" xfId="13941" xr:uid="{45AEF9EB-7077-4C1C-A6A3-44A9A2ABBB11}"/>
    <cellStyle name="Comma 4 2 7" xfId="9190" xr:uid="{C8B7F6BD-E2DD-41C7-A6AF-A5C7B900A7ED}"/>
    <cellStyle name="Comma 4 2 8" xfId="8755" xr:uid="{40286204-C766-4116-8542-387551AD6364}"/>
    <cellStyle name="Comma 4 2 8 2" xfId="18078" xr:uid="{ECE083F2-94E7-4821-9014-5746BAE0DC4D}"/>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42517" xr:uid="{C34657CD-F63A-43AA-9172-3F6E42447602}"/>
    <cellStyle name="Comma 4 3 2 10 2 3" xfId="34070" xr:uid="{E68393B5-BE68-4302-8A1D-45766297ED00}"/>
    <cellStyle name="Comma 4 3 2 10 2 4" xfId="25622" xr:uid="{09FA8F39-126E-4694-B23D-E8431BE48999}"/>
    <cellStyle name="Comma 4 3 2 10 2 5" xfId="16325" xr:uid="{E78576C3-02BF-4734-AF90-48B0C9E675F4}"/>
    <cellStyle name="Comma 4 3 2 10 3" xfId="38300" xr:uid="{64C8EDF8-8BFC-4060-AAE1-746BA776B574}"/>
    <cellStyle name="Comma 4 3 2 10 4" xfId="29852" xr:uid="{D5E3B275-596A-424A-BC76-A76061AC2EA8}"/>
    <cellStyle name="Comma 4 3 2 10 5" xfId="21405" xr:uid="{3D82799F-30E2-4783-9D4E-80FCABB483AF}"/>
    <cellStyle name="Comma 4 3 2 10 6" xfId="12108" xr:uid="{076AADCC-218A-4A0A-AC49-93597B892F8B}"/>
    <cellStyle name="Comma 4 3 2 11" xfId="4616" xr:uid="{00000000-0005-0000-0000-000014090000}"/>
    <cellStyle name="Comma 4 3 2 11 2" xfId="40134" xr:uid="{EF0AA2FB-DB8E-4B4C-A0F2-286B092BDA9F}"/>
    <cellStyle name="Comma 4 3 2 11 3" xfId="31687" xr:uid="{E8A87D9D-F26D-4A47-8317-E277931D6306}"/>
    <cellStyle name="Comma 4 3 2 11 4" xfId="23239" xr:uid="{E10FC1DE-D181-45FB-875C-EAF0003602F8}"/>
    <cellStyle name="Comma 4 3 2 11 5" xfId="13942" xr:uid="{59BAEA8D-A4BC-48E4-B12A-78AAA8D546F2}"/>
    <cellStyle name="Comma 4 3 2 12" xfId="8807" xr:uid="{5C5EF314-D0DB-425B-AE7D-D52FEEE90EC1}"/>
    <cellStyle name="Comma 4 3 2 12 2" xfId="35917" xr:uid="{65714D61-952C-45E5-8FC2-B3E082A4C824}"/>
    <cellStyle name="Comma 4 3 2 12 3" xfId="18130" xr:uid="{05D6B06F-A2DA-424D-8A45-E6C97379D0C2}"/>
    <cellStyle name="Comma 4 3 2 13" xfId="27469" xr:uid="{A074C908-EFE2-4DD8-805E-05D2AB39F5CF}"/>
    <cellStyle name="Comma 4 3 2 14" xfId="19022" xr:uid="{819CC404-13EC-4D78-9D0B-64345A392CDE}"/>
    <cellStyle name="Comma 4 3 2 15" xfId="9725" xr:uid="{C33483C5-CB08-444F-81D7-75D9D16E014C}"/>
    <cellStyle name="Comma 4 3 2 2" xfId="146" xr:uid="{00000000-0005-0000-0000-000015090000}"/>
    <cellStyle name="Comma 4 3 2 2 10" xfId="4617" xr:uid="{00000000-0005-0000-0000-000016090000}"/>
    <cellStyle name="Comma 4 3 2 2 10 2" xfId="40135" xr:uid="{78B7B035-DD54-48F6-99B3-144FA6CB1A4B}"/>
    <cellStyle name="Comma 4 3 2 2 10 3" xfId="31688" xr:uid="{702C0391-0A2F-4820-8F5C-AC63C11470EE}"/>
    <cellStyle name="Comma 4 3 2 2 10 4" xfId="23240" xr:uid="{7609A824-5947-4401-B4A6-46218EBC392E}"/>
    <cellStyle name="Comma 4 3 2 2 10 5" xfId="13943" xr:uid="{E4AB9B3D-B800-48E4-A9E0-1EE4FE8097CA}"/>
    <cellStyle name="Comma 4 3 2 2 11" xfId="8910" xr:uid="{15019DD0-71A0-438D-B796-68DE42B22692}"/>
    <cellStyle name="Comma 4 3 2 2 11 2" xfId="35918" xr:uid="{45231B49-1C9C-4904-B1E5-9096F9E594CE}"/>
    <cellStyle name="Comma 4 3 2 2 11 3" xfId="18233" xr:uid="{27049E8E-B1B5-4274-B89C-A132E9590CFD}"/>
    <cellStyle name="Comma 4 3 2 2 12" xfId="27470" xr:uid="{71D657E4-FAEF-4730-9507-8C2079B48C58}"/>
    <cellStyle name="Comma 4 3 2 2 13" xfId="19023" xr:uid="{B858025F-D0FD-4C5B-9507-3C6DF5315F58}"/>
    <cellStyle name="Comma 4 3 2 2 14" xfId="9726" xr:uid="{EBA2453D-582B-45B6-B72A-F5E37EB52321}"/>
    <cellStyle name="Comma 4 3 2 2 2" xfId="147" xr:uid="{00000000-0005-0000-0000-000017090000}"/>
    <cellStyle name="Comma 4 3 2 2 2 10" xfId="9117" xr:uid="{1409F531-DBF2-41E0-9C74-F9317358BA15}"/>
    <cellStyle name="Comma 4 3 2 2 2 10 2" xfId="35919" xr:uid="{54FE59DE-4C1E-4BD9-B2BD-8604A6B16C2F}"/>
    <cellStyle name="Comma 4 3 2 2 2 10 3" xfId="18440" xr:uid="{FF89E6AF-39AC-409A-BD4D-B76A3DC806D4}"/>
    <cellStyle name="Comma 4 3 2 2 2 11" xfId="27471" xr:uid="{F9A6A965-57A7-4A78-9936-B44A5981800D}"/>
    <cellStyle name="Comma 4 3 2 2 2 12" xfId="19024" xr:uid="{13E89E40-C098-4C17-B639-3F54ECEC70BC}"/>
    <cellStyle name="Comma 4 3 2 2 2 13" xfId="9727" xr:uid="{2628EEBA-5003-44BF-A404-C7E9E64B1485}"/>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42695" xr:uid="{A6E2BD21-E3AD-4396-A2CB-D8B1D7D11D1E}"/>
    <cellStyle name="Comma 4 3 2 2 2 2 2 2 3" xfId="34248" xr:uid="{2CD95C43-4539-4035-84B7-77EA88671FD3}"/>
    <cellStyle name="Comma 4 3 2 2 2 2 2 2 4" xfId="25800" xr:uid="{1DD80389-9310-4195-914C-FF03CE4F111A}"/>
    <cellStyle name="Comma 4 3 2 2 2 2 2 2 5" xfId="16503" xr:uid="{1480FC70-9EEC-413E-82F7-025CDFA825E6}"/>
    <cellStyle name="Comma 4 3 2 2 2 2 2 3" xfId="38478" xr:uid="{5565F2FB-5D11-43B7-A81C-AB55D88DF16E}"/>
    <cellStyle name="Comma 4 3 2 2 2 2 2 4" xfId="30030" xr:uid="{F9F41A66-E266-46BD-B213-A38AC748FEEB}"/>
    <cellStyle name="Comma 4 3 2 2 2 2 2 5" xfId="21583" xr:uid="{B38F372C-E3C7-40D2-A1A0-0D0B45533A7A}"/>
    <cellStyle name="Comma 4 3 2 2 2 2 2 6" xfId="12286" xr:uid="{9034DAFE-C675-4892-BFA6-DB6A9AC3AA1E}"/>
    <cellStyle name="Comma 4 3 2 2 2 2 3" xfId="5032" xr:uid="{00000000-0005-0000-0000-00001B090000}"/>
    <cellStyle name="Comma 4 3 2 2 2 2 3 2" xfId="40550" xr:uid="{6A3BC411-4F75-4945-A9F2-1DA40D44FBB9}"/>
    <cellStyle name="Comma 4 3 2 2 2 2 3 3" xfId="32103" xr:uid="{1AAFB8B9-417D-4216-9912-4B84639D42CB}"/>
    <cellStyle name="Comma 4 3 2 2 2 2 3 4" xfId="23655" xr:uid="{7DCB02BB-A61C-41E4-A1D6-54A6B99DA1A8}"/>
    <cellStyle name="Comma 4 3 2 2 2 2 3 5" xfId="14358" xr:uid="{27E88B60-6FCC-4FA8-B862-D8AE269B298B}"/>
    <cellStyle name="Comma 4 3 2 2 2 2 4" xfId="9542" xr:uid="{26CD77CC-F017-4839-8245-BBF245D45E53}"/>
    <cellStyle name="Comma 4 3 2 2 2 2 4 2" xfId="36333" xr:uid="{855621E6-BDF3-4418-A686-3E89CD340658}"/>
    <cellStyle name="Comma 4 3 2 2 2 2 4 3" xfId="18855" xr:uid="{2B9D67A6-49D7-4A33-A6B4-DF57025C49B3}"/>
    <cellStyle name="Comma 4 3 2 2 2 2 5" xfId="27885" xr:uid="{08377675-6B15-47BF-A4A9-7E16DE2FD560}"/>
    <cellStyle name="Comma 4 3 2 2 2 2 6" xfId="19438" xr:uid="{F9713B22-2C62-43D1-9ED3-B34DBEECF26B}"/>
    <cellStyle name="Comma 4 3 2 2 2 2 7" xfId="10141" xr:uid="{D64CF1BE-A4E1-417B-B004-F443CC752DB1}"/>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43108" xr:uid="{C406707E-7EED-4420-A5CA-487A678B9174}"/>
    <cellStyle name="Comma 4 3 2 2 2 3 2 2 3" xfId="34661" xr:uid="{A5BA99C5-249A-4036-8397-C80B6B411CDF}"/>
    <cellStyle name="Comma 4 3 2 2 2 3 2 2 4" xfId="26213" xr:uid="{89C66233-2FD9-47C6-B7C8-BCBADB3DDD02}"/>
    <cellStyle name="Comma 4 3 2 2 2 3 2 2 5" xfId="16916" xr:uid="{577DF8C8-F194-449D-9230-4132D7A3B6EB}"/>
    <cellStyle name="Comma 4 3 2 2 2 3 2 3" xfId="38891" xr:uid="{0C9F0DC4-13A4-44EC-B801-CEDB9B68EF3C}"/>
    <cellStyle name="Comma 4 3 2 2 2 3 2 4" xfId="30443" xr:uid="{853FBE56-D32F-4BC1-B8B3-AFEE6874DEEF}"/>
    <cellStyle name="Comma 4 3 2 2 2 3 2 5" xfId="21996" xr:uid="{3F015DD8-1D0C-43D5-86F5-A5F393BF07E2}"/>
    <cellStyle name="Comma 4 3 2 2 2 3 2 6" xfId="12699" xr:uid="{8C3126B5-FA2E-490F-9BD6-7EE4BFB3C5D4}"/>
    <cellStyle name="Comma 4 3 2 2 2 3 3" xfId="5445" xr:uid="{00000000-0005-0000-0000-00001F090000}"/>
    <cellStyle name="Comma 4 3 2 2 2 3 3 2" xfId="40963" xr:uid="{F8CDDC43-9517-4EFB-B1EF-D2E318B0808C}"/>
    <cellStyle name="Comma 4 3 2 2 2 3 3 3" xfId="32516" xr:uid="{2F1A25A8-FB04-43D5-A237-8A4D24148C1A}"/>
    <cellStyle name="Comma 4 3 2 2 2 3 3 4" xfId="24068" xr:uid="{0B62663C-2103-4C3D-A7BF-FC424C0255FC}"/>
    <cellStyle name="Comma 4 3 2 2 2 3 3 5" xfId="14771" xr:uid="{4CE85ADF-DFD6-4578-96AE-CEE4B71FA04E}"/>
    <cellStyle name="Comma 4 3 2 2 2 3 4" xfId="36746" xr:uid="{4E3EFCE0-90BA-4758-BBDA-52A0F15CDD9C}"/>
    <cellStyle name="Comma 4 3 2 2 2 3 5" xfId="28298" xr:uid="{CCD1DE5C-2885-488E-BB22-CA5048582F7B}"/>
    <cellStyle name="Comma 4 3 2 2 2 3 6" xfId="19851" xr:uid="{03669B23-F721-4DE9-8391-ADABBA9BA27A}"/>
    <cellStyle name="Comma 4 3 2 2 2 3 7" xfId="10554" xr:uid="{038613A0-24E9-4E97-AAC7-4895C7E198B1}"/>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43521" xr:uid="{004FDF97-F68B-486E-8984-DA0D47D8EC99}"/>
    <cellStyle name="Comma 4 3 2 2 2 4 2 2 3" xfId="35074" xr:uid="{B1296B5E-FDA4-4203-9113-EB02F87B3F55}"/>
    <cellStyle name="Comma 4 3 2 2 2 4 2 2 4" xfId="26626" xr:uid="{BBEEB1B2-B540-49C2-B3F7-023A13241516}"/>
    <cellStyle name="Comma 4 3 2 2 2 4 2 2 5" xfId="17329" xr:uid="{F1A8077A-5ACB-410F-B114-D06DD5143C15}"/>
    <cellStyle name="Comma 4 3 2 2 2 4 2 3" xfId="39304" xr:uid="{77A4B01C-6E8F-4745-A6FC-DF238460EDED}"/>
    <cellStyle name="Comma 4 3 2 2 2 4 2 4" xfId="30856" xr:uid="{ECEB1E01-2558-471F-991F-28A52885CA41}"/>
    <cellStyle name="Comma 4 3 2 2 2 4 2 5" xfId="22409" xr:uid="{E92F925B-0B85-490D-A095-BCAA868D92EB}"/>
    <cellStyle name="Comma 4 3 2 2 2 4 2 6" xfId="13112" xr:uid="{CFF5681F-9D19-43DC-8EB8-339E938D2E50}"/>
    <cellStyle name="Comma 4 3 2 2 2 4 3" xfId="5858" xr:uid="{00000000-0005-0000-0000-000023090000}"/>
    <cellStyle name="Comma 4 3 2 2 2 4 3 2" xfId="41376" xr:uid="{6C22B391-CB93-457A-9428-5FCB9CEFE161}"/>
    <cellStyle name="Comma 4 3 2 2 2 4 3 3" xfId="32929" xr:uid="{E3C6951D-1281-486F-A240-840C40355E28}"/>
    <cellStyle name="Comma 4 3 2 2 2 4 3 4" xfId="24481" xr:uid="{A4F3F27C-A32E-4D12-BE0D-C2B6FC1BD522}"/>
    <cellStyle name="Comma 4 3 2 2 2 4 3 5" xfId="15184" xr:uid="{EBE8DA7A-7936-40DC-8CA3-8E46E7F59D4E}"/>
    <cellStyle name="Comma 4 3 2 2 2 4 4" xfId="37159" xr:uid="{8B9F08FA-6CFA-43BC-A58F-8C885DD0F27B}"/>
    <cellStyle name="Comma 4 3 2 2 2 4 5" xfId="28711" xr:uid="{134EAB6F-BE33-4688-9EF7-FC6B433D0D56}"/>
    <cellStyle name="Comma 4 3 2 2 2 4 6" xfId="20264" xr:uid="{FC52F79C-334E-4AE8-967D-BCAF30557EE0}"/>
    <cellStyle name="Comma 4 3 2 2 2 4 7" xfId="10967" xr:uid="{022D3901-6DE8-4202-95A3-F2028083BF79}"/>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43934" xr:uid="{053B7DF1-003B-4C7A-A823-165E09D6729E}"/>
    <cellStyle name="Comma 4 3 2 2 2 5 2 2 3" xfId="35487" xr:uid="{7905CEB3-170D-4474-AAED-D26F2C444CD3}"/>
    <cellStyle name="Comma 4 3 2 2 2 5 2 2 4" xfId="27039" xr:uid="{02295BA4-18A4-43C7-AAED-F9EE2660E2FE}"/>
    <cellStyle name="Comma 4 3 2 2 2 5 2 2 5" xfId="17742" xr:uid="{9E86B888-B770-4BD1-B8A0-8AE8B28A1ECF}"/>
    <cellStyle name="Comma 4 3 2 2 2 5 2 3" xfId="39717" xr:uid="{E3D34316-2E4B-49E5-B5BF-21B96B174A9F}"/>
    <cellStyle name="Comma 4 3 2 2 2 5 2 4" xfId="31269" xr:uid="{4BF5ED0A-D4F8-4639-A173-3FD1E8261769}"/>
    <cellStyle name="Comma 4 3 2 2 2 5 2 5" xfId="22822" xr:uid="{49A54BBD-A990-4438-8539-F92ADED26050}"/>
    <cellStyle name="Comma 4 3 2 2 2 5 2 6" xfId="13525" xr:uid="{7C683522-DAFE-4C8E-BAF8-80C740E37AE4}"/>
    <cellStyle name="Comma 4 3 2 2 2 5 3" xfId="6271" xr:uid="{00000000-0005-0000-0000-000027090000}"/>
    <cellStyle name="Comma 4 3 2 2 2 5 3 2" xfId="41789" xr:uid="{32C3B381-B5BE-421D-ABE1-F8BC0400206C}"/>
    <cellStyle name="Comma 4 3 2 2 2 5 3 3" xfId="33342" xr:uid="{73AE7967-D989-4D47-A077-970D24C58D1E}"/>
    <cellStyle name="Comma 4 3 2 2 2 5 3 4" xfId="24894" xr:uid="{024695C4-A060-4F63-8F60-15CDE1218DF4}"/>
    <cellStyle name="Comma 4 3 2 2 2 5 3 5" xfId="15597" xr:uid="{01FAA434-7CC1-4A42-9AFB-471702EAA3B9}"/>
    <cellStyle name="Comma 4 3 2 2 2 5 4" xfId="37572" xr:uid="{AE8D53E9-1B33-4AB9-8C05-A1C6BFC438F2}"/>
    <cellStyle name="Comma 4 3 2 2 2 5 5" xfId="29124" xr:uid="{047448AD-7952-473E-ACBF-870C53BD8871}"/>
    <cellStyle name="Comma 4 3 2 2 2 5 6" xfId="20677" xr:uid="{19A86648-8829-48C0-BD15-3F48EBB58078}"/>
    <cellStyle name="Comma 4 3 2 2 2 5 7" xfId="11380" xr:uid="{5B6C3A51-C6DC-449A-B2CB-7E2C192A36AC}"/>
    <cellStyle name="Comma 4 3 2 2 2 6" xfId="2400" xr:uid="{00000000-0005-0000-0000-000028090000}"/>
    <cellStyle name="Comma 4 3 2 2 2 6 2" xfId="6684" xr:uid="{00000000-0005-0000-0000-000029090000}"/>
    <cellStyle name="Comma 4 3 2 2 2 6 2 2" xfId="42202" xr:uid="{4559FABC-8E6A-4B4E-B215-5DE8B155522E}"/>
    <cellStyle name="Comma 4 3 2 2 2 6 2 3" xfId="33755" xr:uid="{04C49D6B-5CB5-4683-B899-EC3F520E0E1A}"/>
    <cellStyle name="Comma 4 3 2 2 2 6 2 4" xfId="25307" xr:uid="{32F9F4B8-5A3E-4B6A-837B-280492260916}"/>
    <cellStyle name="Comma 4 3 2 2 2 6 2 5" xfId="16010" xr:uid="{5523385C-D28F-4C72-A2EB-EEB2220130BC}"/>
    <cellStyle name="Comma 4 3 2 2 2 6 3" xfId="37985" xr:uid="{C7A911F2-903D-4D42-8920-7B9F9C2BF780}"/>
    <cellStyle name="Comma 4 3 2 2 2 6 4" xfId="29537" xr:uid="{8C3C4D53-95F3-4435-B347-B842B7456FAE}"/>
    <cellStyle name="Comma 4 3 2 2 2 6 5" xfId="21090" xr:uid="{7E62E122-C617-4806-94A3-1C6C74A9920F}"/>
    <cellStyle name="Comma 4 3 2 2 2 6 6" xfId="11793" xr:uid="{7403B9E2-E116-4450-B41B-D828040BE5B3}"/>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42519" xr:uid="{4D182980-372C-4BE7-B9FF-CBEB5A624ABF}"/>
    <cellStyle name="Comma 4 3 2 2 2 8 2 3" xfId="34072" xr:uid="{80DEE93B-77D1-4992-AD1E-92D9A6B876DA}"/>
    <cellStyle name="Comma 4 3 2 2 2 8 2 4" xfId="25624" xr:uid="{67B727D5-6095-4C42-A57F-EE4743133E43}"/>
    <cellStyle name="Comma 4 3 2 2 2 8 2 5" xfId="16327" xr:uid="{DF0704EF-C428-49D5-A161-98E7AB51B92F}"/>
    <cellStyle name="Comma 4 3 2 2 2 8 3" xfId="38302" xr:uid="{6544C895-44C7-4654-86DB-EEAEF9F6360A}"/>
    <cellStyle name="Comma 4 3 2 2 2 8 4" xfId="29854" xr:uid="{0ABD00F1-7619-4CA7-A5E2-FA50C479B818}"/>
    <cellStyle name="Comma 4 3 2 2 2 8 5" xfId="21407" xr:uid="{AA5E7005-8520-4EE1-AC77-D066B91FF8C9}"/>
    <cellStyle name="Comma 4 3 2 2 2 8 6" xfId="12110" xr:uid="{E3BF4CD0-F414-4835-9F6A-8A51CAD8BE10}"/>
    <cellStyle name="Comma 4 3 2 2 2 9" xfId="4618" xr:uid="{00000000-0005-0000-0000-00002D090000}"/>
    <cellStyle name="Comma 4 3 2 2 2 9 2" xfId="40136" xr:uid="{7D765318-14C3-4E58-B840-9DB5AB35AECE}"/>
    <cellStyle name="Comma 4 3 2 2 2 9 3" xfId="31689" xr:uid="{0A9FD658-2833-4C34-912D-A5A779603EF7}"/>
    <cellStyle name="Comma 4 3 2 2 2 9 4" xfId="23241" xr:uid="{2CCF575A-2B4E-4B74-92BC-96B414F93255}"/>
    <cellStyle name="Comma 4 3 2 2 2 9 5" xfId="13944" xr:uid="{55F60B3D-5C62-4212-A7F8-C03D23E57FCE}"/>
    <cellStyle name="Comma 4 3 2 2 3" xfId="683" xr:uid="{00000000-0005-0000-0000-00002E090000}"/>
    <cellStyle name="Comma 4 3 2 2 3 2" xfId="2954" xr:uid="{00000000-0005-0000-0000-00002F090000}"/>
    <cellStyle name="Comma 4 3 2 2 3 2 2" xfId="7176" xr:uid="{00000000-0005-0000-0000-000030090000}"/>
    <cellStyle name="Comma 4 3 2 2 3 2 2 2" xfId="42694" xr:uid="{19229383-4F11-4467-A569-349036FB9EB4}"/>
    <cellStyle name="Comma 4 3 2 2 3 2 2 3" xfId="34247" xr:uid="{7867FE4C-4373-44DC-90E9-1E464FB65BF7}"/>
    <cellStyle name="Comma 4 3 2 2 3 2 2 4" xfId="25799" xr:uid="{BAC02EB2-7F39-4B45-99F3-F4E205F473F1}"/>
    <cellStyle name="Comma 4 3 2 2 3 2 2 5" xfId="16502" xr:uid="{DB8B7B1C-1E15-4E2F-88F1-8B12A9C41D9F}"/>
    <cellStyle name="Comma 4 3 2 2 3 2 3" xfId="38477" xr:uid="{D3ED11C4-2E6D-40F8-B367-61E64C036589}"/>
    <cellStyle name="Comma 4 3 2 2 3 2 4" xfId="30029" xr:uid="{435E08E4-4110-4286-8D6C-0D51423717E8}"/>
    <cellStyle name="Comma 4 3 2 2 3 2 5" xfId="21582" xr:uid="{4FF0D8FC-EDBE-4363-A4C0-6E21577A2812}"/>
    <cellStyle name="Comma 4 3 2 2 3 2 6" xfId="12285" xr:uid="{EE49CFAF-EB23-4A8E-A3BC-8280F680E2C5}"/>
    <cellStyle name="Comma 4 3 2 2 3 3" xfId="5031" xr:uid="{00000000-0005-0000-0000-000031090000}"/>
    <cellStyle name="Comma 4 3 2 2 3 3 2" xfId="40549" xr:uid="{FFB78AAE-93FB-4A7F-A718-981D1F096B0E}"/>
    <cellStyle name="Comma 4 3 2 2 3 3 3" xfId="32102" xr:uid="{EED41893-8D37-4CE1-A560-56AABAB27078}"/>
    <cellStyle name="Comma 4 3 2 2 3 3 4" xfId="23654" xr:uid="{1B545AD8-AF9B-42A8-A9B3-7F7D4CA7D4A1}"/>
    <cellStyle name="Comma 4 3 2 2 3 3 5" xfId="14357" xr:uid="{7AFB32F6-C004-4E6B-8AC7-708A78E1F6F2}"/>
    <cellStyle name="Comma 4 3 2 2 3 4" xfId="9335" xr:uid="{BACD532B-C811-4076-B107-03E74D1B7113}"/>
    <cellStyle name="Comma 4 3 2 2 3 4 2" xfId="36332" xr:uid="{22D35413-53EF-45F9-987C-09FF7DBE9325}"/>
    <cellStyle name="Comma 4 3 2 2 3 4 3" xfId="18648" xr:uid="{EAA5466E-65F1-49CF-92E4-2E739F63CBC5}"/>
    <cellStyle name="Comma 4 3 2 2 3 5" xfId="27884" xr:uid="{BB997741-5907-42C7-999F-3CC053564404}"/>
    <cellStyle name="Comma 4 3 2 2 3 6" xfId="19437" xr:uid="{E61F9652-B77B-443D-8814-A9EC33CD4C06}"/>
    <cellStyle name="Comma 4 3 2 2 3 7" xfId="10140" xr:uid="{745D9E82-2F7D-4B23-897F-F5183C2A9AE6}"/>
    <cellStyle name="Comma 4 3 2 2 4" xfId="1136" xr:uid="{00000000-0005-0000-0000-000032090000}"/>
    <cellStyle name="Comma 4 3 2 2 4 2" xfId="3367" xr:uid="{00000000-0005-0000-0000-000033090000}"/>
    <cellStyle name="Comma 4 3 2 2 4 2 2" xfId="7589" xr:uid="{00000000-0005-0000-0000-000034090000}"/>
    <cellStyle name="Comma 4 3 2 2 4 2 2 2" xfId="43107" xr:uid="{644F79AE-273D-4150-9F6D-48332DEC3A74}"/>
    <cellStyle name="Comma 4 3 2 2 4 2 2 3" xfId="34660" xr:uid="{D1447002-60FA-4A89-B7E0-0C48E104CACA}"/>
    <cellStyle name="Comma 4 3 2 2 4 2 2 4" xfId="26212" xr:uid="{5AE23634-5FCC-4D2C-AC0B-AC2A7ED0DD1F}"/>
    <cellStyle name="Comma 4 3 2 2 4 2 2 5" xfId="16915" xr:uid="{B105544E-FBE0-442E-B80C-C8AE56907FD9}"/>
    <cellStyle name="Comma 4 3 2 2 4 2 3" xfId="38890" xr:uid="{9C2959F1-071C-48B0-948B-16BEDB65A1F9}"/>
    <cellStyle name="Comma 4 3 2 2 4 2 4" xfId="30442" xr:uid="{92F47A8D-FB07-4071-A4DF-8EBA1F2CADD2}"/>
    <cellStyle name="Comma 4 3 2 2 4 2 5" xfId="21995" xr:uid="{1686795D-42E9-4236-8391-9907A969836D}"/>
    <cellStyle name="Comma 4 3 2 2 4 2 6" xfId="12698" xr:uid="{02038C76-F87C-4051-99F3-E63A6F63D7D5}"/>
    <cellStyle name="Comma 4 3 2 2 4 3" xfId="5444" xr:uid="{00000000-0005-0000-0000-000035090000}"/>
    <cellStyle name="Comma 4 3 2 2 4 3 2" xfId="40962" xr:uid="{26ECA372-C965-46EE-A159-992290BE7B7A}"/>
    <cellStyle name="Comma 4 3 2 2 4 3 3" xfId="32515" xr:uid="{5F4F276C-F0EE-420C-A27E-F0AA787C468C}"/>
    <cellStyle name="Comma 4 3 2 2 4 3 4" xfId="24067" xr:uid="{6BA66FC2-0124-4070-AB3A-A01EE8CE36E8}"/>
    <cellStyle name="Comma 4 3 2 2 4 3 5" xfId="14770" xr:uid="{A1F2C179-C3B5-4488-BFB3-671E941ABA7F}"/>
    <cellStyle name="Comma 4 3 2 2 4 4" xfId="36745" xr:uid="{95DDD0A0-9A96-40CB-9506-51144F89D7AB}"/>
    <cellStyle name="Comma 4 3 2 2 4 5" xfId="28297" xr:uid="{0BA7A444-F1C4-4E9F-92C3-5C9DEC26AE35}"/>
    <cellStyle name="Comma 4 3 2 2 4 6" xfId="19850" xr:uid="{078ABC6E-5CDE-4EF4-BB51-9CD3AC44B657}"/>
    <cellStyle name="Comma 4 3 2 2 4 7" xfId="10553" xr:uid="{FCBE58C9-F482-4947-988A-C186B15EEA3D}"/>
    <cellStyle name="Comma 4 3 2 2 5" xfId="1550" xr:uid="{00000000-0005-0000-0000-000036090000}"/>
    <cellStyle name="Comma 4 3 2 2 5 2" xfId="3780" xr:uid="{00000000-0005-0000-0000-000037090000}"/>
    <cellStyle name="Comma 4 3 2 2 5 2 2" xfId="8002" xr:uid="{00000000-0005-0000-0000-000038090000}"/>
    <cellStyle name="Comma 4 3 2 2 5 2 2 2" xfId="43520" xr:uid="{A79EA592-2660-40E8-8279-632A42B648EF}"/>
    <cellStyle name="Comma 4 3 2 2 5 2 2 3" xfId="35073" xr:uid="{509A9E79-2C5D-4018-A6BA-E69917FAD9A4}"/>
    <cellStyle name="Comma 4 3 2 2 5 2 2 4" xfId="26625" xr:uid="{91022B7D-BDBB-4B35-9997-07D8151E5448}"/>
    <cellStyle name="Comma 4 3 2 2 5 2 2 5" xfId="17328" xr:uid="{1D118DB8-A8B8-4FD5-9BA9-F1C4A2CD3A8D}"/>
    <cellStyle name="Comma 4 3 2 2 5 2 3" xfId="39303" xr:uid="{66D99086-7F94-485E-843A-E97B39BE300E}"/>
    <cellStyle name="Comma 4 3 2 2 5 2 4" xfId="30855" xr:uid="{8011465F-F75D-40AC-A986-25A2B3F97970}"/>
    <cellStyle name="Comma 4 3 2 2 5 2 5" xfId="22408" xr:uid="{A80BE19E-2CF0-4A8B-90B8-D761E87BA695}"/>
    <cellStyle name="Comma 4 3 2 2 5 2 6" xfId="13111" xr:uid="{8BE4FD1C-2202-436B-A236-E5DD6645E548}"/>
    <cellStyle name="Comma 4 3 2 2 5 3" xfId="5857" xr:uid="{00000000-0005-0000-0000-000039090000}"/>
    <cellStyle name="Comma 4 3 2 2 5 3 2" xfId="41375" xr:uid="{88858604-97EF-4652-8814-3AADA9111CF2}"/>
    <cellStyle name="Comma 4 3 2 2 5 3 3" xfId="32928" xr:uid="{97CB8B2E-5FD0-418F-9439-67745BA8EE83}"/>
    <cellStyle name="Comma 4 3 2 2 5 3 4" xfId="24480" xr:uid="{3C70E376-C6C7-4BBE-BF80-96CF342950E7}"/>
    <cellStyle name="Comma 4 3 2 2 5 3 5" xfId="15183" xr:uid="{F665652B-E1A9-4564-BA7E-9028F70B6DB6}"/>
    <cellStyle name="Comma 4 3 2 2 5 4" xfId="37158" xr:uid="{B8DD4E58-0807-4596-9975-3BA4717BD445}"/>
    <cellStyle name="Comma 4 3 2 2 5 5" xfId="28710" xr:uid="{F58325F3-7221-4D1A-ADBA-E4B544BF4E7F}"/>
    <cellStyle name="Comma 4 3 2 2 5 6" xfId="20263" xr:uid="{7EDC12BB-5164-43C7-8F3B-6268572B4D0F}"/>
    <cellStyle name="Comma 4 3 2 2 5 7" xfId="10966" xr:uid="{4E1234F6-FDF1-49EB-A4E2-6BA7878FDC15}"/>
    <cellStyle name="Comma 4 3 2 2 6" xfId="1964" xr:uid="{00000000-0005-0000-0000-00003A090000}"/>
    <cellStyle name="Comma 4 3 2 2 6 2" xfId="4193" xr:uid="{00000000-0005-0000-0000-00003B090000}"/>
    <cellStyle name="Comma 4 3 2 2 6 2 2" xfId="8415" xr:uid="{00000000-0005-0000-0000-00003C090000}"/>
    <cellStyle name="Comma 4 3 2 2 6 2 2 2" xfId="43933" xr:uid="{325FDCA2-3316-4C94-ABE2-566571B4D756}"/>
    <cellStyle name="Comma 4 3 2 2 6 2 2 3" xfId="35486" xr:uid="{BD47B9ED-3778-4524-AB76-ED87725C1E46}"/>
    <cellStyle name="Comma 4 3 2 2 6 2 2 4" xfId="27038" xr:uid="{D4EB7054-B8AB-44C1-B0BB-E6A834A94936}"/>
    <cellStyle name="Comma 4 3 2 2 6 2 2 5" xfId="17741" xr:uid="{2F45C38F-00E5-4FAA-B049-33ADD25958D6}"/>
    <cellStyle name="Comma 4 3 2 2 6 2 3" xfId="39716" xr:uid="{B423F036-F0C9-4C91-9D63-5346CC1DCF2E}"/>
    <cellStyle name="Comma 4 3 2 2 6 2 4" xfId="31268" xr:uid="{13A2B8DD-2CB6-4D9D-918B-8CB48B2948B4}"/>
    <cellStyle name="Comma 4 3 2 2 6 2 5" xfId="22821" xr:uid="{06D5DA13-1F0E-4127-970B-724580904AEB}"/>
    <cellStyle name="Comma 4 3 2 2 6 2 6" xfId="13524" xr:uid="{D3A44F05-DFD7-4978-A5CD-CEF5E1B7223B}"/>
    <cellStyle name="Comma 4 3 2 2 6 3" xfId="6270" xr:uid="{00000000-0005-0000-0000-00003D090000}"/>
    <cellStyle name="Comma 4 3 2 2 6 3 2" xfId="41788" xr:uid="{944C6E3F-88C9-4E79-AF28-F6CBD64E6702}"/>
    <cellStyle name="Comma 4 3 2 2 6 3 3" xfId="33341" xr:uid="{D74C0BA5-B0B7-4A98-B48B-5F341E3B6196}"/>
    <cellStyle name="Comma 4 3 2 2 6 3 4" xfId="24893" xr:uid="{98F69B34-6B12-41BE-A36E-46E31A99E1E8}"/>
    <cellStyle name="Comma 4 3 2 2 6 3 5" xfId="15596" xr:uid="{CC479FB3-8F3B-433C-BDB1-FD8E0894F4D6}"/>
    <cellStyle name="Comma 4 3 2 2 6 4" xfId="37571" xr:uid="{FF96EFB6-DDE0-4852-8FEC-E4CB179FF202}"/>
    <cellStyle name="Comma 4 3 2 2 6 5" xfId="29123" xr:uid="{6B3AAD0E-A5B6-4C8F-ADAB-8F641799EADA}"/>
    <cellStyle name="Comma 4 3 2 2 6 6" xfId="20676" xr:uid="{0E0A53F0-4145-4819-B819-F5D65560C3D1}"/>
    <cellStyle name="Comma 4 3 2 2 6 7" xfId="11379" xr:uid="{A855C9D8-B7E2-46C2-AEAB-87836EB6405F}"/>
    <cellStyle name="Comma 4 3 2 2 7" xfId="2399" xr:uid="{00000000-0005-0000-0000-00003E090000}"/>
    <cellStyle name="Comma 4 3 2 2 7 2" xfId="6683" xr:uid="{00000000-0005-0000-0000-00003F090000}"/>
    <cellStyle name="Comma 4 3 2 2 7 2 2" xfId="42201" xr:uid="{D006DD9B-444D-4D85-8566-4F0045FA40BA}"/>
    <cellStyle name="Comma 4 3 2 2 7 2 3" xfId="33754" xr:uid="{697FBFFD-6101-463D-B087-4A3C31009DC1}"/>
    <cellStyle name="Comma 4 3 2 2 7 2 4" xfId="25306" xr:uid="{B939E9CC-9B48-48FD-A736-23BE8616CD97}"/>
    <cellStyle name="Comma 4 3 2 2 7 2 5" xfId="16009" xr:uid="{3CE97D24-A9BF-445A-B941-5B4F2FF86B39}"/>
    <cellStyle name="Comma 4 3 2 2 7 3" xfId="37984" xr:uid="{FA4397F4-8ACD-4DD0-8CEF-01F5E91EC94C}"/>
    <cellStyle name="Comma 4 3 2 2 7 4" xfId="29536" xr:uid="{C28DC335-08F4-4E7A-B8E7-9B68313659A7}"/>
    <cellStyle name="Comma 4 3 2 2 7 5" xfId="21089" xr:uid="{784BBF81-036C-4A4F-9CB5-EF91E1C689A2}"/>
    <cellStyle name="Comma 4 3 2 2 7 6" xfId="11792" xr:uid="{222F37B8-80D7-465C-A7DB-C7889B1C7527}"/>
    <cellStyle name="Comma 4 3 2 2 8" xfId="2364" xr:uid="{00000000-0005-0000-0000-000040090000}"/>
    <cellStyle name="Comma 4 3 2 2 9" xfId="2777" xr:uid="{00000000-0005-0000-0000-000041090000}"/>
    <cellStyle name="Comma 4 3 2 2 9 2" xfId="7000" xr:uid="{00000000-0005-0000-0000-000042090000}"/>
    <cellStyle name="Comma 4 3 2 2 9 2 2" xfId="42518" xr:uid="{BEE517F5-FED5-4D63-8FFA-0F8E936559AA}"/>
    <cellStyle name="Comma 4 3 2 2 9 2 3" xfId="34071" xr:uid="{A250E3A1-B106-4A3D-BAB9-D015F66B3D10}"/>
    <cellStyle name="Comma 4 3 2 2 9 2 4" xfId="25623" xr:uid="{B429C391-3E7A-4630-AC62-5374E3E53C63}"/>
    <cellStyle name="Comma 4 3 2 2 9 2 5" xfId="16326" xr:uid="{38EC7E83-C21B-4B15-8685-6CF85383083D}"/>
    <cellStyle name="Comma 4 3 2 2 9 3" xfId="38301" xr:uid="{9DFB9113-1C93-4BBA-8E10-97430508C6C5}"/>
    <cellStyle name="Comma 4 3 2 2 9 4" xfId="29853" xr:uid="{C4EB5284-6A61-48F5-8EB0-EEA88F031E4A}"/>
    <cellStyle name="Comma 4 3 2 2 9 5" xfId="21406" xr:uid="{2E1B2E55-DA30-4CA2-82AA-8136030AC41B}"/>
    <cellStyle name="Comma 4 3 2 2 9 6" xfId="12109" xr:uid="{AE148150-E888-4A53-AC41-440D784B66C8}"/>
    <cellStyle name="Comma 4 3 2 3" xfId="148" xr:uid="{00000000-0005-0000-0000-000043090000}"/>
    <cellStyle name="Comma 4 3 2 3 10" xfId="9014" xr:uid="{46568903-2C47-4BC3-8E78-5A47F62B319C}"/>
    <cellStyle name="Comma 4 3 2 3 10 2" xfId="35920" xr:uid="{35818003-70D0-4C25-9393-656D9676FB0A}"/>
    <cellStyle name="Comma 4 3 2 3 10 3" xfId="18337" xr:uid="{F8885DDC-819A-4525-8CEF-ED857B91B395}"/>
    <cellStyle name="Comma 4 3 2 3 11" xfId="27472" xr:uid="{542CFD5D-C0E5-4077-AA43-45142421BD26}"/>
    <cellStyle name="Comma 4 3 2 3 12" xfId="19025" xr:uid="{17CF7D64-73B8-40D9-90C8-36F8DBABFF02}"/>
    <cellStyle name="Comma 4 3 2 3 13" xfId="9728" xr:uid="{22ECCBE1-7987-4774-AA7F-C0CB5DD4ED9F}"/>
    <cellStyle name="Comma 4 3 2 3 2" xfId="685" xr:uid="{00000000-0005-0000-0000-000044090000}"/>
    <cellStyle name="Comma 4 3 2 3 2 2" xfId="2956" xr:uid="{00000000-0005-0000-0000-000045090000}"/>
    <cellStyle name="Comma 4 3 2 3 2 2 2" xfId="7178" xr:uid="{00000000-0005-0000-0000-000046090000}"/>
    <cellStyle name="Comma 4 3 2 3 2 2 2 2" xfId="42696" xr:uid="{2A8CD5FD-2B72-4A54-918B-E4EA736A2194}"/>
    <cellStyle name="Comma 4 3 2 3 2 2 2 3" xfId="34249" xr:uid="{777C823D-DFB9-4179-8032-D88AFAF85773}"/>
    <cellStyle name="Comma 4 3 2 3 2 2 2 4" xfId="25801" xr:uid="{AE84CF6B-4AFF-4126-8434-B1DF3B6D73E9}"/>
    <cellStyle name="Comma 4 3 2 3 2 2 2 5" xfId="16504" xr:uid="{1B139AB3-2BA1-487C-8DDA-B95F1D8925E2}"/>
    <cellStyle name="Comma 4 3 2 3 2 2 3" xfId="38479" xr:uid="{C2EF1D54-5D70-4DA6-AAE1-E34CA3F97F42}"/>
    <cellStyle name="Comma 4 3 2 3 2 2 4" xfId="30031" xr:uid="{5A04A255-627C-43E3-A09F-952FCFE289C3}"/>
    <cellStyle name="Comma 4 3 2 3 2 2 5" xfId="21584" xr:uid="{DEC542B5-A2AC-4954-97B8-1D9681B712EC}"/>
    <cellStyle name="Comma 4 3 2 3 2 2 6" xfId="12287" xr:uid="{C1FF1D4F-9556-466F-889F-11FC5431736D}"/>
    <cellStyle name="Comma 4 3 2 3 2 3" xfId="5033" xr:uid="{00000000-0005-0000-0000-000047090000}"/>
    <cellStyle name="Comma 4 3 2 3 2 3 2" xfId="40551" xr:uid="{ED45C7D4-0356-4FC2-A076-967B7E461D34}"/>
    <cellStyle name="Comma 4 3 2 3 2 3 3" xfId="32104" xr:uid="{3FE4C81A-A3B6-46D9-88DC-6EC7E3906782}"/>
    <cellStyle name="Comma 4 3 2 3 2 3 4" xfId="23656" xr:uid="{22BF384D-7687-4879-9EA9-20AB1F7D0FD4}"/>
    <cellStyle name="Comma 4 3 2 3 2 3 5" xfId="14359" xr:uid="{3EAC6868-C9D3-4B03-A3B1-DD1DD5888AC8}"/>
    <cellStyle name="Comma 4 3 2 3 2 4" xfId="9439" xr:uid="{2FD116B5-6902-4630-AFC5-CC8B06C5F457}"/>
    <cellStyle name="Comma 4 3 2 3 2 4 2" xfId="36334" xr:uid="{E20314B7-CC1A-4BE4-9B7A-08E26B46F968}"/>
    <cellStyle name="Comma 4 3 2 3 2 4 3" xfId="18752" xr:uid="{971A93CD-F6C2-410A-A31C-245F4DEEEE6A}"/>
    <cellStyle name="Comma 4 3 2 3 2 5" xfId="27886" xr:uid="{DCE38E51-D67C-4EFA-B602-98B94DBCC3CA}"/>
    <cellStyle name="Comma 4 3 2 3 2 6" xfId="19439" xr:uid="{C69CC476-BA79-4972-9213-DFFE01A76DEA}"/>
    <cellStyle name="Comma 4 3 2 3 2 7" xfId="10142" xr:uid="{305918B4-F319-47A0-8AD4-2AC387C2DD02}"/>
    <cellStyle name="Comma 4 3 2 3 3" xfId="1138" xr:uid="{00000000-0005-0000-0000-000048090000}"/>
    <cellStyle name="Comma 4 3 2 3 3 2" xfId="3369" xr:uid="{00000000-0005-0000-0000-000049090000}"/>
    <cellStyle name="Comma 4 3 2 3 3 2 2" xfId="7591" xr:uid="{00000000-0005-0000-0000-00004A090000}"/>
    <cellStyle name="Comma 4 3 2 3 3 2 2 2" xfId="43109" xr:uid="{600AFC2F-B271-4FD4-98F2-46E8D1B0C6DD}"/>
    <cellStyle name="Comma 4 3 2 3 3 2 2 3" xfId="34662" xr:uid="{C3FAB96B-10EF-4171-B15C-4AB2F89169DC}"/>
    <cellStyle name="Comma 4 3 2 3 3 2 2 4" xfId="26214" xr:uid="{994E84B9-4C75-454D-966A-9E00A58E0629}"/>
    <cellStyle name="Comma 4 3 2 3 3 2 2 5" xfId="16917" xr:uid="{C6319713-6699-4533-990A-A0A8B05988DE}"/>
    <cellStyle name="Comma 4 3 2 3 3 2 3" xfId="38892" xr:uid="{757FF34E-E4DF-4649-9421-89EB3C5EF448}"/>
    <cellStyle name="Comma 4 3 2 3 3 2 4" xfId="30444" xr:uid="{9436AE3A-C5A9-4E9F-A4EC-F97A1C5CAC0B}"/>
    <cellStyle name="Comma 4 3 2 3 3 2 5" xfId="21997" xr:uid="{3568B0E2-BCCB-42E2-B366-6CD819617F7F}"/>
    <cellStyle name="Comma 4 3 2 3 3 2 6" xfId="12700" xr:uid="{D2478765-1E7B-441B-A36C-4313DECCDA1E}"/>
    <cellStyle name="Comma 4 3 2 3 3 3" xfId="5446" xr:uid="{00000000-0005-0000-0000-00004B090000}"/>
    <cellStyle name="Comma 4 3 2 3 3 3 2" xfId="40964" xr:uid="{83316776-723C-439B-91D6-BFE531C8E466}"/>
    <cellStyle name="Comma 4 3 2 3 3 3 3" xfId="32517" xr:uid="{744DCF0E-35D8-460D-AD01-819B272C2ABD}"/>
    <cellStyle name="Comma 4 3 2 3 3 3 4" xfId="24069" xr:uid="{FAE30DB9-4678-4B79-9CE5-2CC72CE052D4}"/>
    <cellStyle name="Comma 4 3 2 3 3 3 5" xfId="14772" xr:uid="{62CFC931-A7CF-4659-A553-A9B64943D68C}"/>
    <cellStyle name="Comma 4 3 2 3 3 4" xfId="36747" xr:uid="{3C5526C3-9748-4684-8905-D087C89F552E}"/>
    <cellStyle name="Comma 4 3 2 3 3 5" xfId="28299" xr:uid="{EA94E12C-579A-411D-80CA-01B7C22F223D}"/>
    <cellStyle name="Comma 4 3 2 3 3 6" xfId="19852" xr:uid="{6EEA0DDB-6403-4A0C-986F-C77A8A838501}"/>
    <cellStyle name="Comma 4 3 2 3 3 7" xfId="10555" xr:uid="{469A73C5-2E5B-4A8F-AB1A-39E4A24DAC6E}"/>
    <cellStyle name="Comma 4 3 2 3 4" xfId="1552" xr:uid="{00000000-0005-0000-0000-00004C090000}"/>
    <cellStyle name="Comma 4 3 2 3 4 2" xfId="3782" xr:uid="{00000000-0005-0000-0000-00004D090000}"/>
    <cellStyle name="Comma 4 3 2 3 4 2 2" xfId="8004" xr:uid="{00000000-0005-0000-0000-00004E090000}"/>
    <cellStyle name="Comma 4 3 2 3 4 2 2 2" xfId="43522" xr:uid="{B0AC70EB-4BD4-4478-8DA5-53311BDA9BAE}"/>
    <cellStyle name="Comma 4 3 2 3 4 2 2 3" xfId="35075" xr:uid="{E7F591FC-7E17-4AAF-9278-D1CD64304BEA}"/>
    <cellStyle name="Comma 4 3 2 3 4 2 2 4" xfId="26627" xr:uid="{15936F94-A6D0-4E60-AFBF-2997E979B80F}"/>
    <cellStyle name="Comma 4 3 2 3 4 2 2 5" xfId="17330" xr:uid="{4EDB6659-3129-4769-84B2-6F91612EFC18}"/>
    <cellStyle name="Comma 4 3 2 3 4 2 3" xfId="39305" xr:uid="{106343F2-4F1A-4776-9196-9B262C1BD510}"/>
    <cellStyle name="Comma 4 3 2 3 4 2 4" xfId="30857" xr:uid="{0849B6EB-02D0-4C9B-9AF9-0DFB64FBB1E2}"/>
    <cellStyle name="Comma 4 3 2 3 4 2 5" xfId="22410" xr:uid="{D5C59D55-CE27-4E26-A141-A469720F8876}"/>
    <cellStyle name="Comma 4 3 2 3 4 2 6" xfId="13113" xr:uid="{39894715-F90B-4545-AE32-3E3FB9A7B532}"/>
    <cellStyle name="Comma 4 3 2 3 4 3" xfId="5859" xr:uid="{00000000-0005-0000-0000-00004F090000}"/>
    <cellStyle name="Comma 4 3 2 3 4 3 2" xfId="41377" xr:uid="{3AF3F233-814A-4833-BF45-DFD90D04B744}"/>
    <cellStyle name="Comma 4 3 2 3 4 3 3" xfId="32930" xr:uid="{9476F7A9-A462-4536-A5E7-782DCECB5688}"/>
    <cellStyle name="Comma 4 3 2 3 4 3 4" xfId="24482" xr:uid="{EFF8E06B-9760-45C4-9850-CE5CAE94AC40}"/>
    <cellStyle name="Comma 4 3 2 3 4 3 5" xfId="15185" xr:uid="{FD4794B1-82DC-4C2E-918C-9E1AE2BB05B7}"/>
    <cellStyle name="Comma 4 3 2 3 4 4" xfId="37160" xr:uid="{D8DD0E64-2022-4A77-A530-E27B0E4C92C0}"/>
    <cellStyle name="Comma 4 3 2 3 4 5" xfId="28712" xr:uid="{A48C023B-C43C-4D2F-A970-E76C30F7FDC4}"/>
    <cellStyle name="Comma 4 3 2 3 4 6" xfId="20265" xr:uid="{D37D3BB6-2577-4A69-8858-C5FC90F9B0AA}"/>
    <cellStyle name="Comma 4 3 2 3 4 7" xfId="10968" xr:uid="{1B3BED82-0468-4CA9-A961-0DB534640D87}"/>
    <cellStyle name="Comma 4 3 2 3 5" xfId="1966" xr:uid="{00000000-0005-0000-0000-000050090000}"/>
    <cellStyle name="Comma 4 3 2 3 5 2" xfId="4195" xr:uid="{00000000-0005-0000-0000-000051090000}"/>
    <cellStyle name="Comma 4 3 2 3 5 2 2" xfId="8417" xr:uid="{00000000-0005-0000-0000-000052090000}"/>
    <cellStyle name="Comma 4 3 2 3 5 2 2 2" xfId="43935" xr:uid="{8D47A110-BFB5-42F3-9026-7A9C9690C698}"/>
    <cellStyle name="Comma 4 3 2 3 5 2 2 3" xfId="35488" xr:uid="{B96AAB7B-5E66-4CE9-8A98-8DA507A75326}"/>
    <cellStyle name="Comma 4 3 2 3 5 2 2 4" xfId="27040" xr:uid="{75453C03-AD7F-46A5-AE86-DB8F9D9724C0}"/>
    <cellStyle name="Comma 4 3 2 3 5 2 2 5" xfId="17743" xr:uid="{BB73D0D2-90B4-4FD9-9052-4DC4669E2C30}"/>
    <cellStyle name="Comma 4 3 2 3 5 2 3" xfId="39718" xr:uid="{3C1F6A07-97AD-42CF-A4FC-FA6F313C37AA}"/>
    <cellStyle name="Comma 4 3 2 3 5 2 4" xfId="31270" xr:uid="{9AFF2F68-5D2A-433E-B942-6B1A5FCB9A41}"/>
    <cellStyle name="Comma 4 3 2 3 5 2 5" xfId="22823" xr:uid="{B5C8AA22-B2E4-4A70-A91E-3E4C51D2108D}"/>
    <cellStyle name="Comma 4 3 2 3 5 2 6" xfId="13526" xr:uid="{34FBDAC2-B56C-4A2F-8BD4-FBB1C95E46BF}"/>
    <cellStyle name="Comma 4 3 2 3 5 3" xfId="6272" xr:uid="{00000000-0005-0000-0000-000053090000}"/>
    <cellStyle name="Comma 4 3 2 3 5 3 2" xfId="41790" xr:uid="{B7CFD719-DF2B-4670-9443-E222AD68A26B}"/>
    <cellStyle name="Comma 4 3 2 3 5 3 3" xfId="33343" xr:uid="{42C67426-7A8A-40F5-8CF8-F08ABD2F5468}"/>
    <cellStyle name="Comma 4 3 2 3 5 3 4" xfId="24895" xr:uid="{702E2F14-3DAE-4B6A-8C66-A2C966E0BC72}"/>
    <cellStyle name="Comma 4 3 2 3 5 3 5" xfId="15598" xr:uid="{5F13D1C4-00DC-4B77-8DA3-C58B94DDD937}"/>
    <cellStyle name="Comma 4 3 2 3 5 4" xfId="37573" xr:uid="{B2A117D1-523B-439D-AE5C-09F399163DB7}"/>
    <cellStyle name="Comma 4 3 2 3 5 5" xfId="29125" xr:uid="{60BE6910-701E-49F9-AE92-CE30A1B2374F}"/>
    <cellStyle name="Comma 4 3 2 3 5 6" xfId="20678" xr:uid="{811C44D3-6544-4849-961A-A14C68F77996}"/>
    <cellStyle name="Comma 4 3 2 3 5 7" xfId="11381" xr:uid="{246545B1-65DC-446D-B069-8ABDDD8C4A72}"/>
    <cellStyle name="Comma 4 3 2 3 6" xfId="2401" xr:uid="{00000000-0005-0000-0000-000054090000}"/>
    <cellStyle name="Comma 4 3 2 3 6 2" xfId="6685" xr:uid="{00000000-0005-0000-0000-000055090000}"/>
    <cellStyle name="Comma 4 3 2 3 6 2 2" xfId="42203" xr:uid="{C501196B-92BB-4CF4-9177-27D14EC208B6}"/>
    <cellStyle name="Comma 4 3 2 3 6 2 3" xfId="33756" xr:uid="{58B356AB-F8FF-4998-8FB7-2EC30336BC00}"/>
    <cellStyle name="Comma 4 3 2 3 6 2 4" xfId="25308" xr:uid="{C046020F-F7DF-4F34-A8B2-0F7A2D3DE0A5}"/>
    <cellStyle name="Comma 4 3 2 3 6 2 5" xfId="16011" xr:uid="{1A269D17-19AA-4465-8968-F58D6B921F62}"/>
    <cellStyle name="Comma 4 3 2 3 6 3" xfId="37986" xr:uid="{542A7912-DBB9-4ED1-88E1-58286A3FE950}"/>
    <cellStyle name="Comma 4 3 2 3 6 4" xfId="29538" xr:uid="{A4B164FB-7BDA-4559-BC69-B80336553539}"/>
    <cellStyle name="Comma 4 3 2 3 6 5" xfId="21091" xr:uid="{073ACF51-17A9-4B6C-ACB9-052942F90E10}"/>
    <cellStyle name="Comma 4 3 2 3 6 6" xfId="11794" xr:uid="{4E529AD0-33E1-49AB-9A15-2DB8991566D2}"/>
    <cellStyle name="Comma 4 3 2 3 7" xfId="2362" xr:uid="{00000000-0005-0000-0000-000056090000}"/>
    <cellStyle name="Comma 4 3 2 3 8" xfId="2779" xr:uid="{00000000-0005-0000-0000-000057090000}"/>
    <cellStyle name="Comma 4 3 2 3 8 2" xfId="7002" xr:uid="{00000000-0005-0000-0000-000058090000}"/>
    <cellStyle name="Comma 4 3 2 3 8 2 2" xfId="42520" xr:uid="{6FBB789E-40EB-46E7-8E69-D399D108F92C}"/>
    <cellStyle name="Comma 4 3 2 3 8 2 3" xfId="34073" xr:uid="{EF09C46D-F3C0-4FE7-AD00-B0AF38BC223E}"/>
    <cellStyle name="Comma 4 3 2 3 8 2 4" xfId="25625" xr:uid="{C82C77D1-4719-4A04-8A19-673E7AEFFCF9}"/>
    <cellStyle name="Comma 4 3 2 3 8 2 5" xfId="16328" xr:uid="{3B65173E-6977-4D49-9EA6-4E65FF7FCA12}"/>
    <cellStyle name="Comma 4 3 2 3 8 3" xfId="38303" xr:uid="{D8C20F22-D5F6-4ACB-99F4-4592B77CA28A}"/>
    <cellStyle name="Comma 4 3 2 3 8 4" xfId="29855" xr:uid="{28ABECBA-3806-48D0-89E5-302F6789B4F1}"/>
    <cellStyle name="Comma 4 3 2 3 8 5" xfId="21408" xr:uid="{ED88FC39-59DA-4198-B751-E9C092A067FE}"/>
    <cellStyle name="Comma 4 3 2 3 8 6" xfId="12111" xr:uid="{F565D37D-195B-4E88-9A4F-7327AB14E0B4}"/>
    <cellStyle name="Comma 4 3 2 3 9" xfId="4619" xr:uid="{00000000-0005-0000-0000-000059090000}"/>
    <cellStyle name="Comma 4 3 2 3 9 2" xfId="40137" xr:uid="{F155A6CE-AE19-4BD4-B226-2C2DE6FDBA0F}"/>
    <cellStyle name="Comma 4 3 2 3 9 3" xfId="31690" xr:uid="{7552B93D-DD53-4BB1-80F9-602F567DE470}"/>
    <cellStyle name="Comma 4 3 2 3 9 4" xfId="23242" xr:uid="{D51D6135-F30D-40B6-8F54-73990947CA78}"/>
    <cellStyle name="Comma 4 3 2 3 9 5" xfId="13945" xr:uid="{6F9D289F-3FD2-444A-AA05-6585D62129A9}"/>
    <cellStyle name="Comma 4 3 2 4" xfId="682" xr:uid="{00000000-0005-0000-0000-00005A090000}"/>
    <cellStyle name="Comma 4 3 2 4 2" xfId="2953" xr:uid="{00000000-0005-0000-0000-00005B090000}"/>
    <cellStyle name="Comma 4 3 2 4 2 2" xfId="7175" xr:uid="{00000000-0005-0000-0000-00005C090000}"/>
    <cellStyle name="Comma 4 3 2 4 2 2 2" xfId="42693" xr:uid="{297F65CE-610C-4C92-ABCD-714AB0EEE0B8}"/>
    <cellStyle name="Comma 4 3 2 4 2 2 3" xfId="34246" xr:uid="{1559AEBA-573B-4CFE-A16B-A68538326AAB}"/>
    <cellStyle name="Comma 4 3 2 4 2 2 4" xfId="25798" xr:uid="{91779817-DBA8-4D4F-AEA8-2724F8874F4F}"/>
    <cellStyle name="Comma 4 3 2 4 2 2 5" xfId="16501" xr:uid="{B87C129C-6C6A-4899-99BD-E4B2A6DA7F1D}"/>
    <cellStyle name="Comma 4 3 2 4 2 3" xfId="38476" xr:uid="{7C114C3A-6358-4045-9043-EDDF72B3F417}"/>
    <cellStyle name="Comma 4 3 2 4 2 4" xfId="30028" xr:uid="{02EBB0B0-08B2-4438-B497-E36D65A048EC}"/>
    <cellStyle name="Comma 4 3 2 4 2 5" xfId="21581" xr:uid="{5B06896D-F82F-4132-B9FE-9C085E85D0B3}"/>
    <cellStyle name="Comma 4 3 2 4 2 6" xfId="12284" xr:uid="{E3FB2C85-1A91-472E-86E6-88C2A5068C85}"/>
    <cellStyle name="Comma 4 3 2 4 3" xfId="5030" xr:uid="{00000000-0005-0000-0000-00005D090000}"/>
    <cellStyle name="Comma 4 3 2 4 3 2" xfId="40548" xr:uid="{59686C3B-A83D-4678-A0AA-B7497B5EB12F}"/>
    <cellStyle name="Comma 4 3 2 4 3 3" xfId="32101" xr:uid="{B90B39A4-F755-4F7D-93D7-8A8B9D869A00}"/>
    <cellStyle name="Comma 4 3 2 4 3 4" xfId="23653" xr:uid="{86354A51-D726-4694-8E07-0A9C4EA91FC1}"/>
    <cellStyle name="Comma 4 3 2 4 3 5" xfId="14356" xr:uid="{BCAB3715-6828-4117-BA82-59764504040B}"/>
    <cellStyle name="Comma 4 3 2 4 4" xfId="9232" xr:uid="{8193451B-D8F0-40BD-91ED-34E7041117F6}"/>
    <cellStyle name="Comma 4 3 2 4 4 2" xfId="36331" xr:uid="{33E5D02B-E32E-4CF0-9965-E388A0118B4F}"/>
    <cellStyle name="Comma 4 3 2 4 4 3" xfId="18545" xr:uid="{A205F21D-0297-4EF1-AB69-E4FF6470AA79}"/>
    <cellStyle name="Comma 4 3 2 4 5" xfId="27883" xr:uid="{C196DD00-551A-4212-9AC7-714E84C9A4AC}"/>
    <cellStyle name="Comma 4 3 2 4 6" xfId="19436" xr:uid="{1177BDCA-5365-48C7-B764-CEE7131F6BC8}"/>
    <cellStyle name="Comma 4 3 2 4 7" xfId="10139" xr:uid="{B916BF37-A871-4D11-9A89-A13EBD4D2D70}"/>
    <cellStyle name="Comma 4 3 2 5" xfId="1135" xr:uid="{00000000-0005-0000-0000-00005E090000}"/>
    <cellStyle name="Comma 4 3 2 5 2" xfId="3366" xr:uid="{00000000-0005-0000-0000-00005F090000}"/>
    <cellStyle name="Comma 4 3 2 5 2 2" xfId="7588" xr:uid="{00000000-0005-0000-0000-000060090000}"/>
    <cellStyle name="Comma 4 3 2 5 2 2 2" xfId="43106" xr:uid="{94BC6B82-2393-47A1-8BC1-5475FBE43F02}"/>
    <cellStyle name="Comma 4 3 2 5 2 2 3" xfId="34659" xr:uid="{438D9175-0CAF-4EBE-A722-D8C0488891F6}"/>
    <cellStyle name="Comma 4 3 2 5 2 2 4" xfId="26211" xr:uid="{40A4489F-9641-4EFB-A147-482B61BE2B4C}"/>
    <cellStyle name="Comma 4 3 2 5 2 2 5" xfId="16914" xr:uid="{3408057D-E0BB-49D3-A8AD-A774C2E36466}"/>
    <cellStyle name="Comma 4 3 2 5 2 3" xfId="38889" xr:uid="{5252741D-AA2A-426D-8761-5118428F9263}"/>
    <cellStyle name="Comma 4 3 2 5 2 4" xfId="30441" xr:uid="{9C295DA3-633F-47DD-83C7-52A895A8957C}"/>
    <cellStyle name="Comma 4 3 2 5 2 5" xfId="21994" xr:uid="{BCCA2452-312E-4BCB-B082-BBF24078732B}"/>
    <cellStyle name="Comma 4 3 2 5 2 6" xfId="12697" xr:uid="{E891F1A7-0BE4-4E00-A046-5D387DF3047D}"/>
    <cellStyle name="Comma 4 3 2 5 3" xfId="5443" xr:uid="{00000000-0005-0000-0000-000061090000}"/>
    <cellStyle name="Comma 4 3 2 5 3 2" xfId="40961" xr:uid="{80BDF1B1-074E-4C10-ADF7-E230900F7A1D}"/>
    <cellStyle name="Comma 4 3 2 5 3 3" xfId="32514" xr:uid="{C6C8386D-C73B-40A5-BC68-F0641DA59322}"/>
    <cellStyle name="Comma 4 3 2 5 3 4" xfId="24066" xr:uid="{B202BD09-74AD-4039-91A2-6EE2FB286F3F}"/>
    <cellStyle name="Comma 4 3 2 5 3 5" xfId="14769" xr:uid="{3D0F690F-5FF8-4E24-93AD-37755E6946B5}"/>
    <cellStyle name="Comma 4 3 2 5 4" xfId="36744" xr:uid="{79D5A4AC-1B82-4B77-95EF-0C7E60F8F384}"/>
    <cellStyle name="Comma 4 3 2 5 5" xfId="28296" xr:uid="{4B28C0DF-3530-466A-9122-215F726359C1}"/>
    <cellStyle name="Comma 4 3 2 5 6" xfId="19849" xr:uid="{76E3331B-61C5-4DEF-943E-448AB1E643BD}"/>
    <cellStyle name="Comma 4 3 2 5 7" xfId="10552" xr:uid="{A55015C7-414F-4FC1-84E0-A4F2E84A2024}"/>
    <cellStyle name="Comma 4 3 2 6" xfId="1549" xr:uid="{00000000-0005-0000-0000-000062090000}"/>
    <cellStyle name="Comma 4 3 2 6 2" xfId="3779" xr:uid="{00000000-0005-0000-0000-000063090000}"/>
    <cellStyle name="Comma 4 3 2 6 2 2" xfId="8001" xr:uid="{00000000-0005-0000-0000-000064090000}"/>
    <cellStyle name="Comma 4 3 2 6 2 2 2" xfId="43519" xr:uid="{A8F4A583-A2FF-489F-A00D-F424A6A94B21}"/>
    <cellStyle name="Comma 4 3 2 6 2 2 3" xfId="35072" xr:uid="{60D93A20-1B28-4F5E-8967-06AEDFF90B28}"/>
    <cellStyle name="Comma 4 3 2 6 2 2 4" xfId="26624" xr:uid="{8E2BA6DD-5335-4D95-BE4E-BEC0CE6E6A6F}"/>
    <cellStyle name="Comma 4 3 2 6 2 2 5" xfId="17327" xr:uid="{BAEEC986-F6BE-49C7-A05B-38A240DDD6FB}"/>
    <cellStyle name="Comma 4 3 2 6 2 3" xfId="39302" xr:uid="{F4226F9D-739B-4182-B514-02EC123B0803}"/>
    <cellStyle name="Comma 4 3 2 6 2 4" xfId="30854" xr:uid="{57BFC796-445D-462B-B171-974A74A345CF}"/>
    <cellStyle name="Comma 4 3 2 6 2 5" xfId="22407" xr:uid="{798EBFED-C848-4992-BCE2-0975C5DD94A9}"/>
    <cellStyle name="Comma 4 3 2 6 2 6" xfId="13110" xr:uid="{84938ED8-F4BE-4EB9-8EF3-6B93CC29C711}"/>
    <cellStyle name="Comma 4 3 2 6 3" xfId="5856" xr:uid="{00000000-0005-0000-0000-000065090000}"/>
    <cellStyle name="Comma 4 3 2 6 3 2" xfId="41374" xr:uid="{56744A5D-8E23-4109-9292-6564A0E3E6A1}"/>
    <cellStyle name="Comma 4 3 2 6 3 3" xfId="32927" xr:uid="{BA187F18-CE0E-4C35-817A-596F4CB78BA4}"/>
    <cellStyle name="Comma 4 3 2 6 3 4" xfId="24479" xr:uid="{0A45436F-3C38-45A2-BA5D-3A5BB27ACA6D}"/>
    <cellStyle name="Comma 4 3 2 6 3 5" xfId="15182" xr:uid="{99076875-30B8-43B8-8B03-AA488A1EF852}"/>
    <cellStyle name="Comma 4 3 2 6 4" xfId="37157" xr:uid="{2540E751-DAF5-44D7-82B8-3E6056272EBE}"/>
    <cellStyle name="Comma 4 3 2 6 5" xfId="28709" xr:uid="{EE67C675-A1EE-4F9B-9C8E-E5DC271FAB7C}"/>
    <cellStyle name="Comma 4 3 2 6 6" xfId="20262" xr:uid="{94A1CB5E-EB99-4085-8398-2F130EC6979A}"/>
    <cellStyle name="Comma 4 3 2 6 7" xfId="10965" xr:uid="{AC017C5F-BE18-4312-9095-D9573097E1BB}"/>
    <cellStyle name="Comma 4 3 2 7" xfId="1963" xr:uid="{00000000-0005-0000-0000-000066090000}"/>
    <cellStyle name="Comma 4 3 2 7 2" xfId="4192" xr:uid="{00000000-0005-0000-0000-000067090000}"/>
    <cellStyle name="Comma 4 3 2 7 2 2" xfId="8414" xr:uid="{00000000-0005-0000-0000-000068090000}"/>
    <cellStyle name="Comma 4 3 2 7 2 2 2" xfId="43932" xr:uid="{46E30FE1-C8DE-4EDA-A108-917D77FE4ECB}"/>
    <cellStyle name="Comma 4 3 2 7 2 2 3" xfId="35485" xr:uid="{18D91175-42C1-438C-8711-1C89452F0CDF}"/>
    <cellStyle name="Comma 4 3 2 7 2 2 4" xfId="27037" xr:uid="{A6E37909-88ED-47D0-A6D2-A7AD284EA78A}"/>
    <cellStyle name="Comma 4 3 2 7 2 2 5" xfId="17740" xr:uid="{0E5D30D1-8632-47C9-B01D-D062A7E171F5}"/>
    <cellStyle name="Comma 4 3 2 7 2 3" xfId="39715" xr:uid="{48561325-1E30-4205-B53C-F3E7BC344875}"/>
    <cellStyle name="Comma 4 3 2 7 2 4" xfId="31267" xr:uid="{C15C4E9F-D04D-44DD-A76E-268D54856FBD}"/>
    <cellStyle name="Comma 4 3 2 7 2 5" xfId="22820" xr:uid="{98E70FB0-C101-4DBB-A6FC-5B06D458C4B8}"/>
    <cellStyle name="Comma 4 3 2 7 2 6" xfId="13523" xr:uid="{17E263B9-3667-4CA0-A52E-D4A9B5969AF5}"/>
    <cellStyle name="Comma 4 3 2 7 3" xfId="6269" xr:uid="{00000000-0005-0000-0000-000069090000}"/>
    <cellStyle name="Comma 4 3 2 7 3 2" xfId="41787" xr:uid="{E5FE633E-BECD-428F-BD39-93BB8EF1A60C}"/>
    <cellStyle name="Comma 4 3 2 7 3 3" xfId="33340" xr:uid="{9B5EFAD2-783B-4DBA-8D40-2DF6B83B916A}"/>
    <cellStyle name="Comma 4 3 2 7 3 4" xfId="24892" xr:uid="{1060E6F2-A6F7-4753-870F-1EC8812EECD3}"/>
    <cellStyle name="Comma 4 3 2 7 3 5" xfId="15595" xr:uid="{CAB81DE6-9140-4505-A35E-D5782EA3F5C9}"/>
    <cellStyle name="Comma 4 3 2 7 4" xfId="37570" xr:uid="{95718080-F3A4-41A4-AD1B-D60122E3BC9F}"/>
    <cellStyle name="Comma 4 3 2 7 5" xfId="29122" xr:uid="{B457C656-3F67-4D27-A3B8-B58CC81351B4}"/>
    <cellStyle name="Comma 4 3 2 7 6" xfId="20675" xr:uid="{A3A5818D-8D99-449C-9E5A-63BE995C4B0B}"/>
    <cellStyle name="Comma 4 3 2 7 7" xfId="11378" xr:uid="{FBCB6C56-AC3A-435A-B926-E4C002F65617}"/>
    <cellStyle name="Comma 4 3 2 8" xfId="2398" xr:uid="{00000000-0005-0000-0000-00006A090000}"/>
    <cellStyle name="Comma 4 3 2 8 2" xfId="6682" xr:uid="{00000000-0005-0000-0000-00006B090000}"/>
    <cellStyle name="Comma 4 3 2 8 2 2" xfId="42200" xr:uid="{00325408-A3FC-43DB-984D-41902316CEBB}"/>
    <cellStyle name="Comma 4 3 2 8 2 3" xfId="33753" xr:uid="{86D71DE5-F2E7-4F7B-BF89-81E7D6E247F8}"/>
    <cellStyle name="Comma 4 3 2 8 2 4" xfId="25305" xr:uid="{12EE026F-55A1-42B2-B434-7A35B3F28090}"/>
    <cellStyle name="Comma 4 3 2 8 2 5" xfId="16008" xr:uid="{6D5C05E0-E4E4-49CB-969B-3307235A5F7E}"/>
    <cellStyle name="Comma 4 3 2 8 3" xfId="37983" xr:uid="{55D3FFBC-644F-4C81-9D82-B26A44E476A2}"/>
    <cellStyle name="Comma 4 3 2 8 4" xfId="29535" xr:uid="{342BE7EC-9F9F-4133-8F72-C10AD251ABD2}"/>
    <cellStyle name="Comma 4 3 2 8 5" xfId="21088" xr:uid="{23F5D138-7947-4A5B-B686-1CA2C6CD0B02}"/>
    <cellStyle name="Comma 4 3 2 8 6" xfId="11791" xr:uid="{A20EC607-E800-47FA-BB02-5B8FB727F63A}"/>
    <cellStyle name="Comma 4 3 2 9" xfId="2365" xr:uid="{00000000-0005-0000-0000-00006C090000}"/>
    <cellStyle name="Comma 4 3 3" xfId="149" xr:uid="{00000000-0005-0000-0000-00006D090000}"/>
    <cellStyle name="Comma 4 3 3 10" xfId="4620" xr:uid="{00000000-0005-0000-0000-00006E090000}"/>
    <cellStyle name="Comma 4 3 3 10 2" xfId="40138" xr:uid="{246712D0-5CE2-455D-8E4F-DC8CD46A212D}"/>
    <cellStyle name="Comma 4 3 3 10 3" xfId="31691" xr:uid="{3E4A62F4-5E5C-4DFF-A103-71032311FFC1}"/>
    <cellStyle name="Comma 4 3 3 10 4" xfId="23243" xr:uid="{9A891EC0-F565-40B6-83AB-32A465F0523D}"/>
    <cellStyle name="Comma 4 3 3 10 5" xfId="13946" xr:uid="{F7D1C746-824E-4FFE-BDB4-5BE4C8B2B86D}"/>
    <cellStyle name="Comma 4 3 3 11" xfId="8881" xr:uid="{ACA3BC7C-CED7-49C2-9DC3-E2A3989962E9}"/>
    <cellStyle name="Comma 4 3 3 11 2" xfId="35921" xr:uid="{893AD300-47DF-4BDB-B8A0-3AE21C3F9A63}"/>
    <cellStyle name="Comma 4 3 3 11 3" xfId="18204" xr:uid="{750189D9-2E0E-48A9-B2AB-7FEF77CF3891}"/>
    <cellStyle name="Comma 4 3 3 12" xfId="27473" xr:uid="{EB845928-E46C-4FD9-9236-279B524935A8}"/>
    <cellStyle name="Comma 4 3 3 13" xfId="19026" xr:uid="{A4BC7FB8-1774-47CF-974B-1CBB8644D1BA}"/>
    <cellStyle name="Comma 4 3 3 14" xfId="9729" xr:uid="{A710CAA2-FC30-4D31-8F6B-ECF95DF505DD}"/>
    <cellStyle name="Comma 4 3 3 2" xfId="150" xr:uid="{00000000-0005-0000-0000-00006F090000}"/>
    <cellStyle name="Comma 4 3 3 2 10" xfId="9088" xr:uid="{D40CFC42-DEA3-4A4C-8532-2B6CFC29229D}"/>
    <cellStyle name="Comma 4 3 3 2 10 2" xfId="35922" xr:uid="{35CBFBAA-0884-43F9-8E63-E7ADA327EB82}"/>
    <cellStyle name="Comma 4 3 3 2 10 3" xfId="18411" xr:uid="{4049BE04-FA2B-4443-89AE-123065606548}"/>
    <cellStyle name="Comma 4 3 3 2 11" xfId="27474" xr:uid="{64AE5232-9CF7-4933-A6BD-618E0BB69146}"/>
    <cellStyle name="Comma 4 3 3 2 12" xfId="19027" xr:uid="{19A3297F-6BDC-4A16-9167-406ED5989B32}"/>
    <cellStyle name="Comma 4 3 3 2 13" xfId="9730" xr:uid="{4E3397BB-00D0-4553-87F6-FF5E04130105}"/>
    <cellStyle name="Comma 4 3 3 2 2" xfId="687" xr:uid="{00000000-0005-0000-0000-000070090000}"/>
    <cellStyle name="Comma 4 3 3 2 2 2" xfId="2958" xr:uid="{00000000-0005-0000-0000-000071090000}"/>
    <cellStyle name="Comma 4 3 3 2 2 2 2" xfId="7180" xr:uid="{00000000-0005-0000-0000-000072090000}"/>
    <cellStyle name="Comma 4 3 3 2 2 2 2 2" xfId="42698" xr:uid="{5758EABB-853F-43E3-88B5-0FECF5A1493D}"/>
    <cellStyle name="Comma 4 3 3 2 2 2 2 3" xfId="34251" xr:uid="{140E369A-44CF-4D04-8ADA-9AAB43731E16}"/>
    <cellStyle name="Comma 4 3 3 2 2 2 2 4" xfId="25803" xr:uid="{6150170C-CFF9-4266-9473-1AB9D23C0E09}"/>
    <cellStyle name="Comma 4 3 3 2 2 2 2 5" xfId="16506" xr:uid="{0FE7040A-4712-4C78-A017-5184A080E1F6}"/>
    <cellStyle name="Comma 4 3 3 2 2 2 3" xfId="38481" xr:uid="{C3AF8515-65D9-42B5-8CD1-9F4EF763CAE3}"/>
    <cellStyle name="Comma 4 3 3 2 2 2 4" xfId="30033" xr:uid="{26E5FD31-077C-4483-B44C-F0C1908C49F6}"/>
    <cellStyle name="Comma 4 3 3 2 2 2 5" xfId="21586" xr:uid="{26A35F94-F555-4735-8875-244D6D010DCE}"/>
    <cellStyle name="Comma 4 3 3 2 2 2 6" xfId="12289" xr:uid="{ED2B2259-EFCD-4779-809A-6C1D2275EEBC}"/>
    <cellStyle name="Comma 4 3 3 2 2 3" xfId="5035" xr:uid="{00000000-0005-0000-0000-000073090000}"/>
    <cellStyle name="Comma 4 3 3 2 2 3 2" xfId="40553" xr:uid="{B46B33EE-8320-4E16-9C79-238508C3090C}"/>
    <cellStyle name="Comma 4 3 3 2 2 3 3" xfId="32106" xr:uid="{24705B24-0CAF-417F-BDDF-CB5ECAD88B90}"/>
    <cellStyle name="Comma 4 3 3 2 2 3 4" xfId="23658" xr:uid="{2687999A-38CA-4E5D-9ADB-40D944078C93}"/>
    <cellStyle name="Comma 4 3 3 2 2 3 5" xfId="14361" xr:uid="{CF986E0C-9859-4AD1-81BC-F183F2123FBE}"/>
    <cellStyle name="Comma 4 3 3 2 2 4" xfId="9513" xr:uid="{986E0DAD-8ABC-4DAC-9C56-EF87B6B3B829}"/>
    <cellStyle name="Comma 4 3 3 2 2 4 2" xfId="36336" xr:uid="{CDF73BD5-92CA-4D57-815B-5D7CFBDF9E65}"/>
    <cellStyle name="Comma 4 3 3 2 2 4 3" xfId="18826" xr:uid="{E2068730-0A00-41C3-9548-EE5402F941A6}"/>
    <cellStyle name="Comma 4 3 3 2 2 5" xfId="27888" xr:uid="{F9B0702B-1B5B-4889-AAB7-83BB5FCC516D}"/>
    <cellStyle name="Comma 4 3 3 2 2 6" xfId="19441" xr:uid="{48887A79-22AB-4265-861C-51CBC4BEF1A4}"/>
    <cellStyle name="Comma 4 3 3 2 2 7" xfId="10144" xr:uid="{8A95FAAD-95AA-42F3-AE8A-6B43E03EA152}"/>
    <cellStyle name="Comma 4 3 3 2 3" xfId="1140" xr:uid="{00000000-0005-0000-0000-000074090000}"/>
    <cellStyle name="Comma 4 3 3 2 3 2" xfId="3371" xr:uid="{00000000-0005-0000-0000-000075090000}"/>
    <cellStyle name="Comma 4 3 3 2 3 2 2" xfId="7593" xr:uid="{00000000-0005-0000-0000-000076090000}"/>
    <cellStyle name="Comma 4 3 3 2 3 2 2 2" xfId="43111" xr:uid="{1AE1105D-72FB-4877-A3B5-CFEBE73C4121}"/>
    <cellStyle name="Comma 4 3 3 2 3 2 2 3" xfId="34664" xr:uid="{5B1CBE90-67B5-4CB2-A1FF-0A2B285403FB}"/>
    <cellStyle name="Comma 4 3 3 2 3 2 2 4" xfId="26216" xr:uid="{FB80AEE5-C357-4EA8-B1A6-1CDD37D21B66}"/>
    <cellStyle name="Comma 4 3 3 2 3 2 2 5" xfId="16919" xr:uid="{0016081F-BC1C-4FD5-BDAE-4AA17998B8B8}"/>
    <cellStyle name="Comma 4 3 3 2 3 2 3" xfId="38894" xr:uid="{A8FC929F-60CD-46E9-824F-470A350988CE}"/>
    <cellStyle name="Comma 4 3 3 2 3 2 4" xfId="30446" xr:uid="{01EBCC20-B2DF-48D3-A518-B2C5FAA9EBFD}"/>
    <cellStyle name="Comma 4 3 3 2 3 2 5" xfId="21999" xr:uid="{C90118BD-DE24-4601-BCF0-8A8C8F9CFC16}"/>
    <cellStyle name="Comma 4 3 3 2 3 2 6" xfId="12702" xr:uid="{968C2D35-E908-4C86-8148-8E010AF691D5}"/>
    <cellStyle name="Comma 4 3 3 2 3 3" xfId="5448" xr:uid="{00000000-0005-0000-0000-000077090000}"/>
    <cellStyle name="Comma 4 3 3 2 3 3 2" xfId="40966" xr:uid="{864E5ED4-629E-416F-B002-4CF63294FDA5}"/>
    <cellStyle name="Comma 4 3 3 2 3 3 3" xfId="32519" xr:uid="{64904D44-7C4D-40FE-A87A-E53B7EF1AF62}"/>
    <cellStyle name="Comma 4 3 3 2 3 3 4" xfId="24071" xr:uid="{2CFE6367-2915-444F-9537-DB2FE8B00F8E}"/>
    <cellStyle name="Comma 4 3 3 2 3 3 5" xfId="14774" xr:uid="{198DEE6C-BB0C-43B9-A8EF-A79269E53F93}"/>
    <cellStyle name="Comma 4 3 3 2 3 4" xfId="36749" xr:uid="{3A133CF5-C942-4718-B969-20672A183CA5}"/>
    <cellStyle name="Comma 4 3 3 2 3 5" xfId="28301" xr:uid="{C7B4C845-48F5-42D6-BF73-93680C9A5A39}"/>
    <cellStyle name="Comma 4 3 3 2 3 6" xfId="19854" xr:uid="{DE1BCD45-D615-469D-8FF4-125698D618EC}"/>
    <cellStyle name="Comma 4 3 3 2 3 7" xfId="10557" xr:uid="{9BCB87AD-A88B-44B6-AA9C-614DDE596F19}"/>
    <cellStyle name="Comma 4 3 3 2 4" xfId="1554" xr:uid="{00000000-0005-0000-0000-000078090000}"/>
    <cellStyle name="Comma 4 3 3 2 4 2" xfId="3784" xr:uid="{00000000-0005-0000-0000-000079090000}"/>
    <cellStyle name="Comma 4 3 3 2 4 2 2" xfId="8006" xr:uid="{00000000-0005-0000-0000-00007A090000}"/>
    <cellStyle name="Comma 4 3 3 2 4 2 2 2" xfId="43524" xr:uid="{3B6DDEB5-96CB-4ADF-91BF-63D2F18310D7}"/>
    <cellStyle name="Comma 4 3 3 2 4 2 2 3" xfId="35077" xr:uid="{D6AC3C78-E851-48C4-BC3D-DE12DEEE6958}"/>
    <cellStyle name="Comma 4 3 3 2 4 2 2 4" xfId="26629" xr:uid="{97602B45-4997-48C3-B012-C770EF4A9F95}"/>
    <cellStyle name="Comma 4 3 3 2 4 2 2 5" xfId="17332" xr:uid="{308598CD-6318-498E-A23F-BCCC90AD972E}"/>
    <cellStyle name="Comma 4 3 3 2 4 2 3" xfId="39307" xr:uid="{3473B511-88A2-4DD3-B604-645A6D87493A}"/>
    <cellStyle name="Comma 4 3 3 2 4 2 4" xfId="30859" xr:uid="{C26BCC54-0EDA-411F-B5D3-F5FE76809D63}"/>
    <cellStyle name="Comma 4 3 3 2 4 2 5" xfId="22412" xr:uid="{A10AD733-2CE4-4B15-850F-C278E5C31216}"/>
    <cellStyle name="Comma 4 3 3 2 4 2 6" xfId="13115" xr:uid="{DFF8BBC8-0A4B-4853-9177-CA6C69E6B3C5}"/>
    <cellStyle name="Comma 4 3 3 2 4 3" xfId="5861" xr:uid="{00000000-0005-0000-0000-00007B090000}"/>
    <cellStyle name="Comma 4 3 3 2 4 3 2" xfId="41379" xr:uid="{2DC6B787-F4AE-4AE8-A2C2-9977480DD6F1}"/>
    <cellStyle name="Comma 4 3 3 2 4 3 3" xfId="32932" xr:uid="{C856BC89-36C3-46ED-BF19-2E973A77CA6C}"/>
    <cellStyle name="Comma 4 3 3 2 4 3 4" xfId="24484" xr:uid="{EA430ED2-F419-420D-AF67-5FBFFED21D1D}"/>
    <cellStyle name="Comma 4 3 3 2 4 3 5" xfId="15187" xr:uid="{26384FFB-380D-47C2-8AA4-9E5854446FF6}"/>
    <cellStyle name="Comma 4 3 3 2 4 4" xfId="37162" xr:uid="{6EF466B6-78EA-4F5B-9A6C-B8CA694E703B}"/>
    <cellStyle name="Comma 4 3 3 2 4 5" xfId="28714" xr:uid="{334DD32F-5E36-457F-A0F9-00FC2265FB26}"/>
    <cellStyle name="Comma 4 3 3 2 4 6" xfId="20267" xr:uid="{1BC4377F-69EA-4D35-BCD6-90D09FF29C68}"/>
    <cellStyle name="Comma 4 3 3 2 4 7" xfId="10970" xr:uid="{8EC3FA12-E84B-4E29-8A3B-2900BE2D4305}"/>
    <cellStyle name="Comma 4 3 3 2 5" xfId="1968" xr:uid="{00000000-0005-0000-0000-00007C090000}"/>
    <cellStyle name="Comma 4 3 3 2 5 2" xfId="4197" xr:uid="{00000000-0005-0000-0000-00007D090000}"/>
    <cellStyle name="Comma 4 3 3 2 5 2 2" xfId="8419" xr:uid="{00000000-0005-0000-0000-00007E090000}"/>
    <cellStyle name="Comma 4 3 3 2 5 2 2 2" xfId="43937" xr:uid="{75FB85A4-C360-4664-B051-FEA201A2398B}"/>
    <cellStyle name="Comma 4 3 3 2 5 2 2 3" xfId="35490" xr:uid="{AAD34B5D-A702-4A12-A81B-0C56F9D276B2}"/>
    <cellStyle name="Comma 4 3 3 2 5 2 2 4" xfId="27042" xr:uid="{4F1A9321-782D-49F3-998F-C347FB6B58D0}"/>
    <cellStyle name="Comma 4 3 3 2 5 2 2 5" xfId="17745" xr:uid="{A7EE17E6-A8F8-40F8-8783-9D9AEC99C122}"/>
    <cellStyle name="Comma 4 3 3 2 5 2 3" xfId="39720" xr:uid="{B2384B28-1C51-400E-A402-7A28FC7C6EAD}"/>
    <cellStyle name="Comma 4 3 3 2 5 2 4" xfId="31272" xr:uid="{9434A74D-FCDD-4CDB-884F-C9A4593B3CB6}"/>
    <cellStyle name="Comma 4 3 3 2 5 2 5" xfId="22825" xr:uid="{4530CE73-DAD5-4A4F-A7CF-B98658388994}"/>
    <cellStyle name="Comma 4 3 3 2 5 2 6" xfId="13528" xr:uid="{1CA231F4-CE60-4E09-AEC8-E9D98B180AD5}"/>
    <cellStyle name="Comma 4 3 3 2 5 3" xfId="6274" xr:uid="{00000000-0005-0000-0000-00007F090000}"/>
    <cellStyle name="Comma 4 3 3 2 5 3 2" xfId="41792" xr:uid="{4E52548C-A55F-4E48-80FA-683569BDBB08}"/>
    <cellStyle name="Comma 4 3 3 2 5 3 3" xfId="33345" xr:uid="{9D127F3C-5F68-4710-AA45-29DA3C3DF9D0}"/>
    <cellStyle name="Comma 4 3 3 2 5 3 4" xfId="24897" xr:uid="{BC2B2AC4-9247-410C-B9AE-021721C9907D}"/>
    <cellStyle name="Comma 4 3 3 2 5 3 5" xfId="15600" xr:uid="{8FDE1927-0CEC-4C03-AD24-6E1469E771AC}"/>
    <cellStyle name="Comma 4 3 3 2 5 4" xfId="37575" xr:uid="{A8B5F0F9-7293-4192-825D-04CA3F2D4D91}"/>
    <cellStyle name="Comma 4 3 3 2 5 5" xfId="29127" xr:uid="{A4FD06E4-1A00-4E8F-A3FF-411E3754F02C}"/>
    <cellStyle name="Comma 4 3 3 2 5 6" xfId="20680" xr:uid="{4EBF8478-2893-42BA-9BFC-C16A67B4BE5F}"/>
    <cellStyle name="Comma 4 3 3 2 5 7" xfId="11383" xr:uid="{FD5AF227-4E1A-4168-A141-D08D08E1824A}"/>
    <cellStyle name="Comma 4 3 3 2 6" xfId="2403" xr:uid="{00000000-0005-0000-0000-000080090000}"/>
    <cellStyle name="Comma 4 3 3 2 6 2" xfId="6687" xr:uid="{00000000-0005-0000-0000-000081090000}"/>
    <cellStyle name="Comma 4 3 3 2 6 2 2" xfId="42205" xr:uid="{12760BB0-15EB-45BE-BA44-EA68F06AFC23}"/>
    <cellStyle name="Comma 4 3 3 2 6 2 3" xfId="33758" xr:uid="{3A84E1B1-67C7-4280-ABB8-9F99B6B981B8}"/>
    <cellStyle name="Comma 4 3 3 2 6 2 4" xfId="25310" xr:uid="{BC577FBE-1F6A-47EC-A8DA-6B1EA867FA60}"/>
    <cellStyle name="Comma 4 3 3 2 6 2 5" xfId="16013" xr:uid="{2E4BA19D-EC7D-4EA5-BA88-CC2A329296DC}"/>
    <cellStyle name="Comma 4 3 3 2 6 3" xfId="37988" xr:uid="{F2F24066-24E6-4592-A244-B3AA8172FDF0}"/>
    <cellStyle name="Comma 4 3 3 2 6 4" xfId="29540" xr:uid="{757F1B19-5E89-492D-8047-8BBA6975F489}"/>
    <cellStyle name="Comma 4 3 3 2 6 5" xfId="21093" xr:uid="{1EDD4656-2F8D-4FD8-9F4E-7A7467065474}"/>
    <cellStyle name="Comma 4 3 3 2 6 6" xfId="11796" xr:uid="{8F137A18-71DB-4828-9C2C-BA3E3DF1E728}"/>
    <cellStyle name="Comma 4 3 3 2 7" xfId="2360" xr:uid="{00000000-0005-0000-0000-000082090000}"/>
    <cellStyle name="Comma 4 3 3 2 8" xfId="2781" xr:uid="{00000000-0005-0000-0000-000083090000}"/>
    <cellStyle name="Comma 4 3 3 2 8 2" xfId="7004" xr:uid="{00000000-0005-0000-0000-000084090000}"/>
    <cellStyle name="Comma 4 3 3 2 8 2 2" xfId="42522" xr:uid="{2D34CEB0-6B9B-43AE-8C68-4FB891121B63}"/>
    <cellStyle name="Comma 4 3 3 2 8 2 3" xfId="34075" xr:uid="{03A04C2B-B15F-4EAC-9600-1D6B2AA2CBA0}"/>
    <cellStyle name="Comma 4 3 3 2 8 2 4" xfId="25627" xr:uid="{F540AB77-007C-4BEE-B9C4-81C4735BF954}"/>
    <cellStyle name="Comma 4 3 3 2 8 2 5" xfId="16330" xr:uid="{28912987-D64E-4AD5-8A98-B01423AC0AE9}"/>
    <cellStyle name="Comma 4 3 3 2 8 3" xfId="38305" xr:uid="{9B8CF5B6-92E3-4148-B728-49E22B032C79}"/>
    <cellStyle name="Comma 4 3 3 2 8 4" xfId="29857" xr:uid="{0DCA2875-68F1-4926-964B-4A02F151A03C}"/>
    <cellStyle name="Comma 4 3 3 2 8 5" xfId="21410" xr:uid="{1FC88215-4CB7-4996-AF9B-F898CD42AC5E}"/>
    <cellStyle name="Comma 4 3 3 2 8 6" xfId="12113" xr:uid="{0529D98D-92B9-4971-A15F-078DB4835AC0}"/>
    <cellStyle name="Comma 4 3 3 2 9" xfId="4621" xr:uid="{00000000-0005-0000-0000-000085090000}"/>
    <cellStyle name="Comma 4 3 3 2 9 2" xfId="40139" xr:uid="{ECD62BBA-68B6-4202-8F47-A99202D3E5B3}"/>
    <cellStyle name="Comma 4 3 3 2 9 3" xfId="31692" xr:uid="{802A8FCD-3E08-4046-9D53-B454D8090D12}"/>
    <cellStyle name="Comma 4 3 3 2 9 4" xfId="23244" xr:uid="{48D635D2-4F4C-4E12-B898-6E875F3C2294}"/>
    <cellStyle name="Comma 4 3 3 2 9 5" xfId="13947" xr:uid="{932BAB2D-97B0-40D6-8A23-F8748E5A932C}"/>
    <cellStyle name="Comma 4 3 3 3" xfId="686" xr:uid="{00000000-0005-0000-0000-000086090000}"/>
    <cellStyle name="Comma 4 3 3 3 2" xfId="2957" xr:uid="{00000000-0005-0000-0000-000087090000}"/>
    <cellStyle name="Comma 4 3 3 3 2 2" xfId="7179" xr:uid="{00000000-0005-0000-0000-000088090000}"/>
    <cellStyle name="Comma 4 3 3 3 2 2 2" xfId="42697" xr:uid="{91DF06BA-8C83-449C-9608-129544824B38}"/>
    <cellStyle name="Comma 4 3 3 3 2 2 3" xfId="34250" xr:uid="{739D1A27-AE47-4E85-8A7A-C63E1BB4DF4B}"/>
    <cellStyle name="Comma 4 3 3 3 2 2 4" xfId="25802" xr:uid="{C238D6B8-DD49-4843-813E-66E964910094}"/>
    <cellStyle name="Comma 4 3 3 3 2 2 5" xfId="16505" xr:uid="{2802CC03-7827-4C35-B4C1-6CB76E403FCD}"/>
    <cellStyle name="Comma 4 3 3 3 2 3" xfId="38480" xr:uid="{E48D9822-D053-416E-B04C-470B08E793B1}"/>
    <cellStyle name="Comma 4 3 3 3 2 4" xfId="30032" xr:uid="{7E9F5596-28B3-41B3-970F-D5BAAF9B2B88}"/>
    <cellStyle name="Comma 4 3 3 3 2 5" xfId="21585" xr:uid="{54AE843E-335D-4881-9EDF-25C5C6ACF303}"/>
    <cellStyle name="Comma 4 3 3 3 2 6" xfId="12288" xr:uid="{56F8911C-0A5C-4DFB-B0B9-FBA593A3AE94}"/>
    <cellStyle name="Comma 4 3 3 3 3" xfId="5034" xr:uid="{00000000-0005-0000-0000-000089090000}"/>
    <cellStyle name="Comma 4 3 3 3 3 2" xfId="40552" xr:uid="{2B328725-37E6-4506-9B53-8092C87B420D}"/>
    <cellStyle name="Comma 4 3 3 3 3 3" xfId="32105" xr:uid="{F3F197DE-0C60-4401-8493-6A943CB665CF}"/>
    <cellStyle name="Comma 4 3 3 3 3 4" xfId="23657" xr:uid="{7E2E32FF-E1FC-4851-BC12-CC6377C9C087}"/>
    <cellStyle name="Comma 4 3 3 3 3 5" xfId="14360" xr:uid="{04EF9CF5-F54A-4AF4-94CC-DAA3D711E602}"/>
    <cellStyle name="Comma 4 3 3 3 4" xfId="9306" xr:uid="{6AC2749B-EC1D-4760-AD4B-F36381A669B6}"/>
    <cellStyle name="Comma 4 3 3 3 4 2" xfId="36335" xr:uid="{54687CCF-2E60-4AA1-B2BE-546269B71ACE}"/>
    <cellStyle name="Comma 4 3 3 3 4 3" xfId="18619" xr:uid="{3B40332A-C654-4C85-AF16-7E68C5C0DD58}"/>
    <cellStyle name="Comma 4 3 3 3 5" xfId="27887" xr:uid="{A4B46513-8493-477D-956C-BFE08047EE3B}"/>
    <cellStyle name="Comma 4 3 3 3 6" xfId="19440" xr:uid="{E9577398-C4FE-434A-8703-6CAC182A4D92}"/>
    <cellStyle name="Comma 4 3 3 3 7" xfId="10143" xr:uid="{D2D5DFD3-60F8-4566-A892-8EE4E245FC73}"/>
    <cellStyle name="Comma 4 3 3 4" xfId="1139" xr:uid="{00000000-0005-0000-0000-00008A090000}"/>
    <cellStyle name="Comma 4 3 3 4 2" xfId="3370" xr:uid="{00000000-0005-0000-0000-00008B090000}"/>
    <cellStyle name="Comma 4 3 3 4 2 2" xfId="7592" xr:uid="{00000000-0005-0000-0000-00008C090000}"/>
    <cellStyle name="Comma 4 3 3 4 2 2 2" xfId="43110" xr:uid="{68C8407D-7831-4EE0-8D4E-347E65117383}"/>
    <cellStyle name="Comma 4 3 3 4 2 2 3" xfId="34663" xr:uid="{CF2144C2-61AC-47DA-BCE2-386D35F3474B}"/>
    <cellStyle name="Comma 4 3 3 4 2 2 4" xfId="26215" xr:uid="{1C9ECD7B-B4D7-4412-9BB9-53D543C8A95D}"/>
    <cellStyle name="Comma 4 3 3 4 2 2 5" xfId="16918" xr:uid="{5226FF1C-2677-47F6-BFDC-49B37B5C6810}"/>
    <cellStyle name="Comma 4 3 3 4 2 3" xfId="38893" xr:uid="{86245822-3D78-4725-9948-E21FB6BC31CB}"/>
    <cellStyle name="Comma 4 3 3 4 2 4" xfId="30445" xr:uid="{25219E81-2C23-4667-B77A-34C9FA6FAA3A}"/>
    <cellStyle name="Comma 4 3 3 4 2 5" xfId="21998" xr:uid="{CB28ED84-1923-4430-83ED-044AABCEC2FA}"/>
    <cellStyle name="Comma 4 3 3 4 2 6" xfId="12701" xr:uid="{289C1F7F-3F87-4377-A7C8-AE3964F8D208}"/>
    <cellStyle name="Comma 4 3 3 4 3" xfId="5447" xr:uid="{00000000-0005-0000-0000-00008D090000}"/>
    <cellStyle name="Comma 4 3 3 4 3 2" xfId="40965" xr:uid="{F90A69ED-F843-4097-9D23-7973C753BD0B}"/>
    <cellStyle name="Comma 4 3 3 4 3 3" xfId="32518" xr:uid="{D629BE13-4146-46CE-9102-B1F7F01E0AEE}"/>
    <cellStyle name="Comma 4 3 3 4 3 4" xfId="24070" xr:uid="{AC1E5E58-5D45-4105-8ABC-A1FEEC68A22E}"/>
    <cellStyle name="Comma 4 3 3 4 3 5" xfId="14773" xr:uid="{B449ED4B-9B17-4EB6-AC91-A57C4B4E6B76}"/>
    <cellStyle name="Comma 4 3 3 4 4" xfId="36748" xr:uid="{46EFE482-976D-49D1-AA07-AD6049E4B968}"/>
    <cellStyle name="Comma 4 3 3 4 5" xfId="28300" xr:uid="{34B78E37-91E4-4343-AE49-B4EE79186842}"/>
    <cellStyle name="Comma 4 3 3 4 6" xfId="19853" xr:uid="{CC3BBCC7-CA91-4E64-8A1B-A8DB0B7011C8}"/>
    <cellStyle name="Comma 4 3 3 4 7" xfId="10556" xr:uid="{4E81B3C2-75A8-4925-AC52-5B27F257F3FD}"/>
    <cellStyle name="Comma 4 3 3 5" xfId="1553" xr:uid="{00000000-0005-0000-0000-00008E090000}"/>
    <cellStyle name="Comma 4 3 3 5 2" xfId="3783" xr:uid="{00000000-0005-0000-0000-00008F090000}"/>
    <cellStyle name="Comma 4 3 3 5 2 2" xfId="8005" xr:uid="{00000000-0005-0000-0000-000090090000}"/>
    <cellStyle name="Comma 4 3 3 5 2 2 2" xfId="43523" xr:uid="{44CB1714-D770-4133-A17A-3AB2E10192B2}"/>
    <cellStyle name="Comma 4 3 3 5 2 2 3" xfId="35076" xr:uid="{AEF68DB0-966A-4B3A-83D9-CA2543A4913B}"/>
    <cellStyle name="Comma 4 3 3 5 2 2 4" xfId="26628" xr:uid="{F578BB1F-6A29-4F97-AB42-51891D36C114}"/>
    <cellStyle name="Comma 4 3 3 5 2 2 5" xfId="17331" xr:uid="{9C746040-0F77-41FF-B6C5-896E48C69F0A}"/>
    <cellStyle name="Comma 4 3 3 5 2 3" xfId="39306" xr:uid="{0B1EFCA8-56B5-4240-9E16-01382054A6FD}"/>
    <cellStyle name="Comma 4 3 3 5 2 4" xfId="30858" xr:uid="{9F45EFAE-BEB5-4E9E-AFCD-A948D0207D62}"/>
    <cellStyle name="Comma 4 3 3 5 2 5" xfId="22411" xr:uid="{1A87081C-D31F-4B92-BCF5-C847E6ABACD9}"/>
    <cellStyle name="Comma 4 3 3 5 2 6" xfId="13114" xr:uid="{BD29F92D-EC03-4F52-B1D6-F5C03A475ABB}"/>
    <cellStyle name="Comma 4 3 3 5 3" xfId="5860" xr:uid="{00000000-0005-0000-0000-000091090000}"/>
    <cellStyle name="Comma 4 3 3 5 3 2" xfId="41378" xr:uid="{43355015-467F-4658-990A-89E77EF65B62}"/>
    <cellStyle name="Comma 4 3 3 5 3 3" xfId="32931" xr:uid="{E2312ACF-A28C-42EC-8374-7A739696E808}"/>
    <cellStyle name="Comma 4 3 3 5 3 4" xfId="24483" xr:uid="{41AFD9F4-F39F-4C31-94F4-4092659D27B2}"/>
    <cellStyle name="Comma 4 3 3 5 3 5" xfId="15186" xr:uid="{A94DD9B6-5D7B-4588-A922-588AB2F60C4E}"/>
    <cellStyle name="Comma 4 3 3 5 4" xfId="37161" xr:uid="{AF6015CD-CC25-4A79-8F3D-9B34AE3F3E1C}"/>
    <cellStyle name="Comma 4 3 3 5 5" xfId="28713" xr:uid="{02BACD1B-B398-4BCC-BCA1-42A0AEE9AFD6}"/>
    <cellStyle name="Comma 4 3 3 5 6" xfId="20266" xr:uid="{133F69A9-F47F-44F3-B0EE-73A230282649}"/>
    <cellStyle name="Comma 4 3 3 5 7" xfId="10969" xr:uid="{84815E26-7B4E-4BEF-AF7B-445CEBDE1F0F}"/>
    <cellStyle name="Comma 4 3 3 6" xfId="1967" xr:uid="{00000000-0005-0000-0000-000092090000}"/>
    <cellStyle name="Comma 4 3 3 6 2" xfId="4196" xr:uid="{00000000-0005-0000-0000-000093090000}"/>
    <cellStyle name="Comma 4 3 3 6 2 2" xfId="8418" xr:uid="{00000000-0005-0000-0000-000094090000}"/>
    <cellStyle name="Comma 4 3 3 6 2 2 2" xfId="43936" xr:uid="{7ED6300C-FD7E-42F8-92C9-B646D877D40D}"/>
    <cellStyle name="Comma 4 3 3 6 2 2 3" xfId="35489" xr:uid="{99711DB0-B4B7-4820-9B08-3636547FA093}"/>
    <cellStyle name="Comma 4 3 3 6 2 2 4" xfId="27041" xr:uid="{923446D3-1FF3-46B6-89B6-9FEF089358E6}"/>
    <cellStyle name="Comma 4 3 3 6 2 2 5" xfId="17744" xr:uid="{03A3B04D-E6F5-4CF1-B985-AFFA6E3D7875}"/>
    <cellStyle name="Comma 4 3 3 6 2 3" xfId="39719" xr:uid="{68589532-6710-4957-AD81-E55853DF36C9}"/>
    <cellStyle name="Comma 4 3 3 6 2 4" xfId="31271" xr:uid="{09D49FAD-2764-4CAE-97FA-79C9496BAA38}"/>
    <cellStyle name="Comma 4 3 3 6 2 5" xfId="22824" xr:uid="{8C7C9324-70D6-4D88-8EED-B59E22660BB2}"/>
    <cellStyle name="Comma 4 3 3 6 2 6" xfId="13527" xr:uid="{1D6DD941-C14F-4AEE-B7FA-32EBC4F3E6BB}"/>
    <cellStyle name="Comma 4 3 3 6 3" xfId="6273" xr:uid="{00000000-0005-0000-0000-000095090000}"/>
    <cellStyle name="Comma 4 3 3 6 3 2" xfId="41791" xr:uid="{375E6A07-CB6F-4C9F-B363-5AE0685B257B}"/>
    <cellStyle name="Comma 4 3 3 6 3 3" xfId="33344" xr:uid="{2377E00F-D4C7-42C4-BBB0-BE558F224AE5}"/>
    <cellStyle name="Comma 4 3 3 6 3 4" xfId="24896" xr:uid="{391FAE23-5A8B-41C0-9E12-8F1AE893F93D}"/>
    <cellStyle name="Comma 4 3 3 6 3 5" xfId="15599" xr:uid="{C83A68B9-DD4F-4A34-9EA3-C88F74DFBCFC}"/>
    <cellStyle name="Comma 4 3 3 6 4" xfId="37574" xr:uid="{2D336613-2929-483E-A60B-2716436791AA}"/>
    <cellStyle name="Comma 4 3 3 6 5" xfId="29126" xr:uid="{AE17EA7A-0347-44C0-8B6A-6573AF58A554}"/>
    <cellStyle name="Comma 4 3 3 6 6" xfId="20679" xr:uid="{372102A4-A45D-453F-8BFF-FBB6D8C9AD33}"/>
    <cellStyle name="Comma 4 3 3 6 7" xfId="11382" xr:uid="{EDFC6660-E302-42D9-925C-01C4F0E5DEB5}"/>
    <cellStyle name="Comma 4 3 3 7" xfId="2402" xr:uid="{00000000-0005-0000-0000-000096090000}"/>
    <cellStyle name="Comma 4 3 3 7 2" xfId="6686" xr:uid="{00000000-0005-0000-0000-000097090000}"/>
    <cellStyle name="Comma 4 3 3 7 2 2" xfId="42204" xr:uid="{7CAFBC3F-F545-4760-A518-85829790DC5B}"/>
    <cellStyle name="Comma 4 3 3 7 2 3" xfId="33757" xr:uid="{AA951E81-08C7-4D83-AD40-DF593A28B764}"/>
    <cellStyle name="Comma 4 3 3 7 2 4" xfId="25309" xr:uid="{7F09C140-4295-4570-9463-4BEB81559898}"/>
    <cellStyle name="Comma 4 3 3 7 2 5" xfId="16012" xr:uid="{41AF7870-644A-4992-A5FC-E02F40AAB4F7}"/>
    <cellStyle name="Comma 4 3 3 7 3" xfId="37987" xr:uid="{140D1F78-11F3-4957-9C74-7235548A32BB}"/>
    <cellStyle name="Comma 4 3 3 7 4" xfId="29539" xr:uid="{8272EE6A-556B-4BF5-8A20-F4F862A36408}"/>
    <cellStyle name="Comma 4 3 3 7 5" xfId="21092" xr:uid="{56F5ACF8-617C-43A0-A755-AF9B9FE239A6}"/>
    <cellStyle name="Comma 4 3 3 7 6" xfId="11795" xr:uid="{59EC09A8-4F78-4423-B857-2A0F6A18AE29}"/>
    <cellStyle name="Comma 4 3 3 8" xfId="2361" xr:uid="{00000000-0005-0000-0000-000098090000}"/>
    <cellStyle name="Comma 4 3 3 9" xfId="2780" xr:uid="{00000000-0005-0000-0000-000099090000}"/>
    <cellStyle name="Comma 4 3 3 9 2" xfId="7003" xr:uid="{00000000-0005-0000-0000-00009A090000}"/>
    <cellStyle name="Comma 4 3 3 9 2 2" xfId="42521" xr:uid="{5E26CD8C-0638-4BCF-AF71-E4347D7E3B10}"/>
    <cellStyle name="Comma 4 3 3 9 2 3" xfId="34074" xr:uid="{D9567C30-3A82-4D81-BF47-EBF3F4507C70}"/>
    <cellStyle name="Comma 4 3 3 9 2 4" xfId="25626" xr:uid="{ADE2CFB3-167D-4089-8A21-0CDB93C5227B}"/>
    <cellStyle name="Comma 4 3 3 9 2 5" xfId="16329" xr:uid="{E98EE12F-3ED5-450A-8C16-89A520E8652F}"/>
    <cellStyle name="Comma 4 3 3 9 3" xfId="38304" xr:uid="{CB2F8DF0-B900-4C4E-8D47-49FAD3557B9A}"/>
    <cellStyle name="Comma 4 3 3 9 4" xfId="29856" xr:uid="{99507D32-2A24-42EA-9284-8BBC49368D11}"/>
    <cellStyle name="Comma 4 3 3 9 5" xfId="21409" xr:uid="{5E305D59-9228-4776-A250-8219F637CBE2}"/>
    <cellStyle name="Comma 4 3 3 9 6" xfId="12112" xr:uid="{C45136F1-F7FF-4663-89BA-A0E86E6205C6}"/>
    <cellStyle name="Comma 4 3 4" xfId="151" xr:uid="{00000000-0005-0000-0000-00009B090000}"/>
    <cellStyle name="Comma 4 3 4 10" xfId="8985" xr:uid="{E965CEC1-A932-4F91-9E18-794CBF7DC7FC}"/>
    <cellStyle name="Comma 4 3 4 10 2" xfId="35923" xr:uid="{E47139A0-D01A-46B6-80C2-9372132AC18F}"/>
    <cellStyle name="Comma 4 3 4 10 3" xfId="18308" xr:uid="{32026764-EB20-4F32-8DF9-11716466FFF5}"/>
    <cellStyle name="Comma 4 3 4 11" xfId="27475" xr:uid="{7F9978B9-1828-4A3C-B232-B2641DF58568}"/>
    <cellStyle name="Comma 4 3 4 12" xfId="19028" xr:uid="{8CDC93A7-82BD-4207-BE69-E1F8200C5C4D}"/>
    <cellStyle name="Comma 4 3 4 13" xfId="9731" xr:uid="{F235694B-7920-4316-B5C2-A266DE6B4312}"/>
    <cellStyle name="Comma 4 3 4 2" xfId="688" xr:uid="{00000000-0005-0000-0000-00009C090000}"/>
    <cellStyle name="Comma 4 3 4 2 2" xfId="2959" xr:uid="{00000000-0005-0000-0000-00009D090000}"/>
    <cellStyle name="Comma 4 3 4 2 2 2" xfId="7181" xr:uid="{00000000-0005-0000-0000-00009E090000}"/>
    <cellStyle name="Comma 4 3 4 2 2 2 2" xfId="42699" xr:uid="{00AE5611-ACB8-4E47-BF56-8613D0646840}"/>
    <cellStyle name="Comma 4 3 4 2 2 2 3" xfId="34252" xr:uid="{66600BDA-BAB0-4F32-AF7C-A66D77DA6F2F}"/>
    <cellStyle name="Comma 4 3 4 2 2 2 4" xfId="25804" xr:uid="{8263AB27-F0CE-4EAF-824B-E8B3E62E0B4E}"/>
    <cellStyle name="Comma 4 3 4 2 2 2 5" xfId="16507" xr:uid="{37DF0F2F-09B3-462B-B6E1-E10CA16CE9BD}"/>
    <cellStyle name="Comma 4 3 4 2 2 3" xfId="38482" xr:uid="{50B7F935-41F7-4B9F-99A6-3A5BB4C39015}"/>
    <cellStyle name="Comma 4 3 4 2 2 4" xfId="30034" xr:uid="{A5E683FF-EEA7-4A68-8563-95BF533CD3FD}"/>
    <cellStyle name="Comma 4 3 4 2 2 5" xfId="21587" xr:uid="{CC5200C7-F52E-454E-8BEE-457996D9BD4B}"/>
    <cellStyle name="Comma 4 3 4 2 2 6" xfId="12290" xr:uid="{C5257518-6340-4B27-B278-5D8C529FB52E}"/>
    <cellStyle name="Comma 4 3 4 2 3" xfId="5036" xr:uid="{00000000-0005-0000-0000-00009F090000}"/>
    <cellStyle name="Comma 4 3 4 2 3 2" xfId="40554" xr:uid="{16CC0E5D-A31F-464A-AC47-37A56D7A6AFE}"/>
    <cellStyle name="Comma 4 3 4 2 3 3" xfId="32107" xr:uid="{FD4C503A-45A8-4944-9D0A-6569C139421F}"/>
    <cellStyle name="Comma 4 3 4 2 3 4" xfId="23659" xr:uid="{8D3F9456-065F-4CE2-90B5-4FE1771FD7F5}"/>
    <cellStyle name="Comma 4 3 4 2 3 5" xfId="14362" xr:uid="{0168930C-48EF-4491-9607-A9A23AA188E5}"/>
    <cellStyle name="Comma 4 3 4 2 4" xfId="9410" xr:uid="{54DEC146-6204-4AAF-A15F-BAC0A12B5984}"/>
    <cellStyle name="Comma 4 3 4 2 4 2" xfId="36337" xr:uid="{E74CF593-6F0A-4BA5-BD2D-BFAACD204151}"/>
    <cellStyle name="Comma 4 3 4 2 4 3" xfId="18723" xr:uid="{524D4705-B2BC-4FC7-9363-D041A35B3125}"/>
    <cellStyle name="Comma 4 3 4 2 5" xfId="27889" xr:uid="{E76E4F5F-4A05-40A2-BB3E-DEAED8D82627}"/>
    <cellStyle name="Comma 4 3 4 2 6" xfId="19442" xr:uid="{5CF3E8DB-40D5-4B31-B34C-A866DF81C940}"/>
    <cellStyle name="Comma 4 3 4 2 7" xfId="10145" xr:uid="{9CA842D5-B940-4F64-B2C5-57DCC3038752}"/>
    <cellStyle name="Comma 4 3 4 3" xfId="1141" xr:uid="{00000000-0005-0000-0000-0000A0090000}"/>
    <cellStyle name="Comma 4 3 4 3 2" xfId="3372" xr:uid="{00000000-0005-0000-0000-0000A1090000}"/>
    <cellStyle name="Comma 4 3 4 3 2 2" xfId="7594" xr:uid="{00000000-0005-0000-0000-0000A2090000}"/>
    <cellStyle name="Comma 4 3 4 3 2 2 2" xfId="43112" xr:uid="{3DBC1924-FF8B-4409-8EA8-50637439743E}"/>
    <cellStyle name="Comma 4 3 4 3 2 2 3" xfId="34665" xr:uid="{9710287B-CA5E-46EF-B5A1-E1D1D4108416}"/>
    <cellStyle name="Comma 4 3 4 3 2 2 4" xfId="26217" xr:uid="{51865BBB-97FC-44CA-ACC9-6CBF2AB392C7}"/>
    <cellStyle name="Comma 4 3 4 3 2 2 5" xfId="16920" xr:uid="{C27BF9C2-538C-4818-B3FC-6F30A7C191A1}"/>
    <cellStyle name="Comma 4 3 4 3 2 3" xfId="38895" xr:uid="{9FF2201C-FB4D-4618-B52E-1D4C1C819AB7}"/>
    <cellStyle name="Comma 4 3 4 3 2 4" xfId="30447" xr:uid="{C988EC21-B029-49BE-B53F-8DE806A3F13C}"/>
    <cellStyle name="Comma 4 3 4 3 2 5" xfId="22000" xr:uid="{7AF465C8-E2EB-4458-931C-A4E05CD72DA0}"/>
    <cellStyle name="Comma 4 3 4 3 2 6" xfId="12703" xr:uid="{2C87A0AB-4429-4EBD-91CE-21423B11DBE2}"/>
    <cellStyle name="Comma 4 3 4 3 3" xfId="5449" xr:uid="{00000000-0005-0000-0000-0000A3090000}"/>
    <cellStyle name="Comma 4 3 4 3 3 2" xfId="40967" xr:uid="{014E6D36-0EFB-4D76-AE8E-0FE319561664}"/>
    <cellStyle name="Comma 4 3 4 3 3 3" xfId="32520" xr:uid="{DB84370E-CA05-43B9-9603-C65AC2DF4B12}"/>
    <cellStyle name="Comma 4 3 4 3 3 4" xfId="24072" xr:uid="{C662A166-D198-4C89-8C4F-F676F648F079}"/>
    <cellStyle name="Comma 4 3 4 3 3 5" xfId="14775" xr:uid="{17172901-EB79-41A6-A546-D76118C6118F}"/>
    <cellStyle name="Comma 4 3 4 3 4" xfId="36750" xr:uid="{82B8C303-C287-475A-8D79-D4E571731258}"/>
    <cellStyle name="Comma 4 3 4 3 5" xfId="28302" xr:uid="{7FD45E60-E57C-43C6-B9CF-EFD0B859DE75}"/>
    <cellStyle name="Comma 4 3 4 3 6" xfId="19855" xr:uid="{078B9027-139D-448B-95D1-BECBDB520FD1}"/>
    <cellStyle name="Comma 4 3 4 3 7" xfId="10558" xr:uid="{ABBD5FA1-299C-4B6C-A1C2-BB2D7792754B}"/>
    <cellStyle name="Comma 4 3 4 4" xfId="1555" xr:uid="{00000000-0005-0000-0000-0000A4090000}"/>
    <cellStyle name="Comma 4 3 4 4 2" xfId="3785" xr:uid="{00000000-0005-0000-0000-0000A5090000}"/>
    <cellStyle name="Comma 4 3 4 4 2 2" xfId="8007" xr:uid="{00000000-0005-0000-0000-0000A6090000}"/>
    <cellStyle name="Comma 4 3 4 4 2 2 2" xfId="43525" xr:uid="{883AFBB7-A08C-4E7D-AE81-7B0935D7E0EA}"/>
    <cellStyle name="Comma 4 3 4 4 2 2 3" xfId="35078" xr:uid="{117AEABF-ADA4-427B-B3FF-AF94BDCB175A}"/>
    <cellStyle name="Comma 4 3 4 4 2 2 4" xfId="26630" xr:uid="{EA6BD8FE-65FB-4BDB-B4DE-ECBA6ECB12B4}"/>
    <cellStyle name="Comma 4 3 4 4 2 2 5" xfId="17333" xr:uid="{F53F0845-B2B6-4F5A-9E62-C7B833E26F1C}"/>
    <cellStyle name="Comma 4 3 4 4 2 3" xfId="39308" xr:uid="{08A5B41B-CC58-4621-B345-960300340E07}"/>
    <cellStyle name="Comma 4 3 4 4 2 4" xfId="30860" xr:uid="{7FD20546-AA66-45E9-B1EC-BB1F96417132}"/>
    <cellStyle name="Comma 4 3 4 4 2 5" xfId="22413" xr:uid="{150C2693-1C1B-408A-AC74-5172707D9995}"/>
    <cellStyle name="Comma 4 3 4 4 2 6" xfId="13116" xr:uid="{8FC68CBD-C00A-46B3-A0A6-7E62EB30268A}"/>
    <cellStyle name="Comma 4 3 4 4 3" xfId="5862" xr:uid="{00000000-0005-0000-0000-0000A7090000}"/>
    <cellStyle name="Comma 4 3 4 4 3 2" xfId="41380" xr:uid="{258A1468-ED5E-4911-A052-DBD0CB27F279}"/>
    <cellStyle name="Comma 4 3 4 4 3 3" xfId="32933" xr:uid="{F4950816-E777-4861-9375-455944A8B3EE}"/>
    <cellStyle name="Comma 4 3 4 4 3 4" xfId="24485" xr:uid="{3A40BF5F-218B-41CF-8C6A-3636C41B48FF}"/>
    <cellStyle name="Comma 4 3 4 4 3 5" xfId="15188" xr:uid="{DE7A64EF-245A-4DFE-B980-A20F8D459CAC}"/>
    <cellStyle name="Comma 4 3 4 4 4" xfId="37163" xr:uid="{6A42044D-7017-4A30-8DCC-CE76E07A12F8}"/>
    <cellStyle name="Comma 4 3 4 4 5" xfId="28715" xr:uid="{E799BFEE-8EA4-4042-B0E0-33B41EEDE5A1}"/>
    <cellStyle name="Comma 4 3 4 4 6" xfId="20268" xr:uid="{974EC145-355C-4C61-B824-B75EE91A3870}"/>
    <cellStyle name="Comma 4 3 4 4 7" xfId="10971" xr:uid="{503BA77A-D21F-47A5-BCF3-60B244E77304}"/>
    <cellStyle name="Comma 4 3 4 5" xfId="1969" xr:uid="{00000000-0005-0000-0000-0000A8090000}"/>
    <cellStyle name="Comma 4 3 4 5 2" xfId="4198" xr:uid="{00000000-0005-0000-0000-0000A9090000}"/>
    <cellStyle name="Comma 4 3 4 5 2 2" xfId="8420" xr:uid="{00000000-0005-0000-0000-0000AA090000}"/>
    <cellStyle name="Comma 4 3 4 5 2 2 2" xfId="43938" xr:uid="{009FFD75-EF03-4FBE-8F10-87363FE7704C}"/>
    <cellStyle name="Comma 4 3 4 5 2 2 3" xfId="35491" xr:uid="{56E849E2-7AFA-418E-BF61-67586BD34CB1}"/>
    <cellStyle name="Comma 4 3 4 5 2 2 4" xfId="27043" xr:uid="{DE091E29-9F7A-47B0-A5AA-E75074CAC994}"/>
    <cellStyle name="Comma 4 3 4 5 2 2 5" xfId="17746" xr:uid="{30946D02-E1F4-4EBD-AB17-6545954D531E}"/>
    <cellStyle name="Comma 4 3 4 5 2 3" xfId="39721" xr:uid="{E337CC54-9A4D-4213-BF22-E4EE000E0EB3}"/>
    <cellStyle name="Comma 4 3 4 5 2 4" xfId="31273" xr:uid="{B4F7DCAF-91A5-4D47-A762-6CC443B9A9E2}"/>
    <cellStyle name="Comma 4 3 4 5 2 5" xfId="22826" xr:uid="{A1189757-0E56-4A79-9B42-80F20A811265}"/>
    <cellStyle name="Comma 4 3 4 5 2 6" xfId="13529" xr:uid="{6871B004-C412-4CB9-A4BD-8C8613C13348}"/>
    <cellStyle name="Comma 4 3 4 5 3" xfId="6275" xr:uid="{00000000-0005-0000-0000-0000AB090000}"/>
    <cellStyle name="Comma 4 3 4 5 3 2" xfId="41793" xr:uid="{651BBCB0-7FC0-4C02-9407-E4F06DDC987D}"/>
    <cellStyle name="Comma 4 3 4 5 3 3" xfId="33346" xr:uid="{C92F0DA6-B69F-47F4-BA31-BE578483FE2F}"/>
    <cellStyle name="Comma 4 3 4 5 3 4" xfId="24898" xr:uid="{4A0FC707-0D79-415F-AA4B-885C89A80CAC}"/>
    <cellStyle name="Comma 4 3 4 5 3 5" xfId="15601" xr:uid="{FE9C2FAA-04D4-42E7-A319-07B5B71FE690}"/>
    <cellStyle name="Comma 4 3 4 5 4" xfId="37576" xr:uid="{AA603D2F-F611-41EB-9147-A39B12B7D972}"/>
    <cellStyle name="Comma 4 3 4 5 5" xfId="29128" xr:uid="{AD3EC3CF-73B9-41F3-B48A-4F2E7CF7FF2F}"/>
    <cellStyle name="Comma 4 3 4 5 6" xfId="20681" xr:uid="{248B1DE8-73CB-4717-9310-8133730B6708}"/>
    <cellStyle name="Comma 4 3 4 5 7" xfId="11384" xr:uid="{F152BF65-4EBF-48B7-B723-D49C5DEAFF9C}"/>
    <cellStyle name="Comma 4 3 4 6" xfId="2404" xr:uid="{00000000-0005-0000-0000-0000AC090000}"/>
    <cellStyle name="Comma 4 3 4 6 2" xfId="6688" xr:uid="{00000000-0005-0000-0000-0000AD090000}"/>
    <cellStyle name="Comma 4 3 4 6 2 2" xfId="42206" xr:uid="{69C11634-381E-41A5-AF45-EA98DA31EF94}"/>
    <cellStyle name="Comma 4 3 4 6 2 3" xfId="33759" xr:uid="{07554D00-F118-4CC8-95E4-51CCC5319B15}"/>
    <cellStyle name="Comma 4 3 4 6 2 4" xfId="25311" xr:uid="{70122FBE-B11C-4027-B1B9-5B1B621A5611}"/>
    <cellStyle name="Comma 4 3 4 6 2 5" xfId="16014" xr:uid="{E74ECF03-70B7-4132-A4B1-24FF2DE0FA3B}"/>
    <cellStyle name="Comma 4 3 4 6 3" xfId="37989" xr:uid="{84F1B62A-7DFA-4C0F-8033-038A90FBD864}"/>
    <cellStyle name="Comma 4 3 4 6 4" xfId="29541" xr:uid="{BCEEBDA2-A9F7-40A5-9E69-65E5F5E38423}"/>
    <cellStyle name="Comma 4 3 4 6 5" xfId="21094" xr:uid="{A9F10280-C616-4C64-8DEB-A3DD22068945}"/>
    <cellStyle name="Comma 4 3 4 6 6" xfId="11797" xr:uid="{9F8AADD8-196E-42EB-AACC-FD675B4AD91B}"/>
    <cellStyle name="Comma 4 3 4 7" xfId="2700" xr:uid="{00000000-0005-0000-0000-0000AE090000}"/>
    <cellStyle name="Comma 4 3 4 8" xfId="2782" xr:uid="{00000000-0005-0000-0000-0000AF090000}"/>
    <cellStyle name="Comma 4 3 4 8 2" xfId="7005" xr:uid="{00000000-0005-0000-0000-0000B0090000}"/>
    <cellStyle name="Comma 4 3 4 8 2 2" xfId="42523" xr:uid="{A960073A-FCBF-4612-9082-26BE154C1F39}"/>
    <cellStyle name="Comma 4 3 4 8 2 3" xfId="34076" xr:uid="{8EC22E49-CDDF-4D73-99B4-26E924FC4916}"/>
    <cellStyle name="Comma 4 3 4 8 2 4" xfId="25628" xr:uid="{905C1A1D-706D-4795-9A6D-4DC5A478AFD8}"/>
    <cellStyle name="Comma 4 3 4 8 2 5" xfId="16331" xr:uid="{7568A452-7256-417D-AADC-9B0E4632E62E}"/>
    <cellStyle name="Comma 4 3 4 8 3" xfId="38306" xr:uid="{4B34CB97-7469-4B7B-B3AF-8CB8D7EF712B}"/>
    <cellStyle name="Comma 4 3 4 8 4" xfId="29858" xr:uid="{6A46D4C8-1E94-4251-A110-9117658B6B3D}"/>
    <cellStyle name="Comma 4 3 4 8 5" xfId="21411" xr:uid="{2B6AE337-F35B-437B-BAFC-ACF5D18F9824}"/>
    <cellStyle name="Comma 4 3 4 8 6" xfId="12114" xr:uid="{96B711C4-0723-4B71-80B1-C3E2B0DE2D4F}"/>
    <cellStyle name="Comma 4 3 4 9" xfId="4622" xr:uid="{00000000-0005-0000-0000-0000B1090000}"/>
    <cellStyle name="Comma 4 3 4 9 2" xfId="40140" xr:uid="{0F72E7A7-39AD-4750-A269-662E5107C250}"/>
    <cellStyle name="Comma 4 3 4 9 3" xfId="31693" xr:uid="{D56DFE7A-9154-4406-A9F5-4E64D9B953BC}"/>
    <cellStyle name="Comma 4 3 4 9 4" xfId="23245" xr:uid="{5A35501A-E278-44B1-A4CB-02501A17601F}"/>
    <cellStyle name="Comma 4 3 4 9 5" xfId="13948" xr:uid="{3938AF49-2913-4A48-96FD-1CE9FDA9EB9D}"/>
    <cellStyle name="Comma 4 3 5" xfId="152" xr:uid="{00000000-0005-0000-0000-0000B2090000}"/>
    <cellStyle name="Comma 4 3 5 10" xfId="9202" xr:uid="{BF5456DA-E11C-47BD-8210-21F45D9E5F79}"/>
    <cellStyle name="Comma 4 3 5 10 2" xfId="35924" xr:uid="{969419D8-C4E1-446A-B88D-AAA3201E4BB0}"/>
    <cellStyle name="Comma 4 3 5 10 3" xfId="18516" xr:uid="{2603DEB7-5C5C-4855-9062-A5CCADE4C3C8}"/>
    <cellStyle name="Comma 4 3 5 11" xfId="27476" xr:uid="{AD410856-A204-479C-9194-D4BB4DFD1D8E}"/>
    <cellStyle name="Comma 4 3 5 12" xfId="19029" xr:uid="{01E66014-B614-421D-9F3B-13D64426F329}"/>
    <cellStyle name="Comma 4 3 5 13" xfId="9732" xr:uid="{9F0A0277-6D51-4F6B-9FE8-6C66DF3B81D7}"/>
    <cellStyle name="Comma 4 3 5 2" xfId="689" xr:uid="{00000000-0005-0000-0000-0000B3090000}"/>
    <cellStyle name="Comma 4 3 5 2 2" xfId="2960" xr:uid="{00000000-0005-0000-0000-0000B4090000}"/>
    <cellStyle name="Comma 4 3 5 2 2 2" xfId="7182" xr:uid="{00000000-0005-0000-0000-0000B5090000}"/>
    <cellStyle name="Comma 4 3 5 2 2 2 2" xfId="42700" xr:uid="{FA93BBE3-5C4A-4D1A-9163-5543DE387DA8}"/>
    <cellStyle name="Comma 4 3 5 2 2 2 3" xfId="34253" xr:uid="{A9464708-CC94-47EB-BFA2-983BAFE8B9FA}"/>
    <cellStyle name="Comma 4 3 5 2 2 2 4" xfId="25805" xr:uid="{0729A665-134C-4C1B-8A21-15033ACCC0C9}"/>
    <cellStyle name="Comma 4 3 5 2 2 2 5" xfId="16508" xr:uid="{276E6A11-EF27-419B-B686-C8998F144A03}"/>
    <cellStyle name="Comma 4 3 5 2 2 3" xfId="38483" xr:uid="{65049815-CBA0-4626-9A03-9541E7CA934B}"/>
    <cellStyle name="Comma 4 3 5 2 2 4" xfId="30035" xr:uid="{CF198D10-41B7-47D3-8507-BF47589D40BA}"/>
    <cellStyle name="Comma 4 3 5 2 2 5" xfId="21588" xr:uid="{0ED4FCF6-5BD5-4A42-B022-90DAA54747A5}"/>
    <cellStyle name="Comma 4 3 5 2 2 6" xfId="12291" xr:uid="{0477D42C-3A28-48DC-8EE9-78844F3A85D9}"/>
    <cellStyle name="Comma 4 3 5 2 3" xfId="5037" xr:uid="{00000000-0005-0000-0000-0000B6090000}"/>
    <cellStyle name="Comma 4 3 5 2 3 2" xfId="40555" xr:uid="{70E43762-4F85-41AA-ABBA-AF4D10CD3E7E}"/>
    <cellStyle name="Comma 4 3 5 2 3 3" xfId="32108" xr:uid="{84204C81-E795-4049-B99D-54B8DD06A818}"/>
    <cellStyle name="Comma 4 3 5 2 3 4" xfId="23660" xr:uid="{607DDCD9-E171-4568-80D8-626E79586F81}"/>
    <cellStyle name="Comma 4 3 5 2 3 5" xfId="14363" xr:uid="{639031AC-F680-4975-B642-351F11D89CDC}"/>
    <cellStyle name="Comma 4 3 5 2 4" xfId="9595" xr:uid="{3E6BF710-D2EA-4AFB-83F1-C6BF1C2192FF}"/>
    <cellStyle name="Comma 4 3 5 2 4 2" xfId="36338" xr:uid="{402307DE-325A-4633-9728-EFC06DD499E4}"/>
    <cellStyle name="Comma 4 3 5 2 4 3" xfId="18897" xr:uid="{90A650B0-B79B-4372-81A3-16F4776119A0}"/>
    <cellStyle name="Comma 4 3 5 2 5" xfId="27890" xr:uid="{44AA005F-3BFB-4CCB-932A-B29D37B3BD3B}"/>
    <cellStyle name="Comma 4 3 5 2 6" xfId="19443" xr:uid="{1D9D4D22-197A-4115-955F-833BA4C498E7}"/>
    <cellStyle name="Comma 4 3 5 2 7" xfId="10146" xr:uid="{367ED0FA-DE33-41B7-872C-EA85101A53F1}"/>
    <cellStyle name="Comma 4 3 5 3" xfId="1142" xr:uid="{00000000-0005-0000-0000-0000B7090000}"/>
    <cellStyle name="Comma 4 3 5 3 2" xfId="3373" xr:uid="{00000000-0005-0000-0000-0000B8090000}"/>
    <cellStyle name="Comma 4 3 5 3 2 2" xfId="7595" xr:uid="{00000000-0005-0000-0000-0000B9090000}"/>
    <cellStyle name="Comma 4 3 5 3 2 2 2" xfId="43113" xr:uid="{171AD5A2-F09C-414F-B352-A02AB92E63F0}"/>
    <cellStyle name="Comma 4 3 5 3 2 2 3" xfId="34666" xr:uid="{43D3AFF2-0C6F-4F46-8B5F-66D76251EE0B}"/>
    <cellStyle name="Comma 4 3 5 3 2 2 4" xfId="26218" xr:uid="{B42E1FD9-2994-415A-9879-0DA5E9220045}"/>
    <cellStyle name="Comma 4 3 5 3 2 2 5" xfId="16921" xr:uid="{7D365657-1990-41F4-B02C-46236B65369B}"/>
    <cellStyle name="Comma 4 3 5 3 2 3" xfId="38896" xr:uid="{29901C10-22E8-4B70-B14F-CCBA7858AC14}"/>
    <cellStyle name="Comma 4 3 5 3 2 4" xfId="30448" xr:uid="{57E1AECA-4464-4AAA-B46B-ADA30923DA11}"/>
    <cellStyle name="Comma 4 3 5 3 2 5" xfId="22001" xr:uid="{FAA28ABB-62EF-47FC-A3CF-81690886D8AB}"/>
    <cellStyle name="Comma 4 3 5 3 2 6" xfId="12704" xr:uid="{B8F32693-0FE5-4CD4-AC57-32B3EB2E8B29}"/>
    <cellStyle name="Comma 4 3 5 3 3" xfId="5450" xr:uid="{00000000-0005-0000-0000-0000BA090000}"/>
    <cellStyle name="Comma 4 3 5 3 3 2" xfId="40968" xr:uid="{3C0A654E-C75D-44E1-8EC5-28D49177F1AC}"/>
    <cellStyle name="Comma 4 3 5 3 3 3" xfId="32521" xr:uid="{3604DF6D-C801-4663-AF17-0C9F0D3DF8C4}"/>
    <cellStyle name="Comma 4 3 5 3 3 4" xfId="24073" xr:uid="{8180FE20-A70B-4B07-ADFC-BB077E0AC56B}"/>
    <cellStyle name="Comma 4 3 5 3 3 5" xfId="14776" xr:uid="{6D18FE81-7D97-499E-A166-2E1E5224B8BD}"/>
    <cellStyle name="Comma 4 3 5 3 4" xfId="36751" xr:uid="{E485B93D-CAA2-4CD1-B340-D86A0EDD2596}"/>
    <cellStyle name="Comma 4 3 5 3 5" xfId="28303" xr:uid="{95B34FB3-24FF-4DCB-97B5-FC3C3050D604}"/>
    <cellStyle name="Comma 4 3 5 3 6" xfId="19856" xr:uid="{C953C43C-6D0A-4C58-961D-21197DC30C25}"/>
    <cellStyle name="Comma 4 3 5 3 7" xfId="10559" xr:uid="{8AFF4592-8328-4BB3-8F85-D87C46490F61}"/>
    <cellStyle name="Comma 4 3 5 4" xfId="1556" xr:uid="{00000000-0005-0000-0000-0000BB090000}"/>
    <cellStyle name="Comma 4 3 5 4 2" xfId="3786" xr:uid="{00000000-0005-0000-0000-0000BC090000}"/>
    <cellStyle name="Comma 4 3 5 4 2 2" xfId="8008" xr:uid="{00000000-0005-0000-0000-0000BD090000}"/>
    <cellStyle name="Comma 4 3 5 4 2 2 2" xfId="43526" xr:uid="{4C72B069-2595-4650-9638-1500AC41DF43}"/>
    <cellStyle name="Comma 4 3 5 4 2 2 3" xfId="35079" xr:uid="{414BF481-660B-4845-8920-CE3195AC533E}"/>
    <cellStyle name="Comma 4 3 5 4 2 2 4" xfId="26631" xr:uid="{AB360AE9-BF27-49EB-A1D2-D062269C20F9}"/>
    <cellStyle name="Comma 4 3 5 4 2 2 5" xfId="17334" xr:uid="{FE2CCB50-6359-469F-AF06-6D286EB6D3CF}"/>
    <cellStyle name="Comma 4 3 5 4 2 3" xfId="39309" xr:uid="{3004D85B-6625-4D13-B8EC-552EA6C8693C}"/>
    <cellStyle name="Comma 4 3 5 4 2 4" xfId="30861" xr:uid="{DA075E7F-2055-45B6-B5EF-C2E45951493E}"/>
    <cellStyle name="Comma 4 3 5 4 2 5" xfId="22414" xr:uid="{B3DEBF0C-38C7-409C-8EF4-921E37DE4908}"/>
    <cellStyle name="Comma 4 3 5 4 2 6" xfId="13117" xr:uid="{BA6CDDD3-ECA8-4B14-9AD1-ECD2188A8BC9}"/>
    <cellStyle name="Comma 4 3 5 4 3" xfId="5863" xr:uid="{00000000-0005-0000-0000-0000BE090000}"/>
    <cellStyle name="Comma 4 3 5 4 3 2" xfId="41381" xr:uid="{D6A4960C-253F-4238-A372-7F90DA99166D}"/>
    <cellStyle name="Comma 4 3 5 4 3 3" xfId="32934" xr:uid="{31D1EDEA-C612-43F9-98B9-90F862CBA25B}"/>
    <cellStyle name="Comma 4 3 5 4 3 4" xfId="24486" xr:uid="{7C59D189-3A86-4AED-93B7-3A18D60C44F1}"/>
    <cellStyle name="Comma 4 3 5 4 3 5" xfId="15189" xr:uid="{90B3DD37-7BCA-47AB-A9C3-80FD424CE1E5}"/>
    <cellStyle name="Comma 4 3 5 4 4" xfId="37164" xr:uid="{4EEEB054-C4BF-42A5-BBC3-461CB2916BC0}"/>
    <cellStyle name="Comma 4 3 5 4 5" xfId="28716" xr:uid="{AF998CE1-5374-4D84-BE32-5FEF36F3CDFB}"/>
    <cellStyle name="Comma 4 3 5 4 6" xfId="20269" xr:uid="{8A9203E5-4ADB-4D56-9A27-E8DAFB0D11FE}"/>
    <cellStyle name="Comma 4 3 5 4 7" xfId="10972" xr:uid="{F17B5717-E779-4287-A41B-FCB6F174E3DB}"/>
    <cellStyle name="Comma 4 3 5 5" xfId="1970" xr:uid="{00000000-0005-0000-0000-0000BF090000}"/>
    <cellStyle name="Comma 4 3 5 5 2" xfId="4199" xr:uid="{00000000-0005-0000-0000-0000C0090000}"/>
    <cellStyle name="Comma 4 3 5 5 2 2" xfId="8421" xr:uid="{00000000-0005-0000-0000-0000C1090000}"/>
    <cellStyle name="Comma 4 3 5 5 2 2 2" xfId="43939" xr:uid="{6A054F26-E474-47BE-A653-0189C1D992B3}"/>
    <cellStyle name="Comma 4 3 5 5 2 2 3" xfId="35492" xr:uid="{35B8F164-6446-495B-952B-DE1A175FA342}"/>
    <cellStyle name="Comma 4 3 5 5 2 2 4" xfId="27044" xr:uid="{F900CEFD-341A-410E-922C-4F497DF411CB}"/>
    <cellStyle name="Comma 4 3 5 5 2 2 5" xfId="17747" xr:uid="{E4E8E614-B09A-45F7-B2D2-6C2F324AE9E9}"/>
    <cellStyle name="Comma 4 3 5 5 2 3" xfId="39722" xr:uid="{A10987D2-1CAD-4D74-80A9-7B5EB3350152}"/>
    <cellStyle name="Comma 4 3 5 5 2 4" xfId="31274" xr:uid="{0F21A97B-4398-4ECB-B617-E6C2D2A3329A}"/>
    <cellStyle name="Comma 4 3 5 5 2 5" xfId="22827" xr:uid="{7F21D6AC-2CCF-4BBD-B0F3-68309FD13C72}"/>
    <cellStyle name="Comma 4 3 5 5 2 6" xfId="13530" xr:uid="{89BAF934-590F-4927-84C1-A3AEFADBD85D}"/>
    <cellStyle name="Comma 4 3 5 5 3" xfId="6276" xr:uid="{00000000-0005-0000-0000-0000C2090000}"/>
    <cellStyle name="Comma 4 3 5 5 3 2" xfId="41794" xr:uid="{171B3895-734D-46DC-A926-D101FFE024F5}"/>
    <cellStyle name="Comma 4 3 5 5 3 3" xfId="33347" xr:uid="{936E440E-4ADF-4F09-ADF6-31CF7E756DDE}"/>
    <cellStyle name="Comma 4 3 5 5 3 4" xfId="24899" xr:uid="{7357B278-4C73-4CAA-A529-57859900561C}"/>
    <cellStyle name="Comma 4 3 5 5 3 5" xfId="15602" xr:uid="{D87F7E3E-9AE6-4EE4-8A99-93BF5C900354}"/>
    <cellStyle name="Comma 4 3 5 5 4" xfId="37577" xr:uid="{B687EBA1-5E8E-4513-B66E-68CE986FF8E4}"/>
    <cellStyle name="Comma 4 3 5 5 5" xfId="29129" xr:uid="{8B2BA7BC-6AF8-4C99-8099-AB004D6972FA}"/>
    <cellStyle name="Comma 4 3 5 5 6" xfId="20682" xr:uid="{52D7CCF8-99F2-46E0-998F-DE10E50098C1}"/>
    <cellStyle name="Comma 4 3 5 5 7" xfId="11385" xr:uid="{63073879-20C0-4ECA-81B2-65990D842EEB}"/>
    <cellStyle name="Comma 4 3 5 6" xfId="2405" xr:uid="{00000000-0005-0000-0000-0000C3090000}"/>
    <cellStyle name="Comma 4 3 5 6 2" xfId="6689" xr:uid="{00000000-0005-0000-0000-0000C4090000}"/>
    <cellStyle name="Comma 4 3 5 6 2 2" xfId="42207" xr:uid="{DEBF2764-C9B9-41E9-BA50-35AA025054A2}"/>
    <cellStyle name="Comma 4 3 5 6 2 3" xfId="33760" xr:uid="{DC0DB74A-DD07-4FB6-9322-79122CD6F12D}"/>
    <cellStyle name="Comma 4 3 5 6 2 4" xfId="25312" xr:uid="{0561EBEC-92FA-43C7-B2FA-9E533756874A}"/>
    <cellStyle name="Comma 4 3 5 6 2 5" xfId="16015" xr:uid="{5CC3095C-5736-4ECD-AA36-628C4EEB11D3}"/>
    <cellStyle name="Comma 4 3 5 6 3" xfId="37990" xr:uid="{37AE0971-EBC2-4559-8371-F23ED050CF2F}"/>
    <cellStyle name="Comma 4 3 5 6 4" xfId="29542" xr:uid="{786E036F-80E5-4D6E-B38B-379D4634F6B1}"/>
    <cellStyle name="Comma 4 3 5 6 5" xfId="21095" xr:uid="{BBD62A4F-213B-4E32-81E0-0846AE4F475C}"/>
    <cellStyle name="Comma 4 3 5 6 6" xfId="11798" xr:uid="{652B1496-1F76-4978-B3DC-821A15FD88BA}"/>
    <cellStyle name="Comma 4 3 5 7" xfId="2701" xr:uid="{00000000-0005-0000-0000-0000C5090000}"/>
    <cellStyle name="Comma 4 3 5 8" xfId="2783" xr:uid="{00000000-0005-0000-0000-0000C6090000}"/>
    <cellStyle name="Comma 4 3 5 8 2" xfId="7006" xr:uid="{00000000-0005-0000-0000-0000C7090000}"/>
    <cellStyle name="Comma 4 3 5 8 2 2" xfId="42524" xr:uid="{CA246098-3FF8-4A26-A580-B2AD9043B974}"/>
    <cellStyle name="Comma 4 3 5 8 2 3" xfId="34077" xr:uid="{F92DEAE4-AC97-4C1A-B418-BBCA8ED806A5}"/>
    <cellStyle name="Comma 4 3 5 8 2 4" xfId="25629" xr:uid="{E7A3036A-7FB9-45E7-BE6C-7ADE373794B3}"/>
    <cellStyle name="Comma 4 3 5 8 2 5" xfId="16332" xr:uid="{7268913C-B3EC-448F-8E0F-E5CB14A070D8}"/>
    <cellStyle name="Comma 4 3 5 8 3" xfId="38307" xr:uid="{C8E40781-C83E-4E4B-8F71-6DD37872D4AF}"/>
    <cellStyle name="Comma 4 3 5 8 4" xfId="29859" xr:uid="{B7E9AC35-5C2C-4DFD-88C7-27C36ACE7B05}"/>
    <cellStyle name="Comma 4 3 5 8 5" xfId="21412" xr:uid="{8019FB0A-A45A-4480-8F97-6B26A575405A}"/>
    <cellStyle name="Comma 4 3 5 8 6" xfId="12115" xr:uid="{76170DF4-6A69-4E65-A1FE-A590EBBF762B}"/>
    <cellStyle name="Comma 4 3 5 9" xfId="4623" xr:uid="{00000000-0005-0000-0000-0000C8090000}"/>
    <cellStyle name="Comma 4 3 5 9 2" xfId="40141" xr:uid="{84C50E81-E094-4C91-B469-B6B072CAD94C}"/>
    <cellStyle name="Comma 4 3 5 9 3" xfId="31694" xr:uid="{AE224E57-48F2-49E3-9621-1177C48582CA}"/>
    <cellStyle name="Comma 4 3 5 9 4" xfId="23246" xr:uid="{BC90AF7A-CE37-414B-AD98-FE5E82B9D8C8}"/>
    <cellStyle name="Comma 4 3 5 9 5" xfId="13949" xr:uid="{F5944AF0-EE38-447F-92CF-802AF2CC5F8F}"/>
    <cellStyle name="Comma 4 3 6" xfId="9582" xr:uid="{F1B74700-6F25-44D3-B4B6-1EFC63A6078B}"/>
    <cellStyle name="Comma 4 3 7" xfId="8778" xr:uid="{01CB0168-3495-42C5-9A13-F25D4D0EF35E}"/>
    <cellStyle name="Comma 4 3 7 2" xfId="18101" xr:uid="{051E9211-186A-477B-99BC-1ED0A8F3F1B8}"/>
    <cellStyle name="Comma 4 4" xfId="153" xr:uid="{00000000-0005-0000-0000-0000C9090000}"/>
    <cellStyle name="Comma 4 4 10" xfId="2784" xr:uid="{00000000-0005-0000-0000-0000CA090000}"/>
    <cellStyle name="Comma 4 4 10 2" xfId="7007" xr:uid="{00000000-0005-0000-0000-0000CB090000}"/>
    <cellStyle name="Comma 4 4 10 2 2" xfId="42525" xr:uid="{2495187C-F1C7-4240-A909-B309B37EB284}"/>
    <cellStyle name="Comma 4 4 10 2 3" xfId="34078" xr:uid="{A096B7DF-F63F-4AE3-B4B6-9303C2FA6C38}"/>
    <cellStyle name="Comma 4 4 10 2 4" xfId="25630" xr:uid="{2FCD7CD9-A0F7-4B2F-BD86-5226F90DEF18}"/>
    <cellStyle name="Comma 4 4 10 2 5" xfId="16333" xr:uid="{5453850B-298A-4B74-BE3F-8DE814E146F5}"/>
    <cellStyle name="Comma 4 4 10 3" xfId="38308" xr:uid="{198FFFD3-EE83-47C4-92E9-BA18130DD35E}"/>
    <cellStyle name="Comma 4 4 10 4" xfId="29860" xr:uid="{2C004F85-A6D1-46C2-9785-5AC2D567FECB}"/>
    <cellStyle name="Comma 4 4 10 5" xfId="21413" xr:uid="{B66D2F66-256D-415E-8818-1477721FF5D6}"/>
    <cellStyle name="Comma 4 4 10 6" xfId="12116" xr:uid="{9C11E54A-A80F-4436-9338-C9C21E56C69A}"/>
    <cellStyle name="Comma 4 4 11" xfId="4624" xr:uid="{00000000-0005-0000-0000-0000CC090000}"/>
    <cellStyle name="Comma 4 4 11 2" xfId="40142" xr:uid="{3781FD12-6FEB-4098-A0DF-CD4337BC075F}"/>
    <cellStyle name="Comma 4 4 11 3" xfId="31695" xr:uid="{7EC2B640-ED1C-4624-9650-06E414CB7E85}"/>
    <cellStyle name="Comma 4 4 11 4" xfId="23247" xr:uid="{7267A88B-92AD-45A7-A520-01BF471B11FE}"/>
    <cellStyle name="Comma 4 4 11 5" xfId="13950" xr:uid="{25048722-C50D-4E66-9676-742FCE54A70B}"/>
    <cellStyle name="Comma 4 4 12" xfId="8804" xr:uid="{A2BB6322-7771-45CD-845C-77E2FE03AC7A}"/>
    <cellStyle name="Comma 4 4 12 2" xfId="35925" xr:uid="{E58029B7-D239-45B9-A58D-47569646A358}"/>
    <cellStyle name="Comma 4 4 12 3" xfId="18127" xr:uid="{15D50617-224F-4AB7-8B32-F208AB9E4370}"/>
    <cellStyle name="Comma 4 4 13" xfId="27477" xr:uid="{D0A71B0A-DE87-4424-9701-694B8A913F2F}"/>
    <cellStyle name="Comma 4 4 14" xfId="19030" xr:uid="{95CAE230-5C7C-4771-8B72-FFB7E7920379}"/>
    <cellStyle name="Comma 4 4 15" xfId="9733" xr:uid="{4312111A-C8BB-4A63-A986-B38492DB4386}"/>
    <cellStyle name="Comma 4 4 2" xfId="154" xr:uid="{00000000-0005-0000-0000-0000CD090000}"/>
    <cellStyle name="Comma 4 4 2 10" xfId="4625" xr:uid="{00000000-0005-0000-0000-0000CE090000}"/>
    <cellStyle name="Comma 4 4 2 10 2" xfId="40143" xr:uid="{FD54B74B-DB68-4A31-BDD2-D4866A284FFF}"/>
    <cellStyle name="Comma 4 4 2 10 3" xfId="31696" xr:uid="{1963C55B-9713-4C9A-9A5B-2991D8D77233}"/>
    <cellStyle name="Comma 4 4 2 10 4" xfId="23248" xr:uid="{609930B3-F239-4C6B-8D03-0DCE844E315C}"/>
    <cellStyle name="Comma 4 4 2 10 5" xfId="13951" xr:uid="{4951E627-9AFB-496E-A2B4-8941FAFD2F56}"/>
    <cellStyle name="Comma 4 4 2 11" xfId="8907" xr:uid="{F9F87618-3BA1-4211-A686-62CF5BBA5770}"/>
    <cellStyle name="Comma 4 4 2 11 2" xfId="35926" xr:uid="{31584E16-891D-4CD8-9DFF-1A8B96F21B0C}"/>
    <cellStyle name="Comma 4 4 2 11 3" xfId="18230" xr:uid="{FA65112E-4D2E-42ED-A93D-42BCD73A3DAB}"/>
    <cellStyle name="Comma 4 4 2 12" xfId="27478" xr:uid="{88C3B9C6-9587-4F1E-9134-8E16C63E8D47}"/>
    <cellStyle name="Comma 4 4 2 13" xfId="19031" xr:uid="{3272A5C4-F03D-490C-93B6-9630E2E43680}"/>
    <cellStyle name="Comma 4 4 2 14" xfId="9734" xr:uid="{3E79EC6B-0D82-49F4-AA08-F2C2E297B7E1}"/>
    <cellStyle name="Comma 4 4 2 2" xfId="155" xr:uid="{00000000-0005-0000-0000-0000CF090000}"/>
    <cellStyle name="Comma 4 4 2 2 10" xfId="9114" xr:uid="{871FAC03-A44E-4C24-806C-3CC0605FD124}"/>
    <cellStyle name="Comma 4 4 2 2 10 2" xfId="35927" xr:uid="{269BE3FB-63FA-4834-974B-C3FD86DEDE61}"/>
    <cellStyle name="Comma 4 4 2 2 10 3" xfId="18437" xr:uid="{6ED43D4E-E421-4FD3-9F4D-B5E0046BB3B2}"/>
    <cellStyle name="Comma 4 4 2 2 11" xfId="27479" xr:uid="{60858609-2846-4526-B43A-45CDC559800C}"/>
    <cellStyle name="Comma 4 4 2 2 12" xfId="19032" xr:uid="{66E8D3E0-DAE1-4136-9A01-AEF74EF1A59B}"/>
    <cellStyle name="Comma 4 4 2 2 13" xfId="9735" xr:uid="{7657A6FA-4DCB-4973-B6A9-B52DA4696608}"/>
    <cellStyle name="Comma 4 4 2 2 2" xfId="692" xr:uid="{00000000-0005-0000-0000-0000D0090000}"/>
    <cellStyle name="Comma 4 4 2 2 2 2" xfId="2963" xr:uid="{00000000-0005-0000-0000-0000D1090000}"/>
    <cellStyle name="Comma 4 4 2 2 2 2 2" xfId="7185" xr:uid="{00000000-0005-0000-0000-0000D2090000}"/>
    <cellStyle name="Comma 4 4 2 2 2 2 2 2" xfId="42703" xr:uid="{E04BDB67-2879-492F-B515-A10A0E155134}"/>
    <cellStyle name="Comma 4 4 2 2 2 2 2 3" xfId="34256" xr:uid="{23293ABF-6A0D-4809-AFDF-62FD3413059F}"/>
    <cellStyle name="Comma 4 4 2 2 2 2 2 4" xfId="25808" xr:uid="{C6848FAA-7167-4A96-87D9-56A67BAF833B}"/>
    <cellStyle name="Comma 4 4 2 2 2 2 2 5" xfId="16511" xr:uid="{445A2B9B-BFA3-4BCF-B01A-95A563FED93E}"/>
    <cellStyle name="Comma 4 4 2 2 2 2 3" xfId="38486" xr:uid="{F6161287-8AB0-49B4-9153-90961240DE2A}"/>
    <cellStyle name="Comma 4 4 2 2 2 2 4" xfId="30038" xr:uid="{08134F81-3256-4F76-B454-A7024A144829}"/>
    <cellStyle name="Comma 4 4 2 2 2 2 5" xfId="21591" xr:uid="{00702258-703D-4948-AF16-64065D79E31D}"/>
    <cellStyle name="Comma 4 4 2 2 2 2 6" xfId="12294" xr:uid="{C56183FA-11FC-450E-A020-A1CE032FFE60}"/>
    <cellStyle name="Comma 4 4 2 2 2 3" xfId="5040" xr:uid="{00000000-0005-0000-0000-0000D3090000}"/>
    <cellStyle name="Comma 4 4 2 2 2 3 2" xfId="40558" xr:uid="{FAB4EC83-049C-445B-A645-6221EAB7CCF4}"/>
    <cellStyle name="Comma 4 4 2 2 2 3 3" xfId="32111" xr:uid="{2E1A0AB9-08AA-4BC4-9C1D-7A71E220F7C1}"/>
    <cellStyle name="Comma 4 4 2 2 2 3 4" xfId="23663" xr:uid="{AF526841-7DE0-4034-BA83-18ADCC2DE2FD}"/>
    <cellStyle name="Comma 4 4 2 2 2 3 5" xfId="14366" xr:uid="{19AE524C-DE09-466B-BEC6-2D2BE7D20563}"/>
    <cellStyle name="Comma 4 4 2 2 2 4" xfId="9539" xr:uid="{6209A471-8158-46C6-9ADA-C828BB6621B2}"/>
    <cellStyle name="Comma 4 4 2 2 2 4 2" xfId="36341" xr:uid="{7BFCC603-2CE3-4BF9-85BF-F74254A33D81}"/>
    <cellStyle name="Comma 4 4 2 2 2 4 3" xfId="18852" xr:uid="{C4EF3267-1D29-4138-9273-C1D13FB4EEC3}"/>
    <cellStyle name="Comma 4 4 2 2 2 5" xfId="27893" xr:uid="{0635B07F-162F-4588-B257-290315082BB3}"/>
    <cellStyle name="Comma 4 4 2 2 2 6" xfId="19446" xr:uid="{35449B11-88C4-47DF-9B94-DCDC7CA2C86E}"/>
    <cellStyle name="Comma 4 4 2 2 2 7" xfId="10149" xr:uid="{6B2A6ED7-2A9F-41B5-A8AC-8803C2961961}"/>
    <cellStyle name="Comma 4 4 2 2 3" xfId="1145" xr:uid="{00000000-0005-0000-0000-0000D4090000}"/>
    <cellStyle name="Comma 4 4 2 2 3 2" xfId="3376" xr:uid="{00000000-0005-0000-0000-0000D5090000}"/>
    <cellStyle name="Comma 4 4 2 2 3 2 2" xfId="7598" xr:uid="{00000000-0005-0000-0000-0000D6090000}"/>
    <cellStyle name="Comma 4 4 2 2 3 2 2 2" xfId="43116" xr:uid="{679225D3-3550-4B44-9CD4-A2C44A82ABD1}"/>
    <cellStyle name="Comma 4 4 2 2 3 2 2 3" xfId="34669" xr:uid="{8FCA2A70-D095-46D6-9373-3F81E8443CE4}"/>
    <cellStyle name="Comma 4 4 2 2 3 2 2 4" xfId="26221" xr:uid="{28F139E0-F9A7-44A8-912A-14712FF1CC73}"/>
    <cellStyle name="Comma 4 4 2 2 3 2 2 5" xfId="16924" xr:uid="{B763DF3A-5747-49E5-AD69-E764B064CCC8}"/>
    <cellStyle name="Comma 4 4 2 2 3 2 3" xfId="38899" xr:uid="{E938D9B1-CCE0-4F94-8B2A-05B5A9459C47}"/>
    <cellStyle name="Comma 4 4 2 2 3 2 4" xfId="30451" xr:uid="{64B082E5-A1C1-497D-BFFB-67AB0828512C}"/>
    <cellStyle name="Comma 4 4 2 2 3 2 5" xfId="22004" xr:uid="{9EF3E5D0-2B1D-469E-8FDE-F8EDFECC773F}"/>
    <cellStyle name="Comma 4 4 2 2 3 2 6" xfId="12707" xr:uid="{9955DACF-5B59-4C07-BFE1-EC9C5D7E5D2B}"/>
    <cellStyle name="Comma 4 4 2 2 3 3" xfId="5453" xr:uid="{00000000-0005-0000-0000-0000D7090000}"/>
    <cellStyle name="Comma 4 4 2 2 3 3 2" xfId="40971" xr:uid="{F0605846-C88D-46BE-8AF3-AF73A7EDCA18}"/>
    <cellStyle name="Comma 4 4 2 2 3 3 3" xfId="32524" xr:uid="{4405F0B4-B56D-4287-949D-163B7D73EC0A}"/>
    <cellStyle name="Comma 4 4 2 2 3 3 4" xfId="24076" xr:uid="{CDB8F645-02AB-4C77-90FB-8046170DA14E}"/>
    <cellStyle name="Comma 4 4 2 2 3 3 5" xfId="14779" xr:uid="{C2D4B697-5E74-4F3C-9FED-395AA7C32700}"/>
    <cellStyle name="Comma 4 4 2 2 3 4" xfId="36754" xr:uid="{CDB53F26-B226-420E-8E1A-75571DC77937}"/>
    <cellStyle name="Comma 4 4 2 2 3 5" xfId="28306" xr:uid="{55D484EA-9ABF-4542-848D-F4FEF7BA7AC6}"/>
    <cellStyle name="Comma 4 4 2 2 3 6" xfId="19859" xr:uid="{C0F41C4F-AB27-45D5-B468-5EEFEC20FAA2}"/>
    <cellStyle name="Comma 4 4 2 2 3 7" xfId="10562" xr:uid="{B11313B0-0ADD-46B4-B8FB-D99672B27CDC}"/>
    <cellStyle name="Comma 4 4 2 2 4" xfId="1559" xr:uid="{00000000-0005-0000-0000-0000D8090000}"/>
    <cellStyle name="Comma 4 4 2 2 4 2" xfId="3789" xr:uid="{00000000-0005-0000-0000-0000D9090000}"/>
    <cellStyle name="Comma 4 4 2 2 4 2 2" xfId="8011" xr:uid="{00000000-0005-0000-0000-0000DA090000}"/>
    <cellStyle name="Comma 4 4 2 2 4 2 2 2" xfId="43529" xr:uid="{C7128548-B5E6-4D56-B43B-B24EF5EEA8C5}"/>
    <cellStyle name="Comma 4 4 2 2 4 2 2 3" xfId="35082" xr:uid="{8B47493B-2628-4346-9F59-248C3F9738DB}"/>
    <cellStyle name="Comma 4 4 2 2 4 2 2 4" xfId="26634" xr:uid="{AD3C343A-E81E-421B-A168-34E579897F17}"/>
    <cellStyle name="Comma 4 4 2 2 4 2 2 5" xfId="17337" xr:uid="{22617426-CE63-4090-B311-095E0447091D}"/>
    <cellStyle name="Comma 4 4 2 2 4 2 3" xfId="39312" xr:uid="{9CC8BB88-66F3-40FB-8FE8-0E4533DEBCB1}"/>
    <cellStyle name="Comma 4 4 2 2 4 2 4" xfId="30864" xr:uid="{776D9D0A-8AC0-4752-8563-FEA81DE94F3C}"/>
    <cellStyle name="Comma 4 4 2 2 4 2 5" xfId="22417" xr:uid="{B28F36DA-DD08-4EF6-B050-A87070A604BE}"/>
    <cellStyle name="Comma 4 4 2 2 4 2 6" xfId="13120" xr:uid="{28E0171D-9B25-457F-9A3B-B8B81C556671}"/>
    <cellStyle name="Comma 4 4 2 2 4 3" xfId="5866" xr:uid="{00000000-0005-0000-0000-0000DB090000}"/>
    <cellStyle name="Comma 4 4 2 2 4 3 2" xfId="41384" xr:uid="{EAEC8BEC-BD8E-47B0-93C7-B6DCF28F56FF}"/>
    <cellStyle name="Comma 4 4 2 2 4 3 3" xfId="32937" xr:uid="{8B8DF9B6-203F-4A38-A7A2-8E05C88A3B97}"/>
    <cellStyle name="Comma 4 4 2 2 4 3 4" xfId="24489" xr:uid="{C34C8813-217A-4F85-A82E-12A9D3034812}"/>
    <cellStyle name="Comma 4 4 2 2 4 3 5" xfId="15192" xr:uid="{351325BE-9128-4621-B42B-2A4872F76B2B}"/>
    <cellStyle name="Comma 4 4 2 2 4 4" xfId="37167" xr:uid="{78B35D31-8318-425D-A0C9-AE821E7294B9}"/>
    <cellStyle name="Comma 4 4 2 2 4 5" xfId="28719" xr:uid="{A7DC3AA2-0FD9-47C2-8D6E-4BC6CAC3776A}"/>
    <cellStyle name="Comma 4 4 2 2 4 6" xfId="20272" xr:uid="{89376AED-9AF1-4F4B-88E2-F92E44B0E4DE}"/>
    <cellStyle name="Comma 4 4 2 2 4 7" xfId="10975" xr:uid="{EE2F1163-C15F-4580-A149-50F54E56E052}"/>
    <cellStyle name="Comma 4 4 2 2 5" xfId="1973" xr:uid="{00000000-0005-0000-0000-0000DC090000}"/>
    <cellStyle name="Comma 4 4 2 2 5 2" xfId="4202" xr:uid="{00000000-0005-0000-0000-0000DD090000}"/>
    <cellStyle name="Comma 4 4 2 2 5 2 2" xfId="8424" xr:uid="{00000000-0005-0000-0000-0000DE090000}"/>
    <cellStyle name="Comma 4 4 2 2 5 2 2 2" xfId="43942" xr:uid="{B0603310-A656-48BC-A66A-EA3B7B676BFA}"/>
    <cellStyle name="Comma 4 4 2 2 5 2 2 3" xfId="35495" xr:uid="{EDA6FC95-7EC8-4C33-939B-31ACC3A85995}"/>
    <cellStyle name="Comma 4 4 2 2 5 2 2 4" xfId="27047" xr:uid="{35BAB490-2EAF-4241-B58D-86BD9545A8FA}"/>
    <cellStyle name="Comma 4 4 2 2 5 2 2 5" xfId="17750" xr:uid="{52B1E3AD-186E-4FEE-AD65-DCB1E73D6A74}"/>
    <cellStyle name="Comma 4 4 2 2 5 2 3" xfId="39725" xr:uid="{110E64F0-964B-48AD-BAFA-C5001D64F648}"/>
    <cellStyle name="Comma 4 4 2 2 5 2 4" xfId="31277" xr:uid="{B48D26A8-14B7-4998-9386-ECC1C0A7D5A6}"/>
    <cellStyle name="Comma 4 4 2 2 5 2 5" xfId="22830" xr:uid="{CF8F194F-A12E-4C4E-AA6C-A7CC0817B70B}"/>
    <cellStyle name="Comma 4 4 2 2 5 2 6" xfId="13533" xr:uid="{23E92F1E-7F45-4681-8418-50ACDC73F9FE}"/>
    <cellStyle name="Comma 4 4 2 2 5 3" xfId="6279" xr:uid="{00000000-0005-0000-0000-0000DF090000}"/>
    <cellStyle name="Comma 4 4 2 2 5 3 2" xfId="41797" xr:uid="{3697CFFA-7B77-45B2-A8ED-3073CD6773DB}"/>
    <cellStyle name="Comma 4 4 2 2 5 3 3" xfId="33350" xr:uid="{6F85CE3D-85E0-4AEF-BBCF-CB6791956D3C}"/>
    <cellStyle name="Comma 4 4 2 2 5 3 4" xfId="24902" xr:uid="{A4D4167D-5DD4-494B-803C-5303709E3DDE}"/>
    <cellStyle name="Comma 4 4 2 2 5 3 5" xfId="15605" xr:uid="{1B59B921-D703-4F3B-86C8-E11B5BA726ED}"/>
    <cellStyle name="Comma 4 4 2 2 5 4" xfId="37580" xr:uid="{E98EFE96-9712-4551-AE5C-A386C98BABA8}"/>
    <cellStyle name="Comma 4 4 2 2 5 5" xfId="29132" xr:uid="{55DAC780-4F9A-49A8-A54E-8D23CE159DC8}"/>
    <cellStyle name="Comma 4 4 2 2 5 6" xfId="20685" xr:uid="{EDEB1933-8B95-4340-8450-255CABBECB95}"/>
    <cellStyle name="Comma 4 4 2 2 5 7" xfId="11388" xr:uid="{09DEFAD3-7E64-47DF-97F9-BB29FEE1C33E}"/>
    <cellStyle name="Comma 4 4 2 2 6" xfId="2408" xr:uid="{00000000-0005-0000-0000-0000E0090000}"/>
    <cellStyle name="Comma 4 4 2 2 6 2" xfId="6692" xr:uid="{00000000-0005-0000-0000-0000E1090000}"/>
    <cellStyle name="Comma 4 4 2 2 6 2 2" xfId="42210" xr:uid="{6FBB3A32-ED60-490C-A71B-756CCDFBF6AB}"/>
    <cellStyle name="Comma 4 4 2 2 6 2 3" xfId="33763" xr:uid="{BCC4946D-B226-450F-99A6-72A178DB3D7C}"/>
    <cellStyle name="Comma 4 4 2 2 6 2 4" xfId="25315" xr:uid="{10A48FC4-3D24-40A8-BEF6-2AC735998691}"/>
    <cellStyle name="Comma 4 4 2 2 6 2 5" xfId="16018" xr:uid="{4106BBB1-6311-47DC-97DE-187A319446B0}"/>
    <cellStyle name="Comma 4 4 2 2 6 3" xfId="37993" xr:uid="{7A4948EC-F6AA-47C5-8784-2EB9D8B11011}"/>
    <cellStyle name="Comma 4 4 2 2 6 4" xfId="29545" xr:uid="{A4C186FE-D566-458D-8806-093042625125}"/>
    <cellStyle name="Comma 4 4 2 2 6 5" xfId="21098" xr:uid="{1D42A088-B4F2-4995-B829-9D01C09A0A2C}"/>
    <cellStyle name="Comma 4 4 2 2 6 6" xfId="11801" xr:uid="{ADC339FB-2F84-4EAD-91FD-59B20368D169}"/>
    <cellStyle name="Comma 4 4 2 2 7" xfId="2704" xr:uid="{00000000-0005-0000-0000-0000E2090000}"/>
    <cellStyle name="Comma 4 4 2 2 8" xfId="2786" xr:uid="{00000000-0005-0000-0000-0000E3090000}"/>
    <cellStyle name="Comma 4 4 2 2 8 2" xfId="7009" xr:uid="{00000000-0005-0000-0000-0000E4090000}"/>
    <cellStyle name="Comma 4 4 2 2 8 2 2" xfId="42527" xr:uid="{CABF84D8-E597-4B7C-AD7D-D72A9468805D}"/>
    <cellStyle name="Comma 4 4 2 2 8 2 3" xfId="34080" xr:uid="{F5C85DF5-2C77-4146-AD36-ACBE85687B7C}"/>
    <cellStyle name="Comma 4 4 2 2 8 2 4" xfId="25632" xr:uid="{45B7B09D-F6B9-4964-8BED-14465CF36E54}"/>
    <cellStyle name="Comma 4 4 2 2 8 2 5" xfId="16335" xr:uid="{6C9D2CE9-6391-41DA-9C65-097925D009E9}"/>
    <cellStyle name="Comma 4 4 2 2 8 3" xfId="38310" xr:uid="{8E6E1314-0822-4995-96C1-44AB3FC6ED92}"/>
    <cellStyle name="Comma 4 4 2 2 8 4" xfId="29862" xr:uid="{439D541C-DF2B-4A1D-A374-A10443AA7CDA}"/>
    <cellStyle name="Comma 4 4 2 2 8 5" xfId="21415" xr:uid="{91F260EB-A446-4C9B-B46F-939155D36A5E}"/>
    <cellStyle name="Comma 4 4 2 2 8 6" xfId="12118" xr:uid="{FFF55734-0625-44FD-A9B6-2D95701831F9}"/>
    <cellStyle name="Comma 4 4 2 2 9" xfId="4626" xr:uid="{00000000-0005-0000-0000-0000E5090000}"/>
    <cellStyle name="Comma 4 4 2 2 9 2" xfId="40144" xr:uid="{2FC13540-D8C0-486D-B9CF-D7BB2D564217}"/>
    <cellStyle name="Comma 4 4 2 2 9 3" xfId="31697" xr:uid="{C135885E-151C-482F-8315-89BFBF4D0E8E}"/>
    <cellStyle name="Comma 4 4 2 2 9 4" xfId="23249" xr:uid="{15902533-07B6-468F-9BE1-D271E1B024B7}"/>
    <cellStyle name="Comma 4 4 2 2 9 5" xfId="13952" xr:uid="{B2892DF1-5F58-4889-9A25-F0B7852C0558}"/>
    <cellStyle name="Comma 4 4 2 3" xfId="691" xr:uid="{00000000-0005-0000-0000-0000E6090000}"/>
    <cellStyle name="Comma 4 4 2 3 2" xfId="2962" xr:uid="{00000000-0005-0000-0000-0000E7090000}"/>
    <cellStyle name="Comma 4 4 2 3 2 2" xfId="7184" xr:uid="{00000000-0005-0000-0000-0000E8090000}"/>
    <cellStyle name="Comma 4 4 2 3 2 2 2" xfId="42702" xr:uid="{58F1DC46-FA09-481F-9F22-FD79FA2523C3}"/>
    <cellStyle name="Comma 4 4 2 3 2 2 3" xfId="34255" xr:uid="{43EF150A-2937-478F-8FAB-BD1D0A02E501}"/>
    <cellStyle name="Comma 4 4 2 3 2 2 4" xfId="25807" xr:uid="{DC8CBC4D-4ABF-4434-931F-567E808F11F5}"/>
    <cellStyle name="Comma 4 4 2 3 2 2 5" xfId="16510" xr:uid="{1CB1AE74-C7C1-45CC-9260-820025478B47}"/>
    <cellStyle name="Comma 4 4 2 3 2 3" xfId="38485" xr:uid="{8ACEC65B-73F6-42E3-9A0A-0DCF35FA942B}"/>
    <cellStyle name="Comma 4 4 2 3 2 4" xfId="30037" xr:uid="{FB4DBE6D-DFF1-463E-BEC4-2C3E4E8EC515}"/>
    <cellStyle name="Comma 4 4 2 3 2 5" xfId="21590" xr:uid="{B088FA20-B142-4874-98A4-79E6A0E002F9}"/>
    <cellStyle name="Comma 4 4 2 3 2 6" xfId="12293" xr:uid="{FD73A72C-DD1E-498C-8156-3FB33AD6B8A1}"/>
    <cellStyle name="Comma 4 4 2 3 3" xfId="5039" xr:uid="{00000000-0005-0000-0000-0000E9090000}"/>
    <cellStyle name="Comma 4 4 2 3 3 2" xfId="40557" xr:uid="{11DBCA5F-4D80-41DE-A42E-402E8E80EC6A}"/>
    <cellStyle name="Comma 4 4 2 3 3 3" xfId="32110" xr:uid="{83FEA971-8F43-4E6C-A424-D25C74743D97}"/>
    <cellStyle name="Comma 4 4 2 3 3 4" xfId="23662" xr:uid="{13686301-D62E-4E3F-BA0D-9205E5394A37}"/>
    <cellStyle name="Comma 4 4 2 3 3 5" xfId="14365" xr:uid="{6FC6FA57-15AA-4A72-94E9-66A8560087F7}"/>
    <cellStyle name="Comma 4 4 2 3 4" xfId="9332" xr:uid="{00F59ECD-64D7-476B-90FD-CD86F054AE4D}"/>
    <cellStyle name="Comma 4 4 2 3 4 2" xfId="36340" xr:uid="{17A8D087-3D0C-43E3-8753-3AF9E2552CA0}"/>
    <cellStyle name="Comma 4 4 2 3 4 3" xfId="18645" xr:uid="{00BA94BB-5A24-4368-9007-67ADDED32279}"/>
    <cellStyle name="Comma 4 4 2 3 5" xfId="27892" xr:uid="{65AAC75D-631C-4266-B617-2D768A82B282}"/>
    <cellStyle name="Comma 4 4 2 3 6" xfId="19445" xr:uid="{48A7931F-04C7-44A0-AF17-1AED3F0630BE}"/>
    <cellStyle name="Comma 4 4 2 3 7" xfId="10148" xr:uid="{1612BD1D-005B-41E3-A8B0-40355495EDC4}"/>
    <cellStyle name="Comma 4 4 2 4" xfId="1144" xr:uid="{00000000-0005-0000-0000-0000EA090000}"/>
    <cellStyle name="Comma 4 4 2 4 2" xfId="3375" xr:uid="{00000000-0005-0000-0000-0000EB090000}"/>
    <cellStyle name="Comma 4 4 2 4 2 2" xfId="7597" xr:uid="{00000000-0005-0000-0000-0000EC090000}"/>
    <cellStyle name="Comma 4 4 2 4 2 2 2" xfId="43115" xr:uid="{6542B3A1-C7DA-45AB-BBF6-B4AE02FF8A88}"/>
    <cellStyle name="Comma 4 4 2 4 2 2 3" xfId="34668" xr:uid="{B312E24B-8B2E-4FE7-BA7B-6BC4E69BB3A9}"/>
    <cellStyle name="Comma 4 4 2 4 2 2 4" xfId="26220" xr:uid="{1F663D63-7CBA-4FF4-95A3-6D66CE3A0E61}"/>
    <cellStyle name="Comma 4 4 2 4 2 2 5" xfId="16923" xr:uid="{B1CE6A97-7203-45D2-ABC5-EECAB18C78A2}"/>
    <cellStyle name="Comma 4 4 2 4 2 3" xfId="38898" xr:uid="{44C9E0CF-1645-42ED-97A5-A422994D6CD9}"/>
    <cellStyle name="Comma 4 4 2 4 2 4" xfId="30450" xr:uid="{10E94CE7-6984-4B0D-A203-046242E12F9D}"/>
    <cellStyle name="Comma 4 4 2 4 2 5" xfId="22003" xr:uid="{C24D9AAD-1058-4D49-9CBF-CB09B63E665E}"/>
    <cellStyle name="Comma 4 4 2 4 2 6" xfId="12706" xr:uid="{9D86C2C4-FF37-48A6-8245-FFF4CEC21373}"/>
    <cellStyle name="Comma 4 4 2 4 3" xfId="5452" xr:uid="{00000000-0005-0000-0000-0000ED090000}"/>
    <cellStyle name="Comma 4 4 2 4 3 2" xfId="40970" xr:uid="{330638DE-1D44-41B8-81A2-46BBCE00B8B6}"/>
    <cellStyle name="Comma 4 4 2 4 3 3" xfId="32523" xr:uid="{B8636EDE-9F84-41CA-9F02-5E0A95DF0830}"/>
    <cellStyle name="Comma 4 4 2 4 3 4" xfId="24075" xr:uid="{E31441AB-F26D-4F14-8937-57996A049862}"/>
    <cellStyle name="Comma 4 4 2 4 3 5" xfId="14778" xr:uid="{A72503A0-0E98-4101-BC34-0C476B995AB5}"/>
    <cellStyle name="Comma 4 4 2 4 4" xfId="36753" xr:uid="{6BA50892-F3D4-4CEE-AB8B-59C09FEBC154}"/>
    <cellStyle name="Comma 4 4 2 4 5" xfId="28305" xr:uid="{2A7C78CA-A9B5-42CD-8397-3FFF9EB420CC}"/>
    <cellStyle name="Comma 4 4 2 4 6" xfId="19858" xr:uid="{1ED3B7FE-32D8-401D-8593-F8DF7BD9994F}"/>
    <cellStyle name="Comma 4 4 2 4 7" xfId="10561" xr:uid="{B298DD6C-91AC-4211-902B-D6C53AE8EF5D}"/>
    <cellStyle name="Comma 4 4 2 5" xfId="1558" xr:uid="{00000000-0005-0000-0000-0000EE090000}"/>
    <cellStyle name="Comma 4 4 2 5 2" xfId="3788" xr:uid="{00000000-0005-0000-0000-0000EF090000}"/>
    <cellStyle name="Comma 4 4 2 5 2 2" xfId="8010" xr:uid="{00000000-0005-0000-0000-0000F0090000}"/>
    <cellStyle name="Comma 4 4 2 5 2 2 2" xfId="43528" xr:uid="{346F752E-F991-496A-B991-E6F4E961318B}"/>
    <cellStyle name="Comma 4 4 2 5 2 2 3" xfId="35081" xr:uid="{689DF43C-2C69-4F7A-A55B-ED9E69BFFEBD}"/>
    <cellStyle name="Comma 4 4 2 5 2 2 4" xfId="26633" xr:uid="{5D9459EF-F795-4435-AA3E-166AE655AC24}"/>
    <cellStyle name="Comma 4 4 2 5 2 2 5" xfId="17336" xr:uid="{54326980-3D19-4409-B758-BAFD56261E8C}"/>
    <cellStyle name="Comma 4 4 2 5 2 3" xfId="39311" xr:uid="{62538300-492C-4102-849F-F108A6BB4DCE}"/>
    <cellStyle name="Comma 4 4 2 5 2 4" xfId="30863" xr:uid="{595D6D10-9748-472B-91FB-36A5C0C26F43}"/>
    <cellStyle name="Comma 4 4 2 5 2 5" xfId="22416" xr:uid="{728BD05F-A7EA-4D2C-A352-FF6F754A986C}"/>
    <cellStyle name="Comma 4 4 2 5 2 6" xfId="13119" xr:uid="{541DD142-428B-4C15-ACF3-B343C1199697}"/>
    <cellStyle name="Comma 4 4 2 5 3" xfId="5865" xr:uid="{00000000-0005-0000-0000-0000F1090000}"/>
    <cellStyle name="Comma 4 4 2 5 3 2" xfId="41383" xr:uid="{BA42F15C-2F8D-4668-9AEE-7D40604DC655}"/>
    <cellStyle name="Comma 4 4 2 5 3 3" xfId="32936" xr:uid="{F8129DAC-51AD-4F20-B1BD-246BFF1CAB7F}"/>
    <cellStyle name="Comma 4 4 2 5 3 4" xfId="24488" xr:uid="{6338DE69-3987-4B8D-9209-D1E5A49BBD3C}"/>
    <cellStyle name="Comma 4 4 2 5 3 5" xfId="15191" xr:uid="{0D42DD28-F9CE-4E1F-97CC-B4C8A19B6D12}"/>
    <cellStyle name="Comma 4 4 2 5 4" xfId="37166" xr:uid="{5BBFFF55-904A-4FA9-A910-C38445844159}"/>
    <cellStyle name="Comma 4 4 2 5 5" xfId="28718" xr:uid="{97330415-12C6-4272-9C22-0E81062EB72E}"/>
    <cellStyle name="Comma 4 4 2 5 6" xfId="20271" xr:uid="{60067BE7-A343-4B1A-A7DA-4D57D4AA345C}"/>
    <cellStyle name="Comma 4 4 2 5 7" xfId="10974" xr:uid="{702CE486-1334-44A4-846F-973A96C8A1F3}"/>
    <cellStyle name="Comma 4 4 2 6" xfId="1972" xr:uid="{00000000-0005-0000-0000-0000F2090000}"/>
    <cellStyle name="Comma 4 4 2 6 2" xfId="4201" xr:uid="{00000000-0005-0000-0000-0000F3090000}"/>
    <cellStyle name="Comma 4 4 2 6 2 2" xfId="8423" xr:uid="{00000000-0005-0000-0000-0000F4090000}"/>
    <cellStyle name="Comma 4 4 2 6 2 2 2" xfId="43941" xr:uid="{2B7AE237-DE24-469F-81C1-2EB012C5ADA1}"/>
    <cellStyle name="Comma 4 4 2 6 2 2 3" xfId="35494" xr:uid="{6627D7C6-55BD-442E-A35C-F687278CF89A}"/>
    <cellStyle name="Comma 4 4 2 6 2 2 4" xfId="27046" xr:uid="{FC282B19-F8D5-4407-B814-82DA391F6829}"/>
    <cellStyle name="Comma 4 4 2 6 2 2 5" xfId="17749" xr:uid="{97A8AF84-7821-4288-9BE7-6BFED1B6F7CF}"/>
    <cellStyle name="Comma 4 4 2 6 2 3" xfId="39724" xr:uid="{B1409B63-72E7-411B-98CD-1DC7A48CCF10}"/>
    <cellStyle name="Comma 4 4 2 6 2 4" xfId="31276" xr:uid="{8EBF8B35-8D6D-4492-A363-E4396D2367A1}"/>
    <cellStyle name="Comma 4 4 2 6 2 5" xfId="22829" xr:uid="{E3435B2B-4C05-4951-A0DF-C11FFE09CF2F}"/>
    <cellStyle name="Comma 4 4 2 6 2 6" xfId="13532" xr:uid="{8ECBD662-837A-48BE-B9D0-0F8962DB28D2}"/>
    <cellStyle name="Comma 4 4 2 6 3" xfId="6278" xr:uid="{00000000-0005-0000-0000-0000F5090000}"/>
    <cellStyle name="Comma 4 4 2 6 3 2" xfId="41796" xr:uid="{391489ED-C3F0-497B-8EE0-6DC55851CCBE}"/>
    <cellStyle name="Comma 4 4 2 6 3 3" xfId="33349" xr:uid="{6F528119-6957-446F-8663-8B6CA8E828E5}"/>
    <cellStyle name="Comma 4 4 2 6 3 4" xfId="24901" xr:uid="{D85FCC23-5B5D-45C7-A9E2-241F404054E8}"/>
    <cellStyle name="Comma 4 4 2 6 3 5" xfId="15604" xr:uid="{A61C912A-8BF7-44B8-AEC9-89E9827E08E5}"/>
    <cellStyle name="Comma 4 4 2 6 4" xfId="37579" xr:uid="{8583101C-05BC-47CE-BA21-9EF3E466D64E}"/>
    <cellStyle name="Comma 4 4 2 6 5" xfId="29131" xr:uid="{4A9A961E-6356-4CB3-8110-AFF393D156B9}"/>
    <cellStyle name="Comma 4 4 2 6 6" xfId="20684" xr:uid="{CB27C522-16E5-423C-A093-023BB5DD4B56}"/>
    <cellStyle name="Comma 4 4 2 6 7" xfId="11387" xr:uid="{C790443A-C582-4666-8567-8FB0267F8989}"/>
    <cellStyle name="Comma 4 4 2 7" xfId="2407" xr:uid="{00000000-0005-0000-0000-0000F6090000}"/>
    <cellStyle name="Comma 4 4 2 7 2" xfId="6691" xr:uid="{00000000-0005-0000-0000-0000F7090000}"/>
    <cellStyle name="Comma 4 4 2 7 2 2" xfId="42209" xr:uid="{83499C40-3D52-495C-8CBF-EBF92650A171}"/>
    <cellStyle name="Comma 4 4 2 7 2 3" xfId="33762" xr:uid="{13B67453-BC8B-404A-BE89-249275879CEF}"/>
    <cellStyle name="Comma 4 4 2 7 2 4" xfId="25314" xr:uid="{E81DF531-239E-49C2-A62C-C5FBFC4127D7}"/>
    <cellStyle name="Comma 4 4 2 7 2 5" xfId="16017" xr:uid="{05C70BCA-F486-4E91-8CD3-CABEB64FD775}"/>
    <cellStyle name="Comma 4 4 2 7 3" xfId="37992" xr:uid="{BB92512B-E9EA-4334-9CC3-B871658B93AC}"/>
    <cellStyle name="Comma 4 4 2 7 4" xfId="29544" xr:uid="{B6F7AEA2-6485-4BBB-B67E-C9C346149A6F}"/>
    <cellStyle name="Comma 4 4 2 7 5" xfId="21097" xr:uid="{9A93649B-F7F5-4AE8-B20F-FECC7352E1E1}"/>
    <cellStyle name="Comma 4 4 2 7 6" xfId="11800" xr:uid="{68B63E35-BB4C-44EC-A55F-9742D152010E}"/>
    <cellStyle name="Comma 4 4 2 8" xfId="2703" xr:uid="{00000000-0005-0000-0000-0000F8090000}"/>
    <cellStyle name="Comma 4 4 2 9" xfId="2785" xr:uid="{00000000-0005-0000-0000-0000F9090000}"/>
    <cellStyle name="Comma 4 4 2 9 2" xfId="7008" xr:uid="{00000000-0005-0000-0000-0000FA090000}"/>
    <cellStyle name="Comma 4 4 2 9 2 2" xfId="42526" xr:uid="{4C3D0B2B-9B7F-4F19-AB1E-4C11376B0F3C}"/>
    <cellStyle name="Comma 4 4 2 9 2 3" xfId="34079" xr:uid="{4F7D55B6-1525-46AA-B908-B47F1F092B79}"/>
    <cellStyle name="Comma 4 4 2 9 2 4" xfId="25631" xr:uid="{0F262EBC-9002-42BE-A0F7-4D52378C1D3D}"/>
    <cellStyle name="Comma 4 4 2 9 2 5" xfId="16334" xr:uid="{2CF77DAE-2304-49A4-98F7-C0098532D1DB}"/>
    <cellStyle name="Comma 4 4 2 9 3" xfId="38309" xr:uid="{327D479C-C69A-464D-A1C7-58A12B168F58}"/>
    <cellStyle name="Comma 4 4 2 9 4" xfId="29861" xr:uid="{D6AF6EFB-3124-477B-8B05-C68A6A99C0EA}"/>
    <cellStyle name="Comma 4 4 2 9 5" xfId="21414" xr:uid="{CA6D582C-D8A0-4743-8748-4654DC9AEC9F}"/>
    <cellStyle name="Comma 4 4 2 9 6" xfId="12117" xr:uid="{F09778E9-61B9-4EDA-9F86-BB2626A8DD8E}"/>
    <cellStyle name="Comma 4 4 3" xfId="156" xr:uid="{00000000-0005-0000-0000-0000FB090000}"/>
    <cellStyle name="Comma 4 4 3 10" xfId="9011" xr:uid="{31ED03AD-AB12-49AF-9AD4-B783F0BF7322}"/>
    <cellStyle name="Comma 4 4 3 10 2" xfId="35928" xr:uid="{B4ACCE01-1370-4C02-8D3C-4750DB0D5F2B}"/>
    <cellStyle name="Comma 4 4 3 10 3" xfId="18334" xr:uid="{E480DC82-98C5-47FE-A3FA-E4F8512F0EF4}"/>
    <cellStyle name="Comma 4 4 3 11" xfId="27480" xr:uid="{7D0F39E0-D39C-401E-A858-BEB276775EB2}"/>
    <cellStyle name="Comma 4 4 3 12" xfId="19033" xr:uid="{23F8D004-37CA-4E1C-8282-3BFAF3463DF3}"/>
    <cellStyle name="Comma 4 4 3 13" xfId="9736" xr:uid="{09E1AC00-2FCB-4480-92D2-BE4E971595FF}"/>
    <cellStyle name="Comma 4 4 3 2" xfId="693" xr:uid="{00000000-0005-0000-0000-0000FC090000}"/>
    <cellStyle name="Comma 4 4 3 2 2" xfId="2964" xr:uid="{00000000-0005-0000-0000-0000FD090000}"/>
    <cellStyle name="Comma 4 4 3 2 2 2" xfId="7186" xr:uid="{00000000-0005-0000-0000-0000FE090000}"/>
    <cellStyle name="Comma 4 4 3 2 2 2 2" xfId="42704" xr:uid="{86092198-4764-4CB2-9247-6663460D4937}"/>
    <cellStyle name="Comma 4 4 3 2 2 2 3" xfId="34257" xr:uid="{86E73CA5-8D44-4DE2-A68A-B34FB36A8FE6}"/>
    <cellStyle name="Comma 4 4 3 2 2 2 4" xfId="25809" xr:uid="{32D5A7BF-B82B-4C53-A602-000A4D1BE9D5}"/>
    <cellStyle name="Comma 4 4 3 2 2 2 5" xfId="16512" xr:uid="{AD1BA1E4-9C07-406A-8C89-9A65A700858C}"/>
    <cellStyle name="Comma 4 4 3 2 2 3" xfId="38487" xr:uid="{44A1A145-4040-4F8B-B810-6055DEA44B92}"/>
    <cellStyle name="Comma 4 4 3 2 2 4" xfId="30039" xr:uid="{1A660094-C1FD-4E36-8071-5E1EF99CEB3D}"/>
    <cellStyle name="Comma 4 4 3 2 2 5" xfId="21592" xr:uid="{2E60E914-082E-4A2D-B7E7-5F8B9B2DB925}"/>
    <cellStyle name="Comma 4 4 3 2 2 6" xfId="12295" xr:uid="{E1053D88-CAEA-431F-A9C6-3EF91FDB688E}"/>
    <cellStyle name="Comma 4 4 3 2 3" xfId="5041" xr:uid="{00000000-0005-0000-0000-0000FF090000}"/>
    <cellStyle name="Comma 4 4 3 2 3 2" xfId="40559" xr:uid="{39C42C98-5C68-4AF0-A00E-0613C2430465}"/>
    <cellStyle name="Comma 4 4 3 2 3 3" xfId="32112" xr:uid="{B83637AE-8843-4042-A3A8-CB09BD8661BD}"/>
    <cellStyle name="Comma 4 4 3 2 3 4" xfId="23664" xr:uid="{3203CA61-D4A7-4417-9477-CDB49732EA4A}"/>
    <cellStyle name="Comma 4 4 3 2 3 5" xfId="14367" xr:uid="{8276B9DB-19DF-4D2F-B2EA-EA71D98F9360}"/>
    <cellStyle name="Comma 4 4 3 2 4" xfId="9436" xr:uid="{5B7DDC25-9095-4E8E-BD31-668F46BBD33F}"/>
    <cellStyle name="Comma 4 4 3 2 4 2" xfId="36342" xr:uid="{F4EA87BB-8CBD-4AB0-AA8F-030B9BC4850B}"/>
    <cellStyle name="Comma 4 4 3 2 4 3" xfId="18749" xr:uid="{14DD4163-CBBE-4678-B56C-4BAE76C00734}"/>
    <cellStyle name="Comma 4 4 3 2 5" xfId="27894" xr:uid="{B5A5CDA5-A5E1-4BD9-9BE4-45526F9F7616}"/>
    <cellStyle name="Comma 4 4 3 2 6" xfId="19447" xr:uid="{D653F95E-FAB3-4A06-920B-BD0B946BECC1}"/>
    <cellStyle name="Comma 4 4 3 2 7" xfId="10150" xr:uid="{D3CAF3B0-16E2-4855-AD96-2D27B7C2E4A4}"/>
    <cellStyle name="Comma 4 4 3 3" xfId="1146" xr:uid="{00000000-0005-0000-0000-0000000A0000}"/>
    <cellStyle name="Comma 4 4 3 3 2" xfId="3377" xr:uid="{00000000-0005-0000-0000-0000010A0000}"/>
    <cellStyle name="Comma 4 4 3 3 2 2" xfId="7599" xr:uid="{00000000-0005-0000-0000-0000020A0000}"/>
    <cellStyle name="Comma 4 4 3 3 2 2 2" xfId="43117" xr:uid="{DA73DE4A-275A-44E2-AA7D-54A7DAFBF050}"/>
    <cellStyle name="Comma 4 4 3 3 2 2 3" xfId="34670" xr:uid="{4393C55D-1803-4C48-A124-A3698F33DB7D}"/>
    <cellStyle name="Comma 4 4 3 3 2 2 4" xfId="26222" xr:uid="{71E695AA-F9E1-4E04-BA96-30E4513546FC}"/>
    <cellStyle name="Comma 4 4 3 3 2 2 5" xfId="16925" xr:uid="{378F1521-9879-4A75-9491-50FF042C4907}"/>
    <cellStyle name="Comma 4 4 3 3 2 3" xfId="38900" xr:uid="{BF362497-EBCB-4ED3-A20E-2376254CB8E0}"/>
    <cellStyle name="Comma 4 4 3 3 2 4" xfId="30452" xr:uid="{0350742B-8511-4846-9F75-A92DB1E03BCA}"/>
    <cellStyle name="Comma 4 4 3 3 2 5" xfId="22005" xr:uid="{A3C34D8B-63EF-4B0D-977C-02492C92FFD1}"/>
    <cellStyle name="Comma 4 4 3 3 2 6" xfId="12708" xr:uid="{9C72E8CA-E98D-4F85-9DA9-9012F8622D77}"/>
    <cellStyle name="Comma 4 4 3 3 3" xfId="5454" xr:uid="{00000000-0005-0000-0000-0000030A0000}"/>
    <cellStyle name="Comma 4 4 3 3 3 2" xfId="40972" xr:uid="{307D8535-DFB4-4EB3-A525-A765AA083ED8}"/>
    <cellStyle name="Comma 4 4 3 3 3 3" xfId="32525" xr:uid="{8374CF33-4A57-43B9-831E-3743D53A3605}"/>
    <cellStyle name="Comma 4 4 3 3 3 4" xfId="24077" xr:uid="{25FF8D93-4996-4F4B-ABCD-E2263F3AEF5F}"/>
    <cellStyle name="Comma 4 4 3 3 3 5" xfId="14780" xr:uid="{8777A3F4-0C30-447E-868F-F8F39FC89C33}"/>
    <cellStyle name="Comma 4 4 3 3 4" xfId="36755" xr:uid="{AB34FDBB-1FB3-4D9D-88BA-F0C0F3A960D2}"/>
    <cellStyle name="Comma 4 4 3 3 5" xfId="28307" xr:uid="{28EC8959-BB2C-46BB-B7E5-F44CF6B6CD21}"/>
    <cellStyle name="Comma 4 4 3 3 6" xfId="19860" xr:uid="{45ACF5A8-1AFD-46F4-B3C2-0273266B5FE2}"/>
    <cellStyle name="Comma 4 4 3 3 7" xfId="10563" xr:uid="{0C115173-6DFD-45EE-BC4E-0B941F83C89B}"/>
    <cellStyle name="Comma 4 4 3 4" xfId="1560" xr:uid="{00000000-0005-0000-0000-0000040A0000}"/>
    <cellStyle name="Comma 4 4 3 4 2" xfId="3790" xr:uid="{00000000-0005-0000-0000-0000050A0000}"/>
    <cellStyle name="Comma 4 4 3 4 2 2" xfId="8012" xr:uid="{00000000-0005-0000-0000-0000060A0000}"/>
    <cellStyle name="Comma 4 4 3 4 2 2 2" xfId="43530" xr:uid="{C538EB19-B261-40BA-9DB4-8B38CA690036}"/>
    <cellStyle name="Comma 4 4 3 4 2 2 3" xfId="35083" xr:uid="{2E309B83-642A-48A9-AE8C-5D40AEB8D91D}"/>
    <cellStyle name="Comma 4 4 3 4 2 2 4" xfId="26635" xr:uid="{48CEEC12-E056-4CB5-9667-CE792A75FE15}"/>
    <cellStyle name="Comma 4 4 3 4 2 2 5" xfId="17338" xr:uid="{D8CEF54F-BE31-4919-AD2C-13B53AD345C2}"/>
    <cellStyle name="Comma 4 4 3 4 2 3" xfId="39313" xr:uid="{7ADF9954-D64C-4222-B6A9-8FE3D959263C}"/>
    <cellStyle name="Comma 4 4 3 4 2 4" xfId="30865" xr:uid="{57468A36-CB3E-4CB5-9473-57779F5735BA}"/>
    <cellStyle name="Comma 4 4 3 4 2 5" xfId="22418" xr:uid="{EEE82A44-B88E-4D26-86E8-8552FB3A36E6}"/>
    <cellStyle name="Comma 4 4 3 4 2 6" xfId="13121" xr:uid="{44D44CAF-F985-4D70-BC12-E678F96232F5}"/>
    <cellStyle name="Comma 4 4 3 4 3" xfId="5867" xr:uid="{00000000-0005-0000-0000-0000070A0000}"/>
    <cellStyle name="Comma 4 4 3 4 3 2" xfId="41385" xr:uid="{7FEC28B4-4873-4A39-97C5-981AA8F6993F}"/>
    <cellStyle name="Comma 4 4 3 4 3 3" xfId="32938" xr:uid="{B1ECCDB3-A65D-4372-8425-BBD56BFB8D83}"/>
    <cellStyle name="Comma 4 4 3 4 3 4" xfId="24490" xr:uid="{BEAD775C-0A96-41BC-8090-13A33AD9C969}"/>
    <cellStyle name="Comma 4 4 3 4 3 5" xfId="15193" xr:uid="{DA4821C7-435A-47F2-BA53-3F10351AD711}"/>
    <cellStyle name="Comma 4 4 3 4 4" xfId="37168" xr:uid="{7365A6AB-78B7-463F-9E0D-F54EC15602FA}"/>
    <cellStyle name="Comma 4 4 3 4 5" xfId="28720" xr:uid="{E55020CF-971F-4CFC-B7CE-FF47796D3A73}"/>
    <cellStyle name="Comma 4 4 3 4 6" xfId="20273" xr:uid="{AEA24D32-74A6-4A51-9390-F5C060B94617}"/>
    <cellStyle name="Comma 4 4 3 4 7" xfId="10976" xr:uid="{E5B519C9-8C35-4A45-BA3B-4F2DC8E8F33F}"/>
    <cellStyle name="Comma 4 4 3 5" xfId="1974" xr:uid="{00000000-0005-0000-0000-0000080A0000}"/>
    <cellStyle name="Comma 4 4 3 5 2" xfId="4203" xr:uid="{00000000-0005-0000-0000-0000090A0000}"/>
    <cellStyle name="Comma 4 4 3 5 2 2" xfId="8425" xr:uid="{00000000-0005-0000-0000-00000A0A0000}"/>
    <cellStyle name="Comma 4 4 3 5 2 2 2" xfId="43943" xr:uid="{76F324A0-5881-4CFD-97CD-E81D4989DE46}"/>
    <cellStyle name="Comma 4 4 3 5 2 2 3" xfId="35496" xr:uid="{F92B272F-7116-452C-A71A-407993820AAB}"/>
    <cellStyle name="Comma 4 4 3 5 2 2 4" xfId="27048" xr:uid="{9463B106-8147-450E-985D-19C8D9E326C0}"/>
    <cellStyle name="Comma 4 4 3 5 2 2 5" xfId="17751" xr:uid="{9174E0F6-F483-4BDF-8FB5-77B26D231B9E}"/>
    <cellStyle name="Comma 4 4 3 5 2 3" xfId="39726" xr:uid="{2FF15DFF-ECA6-4CB5-A5B1-588034450EED}"/>
    <cellStyle name="Comma 4 4 3 5 2 4" xfId="31278" xr:uid="{1495C24A-AA97-42E7-90B7-06A3777690A9}"/>
    <cellStyle name="Comma 4 4 3 5 2 5" xfId="22831" xr:uid="{2942E3A6-59D6-44B5-B070-B9614C77F349}"/>
    <cellStyle name="Comma 4 4 3 5 2 6" xfId="13534" xr:uid="{3002E31A-C9FD-46EB-B050-1BACD08D7A2F}"/>
    <cellStyle name="Comma 4 4 3 5 3" xfId="6280" xr:uid="{00000000-0005-0000-0000-00000B0A0000}"/>
    <cellStyle name="Comma 4 4 3 5 3 2" xfId="41798" xr:uid="{EC57D438-3BB9-4416-9971-0EB630C6C279}"/>
    <cellStyle name="Comma 4 4 3 5 3 3" xfId="33351" xr:uid="{D16FBE62-4176-4EB4-8436-E07175CD749D}"/>
    <cellStyle name="Comma 4 4 3 5 3 4" xfId="24903" xr:uid="{A7501D58-830D-414F-AFA4-B25A496DA581}"/>
    <cellStyle name="Comma 4 4 3 5 3 5" xfId="15606" xr:uid="{E3BBC191-4E7F-43A6-9639-842D4F8A2C5A}"/>
    <cellStyle name="Comma 4 4 3 5 4" xfId="37581" xr:uid="{762372C6-7DED-428D-8718-C71F12E9B97C}"/>
    <cellStyle name="Comma 4 4 3 5 5" xfId="29133" xr:uid="{3B3CE29E-AE9D-47A9-BAE6-87F7CAA78A37}"/>
    <cellStyle name="Comma 4 4 3 5 6" xfId="20686" xr:uid="{A9306560-DEDE-4E85-95CD-513710E90304}"/>
    <cellStyle name="Comma 4 4 3 5 7" xfId="11389" xr:uid="{BABE59B1-F500-4917-97FA-22BB31E4C6C7}"/>
    <cellStyle name="Comma 4 4 3 6" xfId="2409" xr:uid="{00000000-0005-0000-0000-00000C0A0000}"/>
    <cellStyle name="Comma 4 4 3 6 2" xfId="6693" xr:uid="{00000000-0005-0000-0000-00000D0A0000}"/>
    <cellStyle name="Comma 4 4 3 6 2 2" xfId="42211" xr:uid="{42528D24-15C2-4554-8465-8C67D337C078}"/>
    <cellStyle name="Comma 4 4 3 6 2 3" xfId="33764" xr:uid="{A96226C8-A837-4591-AA70-87B9A46250DD}"/>
    <cellStyle name="Comma 4 4 3 6 2 4" xfId="25316" xr:uid="{7C396E7D-C3C2-451A-AD77-05A5AEEE2169}"/>
    <cellStyle name="Comma 4 4 3 6 2 5" xfId="16019" xr:uid="{ECD1E52C-8B8D-4E4E-833D-3EC586D44AF5}"/>
    <cellStyle name="Comma 4 4 3 6 3" xfId="37994" xr:uid="{59101ABD-6FF5-45E8-8A5F-EF2656F081D1}"/>
    <cellStyle name="Comma 4 4 3 6 4" xfId="29546" xr:uid="{C20EF9EE-AC81-46C8-9DC4-A0D6EC9DE510}"/>
    <cellStyle name="Comma 4 4 3 6 5" xfId="21099" xr:uid="{7E306BE6-0185-4890-B0F1-C831BBF63F14}"/>
    <cellStyle name="Comma 4 4 3 6 6" xfId="11802" xr:uid="{8F53725C-2397-4F12-B95E-5201413FECEA}"/>
    <cellStyle name="Comma 4 4 3 7" xfId="2705" xr:uid="{00000000-0005-0000-0000-00000E0A0000}"/>
    <cellStyle name="Comma 4 4 3 8" xfId="2787" xr:uid="{00000000-0005-0000-0000-00000F0A0000}"/>
    <cellStyle name="Comma 4 4 3 8 2" xfId="7010" xr:uid="{00000000-0005-0000-0000-0000100A0000}"/>
    <cellStyle name="Comma 4 4 3 8 2 2" xfId="42528" xr:uid="{80618646-90A6-4156-8184-1BEFBDFB24E0}"/>
    <cellStyle name="Comma 4 4 3 8 2 3" xfId="34081" xr:uid="{5C09AA9F-CAEF-4C19-8626-72B269515662}"/>
    <cellStyle name="Comma 4 4 3 8 2 4" xfId="25633" xr:uid="{EA12D5DE-1E8A-4C66-A124-4D6CCFA9B290}"/>
    <cellStyle name="Comma 4 4 3 8 2 5" xfId="16336" xr:uid="{4C820DAF-D9E0-4A35-A6D5-6895EFBC94A5}"/>
    <cellStyle name="Comma 4 4 3 8 3" xfId="38311" xr:uid="{3E3CF9F1-392A-4971-952E-87027EB06763}"/>
    <cellStyle name="Comma 4 4 3 8 4" xfId="29863" xr:uid="{60549572-22E1-4CBB-AA81-334D8ECB0576}"/>
    <cellStyle name="Comma 4 4 3 8 5" xfId="21416" xr:uid="{A33A9C3E-75EB-4E4F-920C-C8C2FCC5D43E}"/>
    <cellStyle name="Comma 4 4 3 8 6" xfId="12119" xr:uid="{4C5A6C50-1FD6-4E08-B434-2A73FDB17B61}"/>
    <cellStyle name="Comma 4 4 3 9" xfId="4627" xr:uid="{00000000-0005-0000-0000-0000110A0000}"/>
    <cellStyle name="Comma 4 4 3 9 2" xfId="40145" xr:uid="{283B9BE7-D7F1-43C9-9515-D37EDC6437B2}"/>
    <cellStyle name="Comma 4 4 3 9 3" xfId="31698" xr:uid="{D45D1CE8-926B-4216-B963-BAA0BCB86BC2}"/>
    <cellStyle name="Comma 4 4 3 9 4" xfId="23250" xr:uid="{225AB4E4-2057-414A-8311-D277C029FCF9}"/>
    <cellStyle name="Comma 4 4 3 9 5" xfId="13953" xr:uid="{D951BC52-986B-464C-96C2-57AEDFF56FA4}"/>
    <cellStyle name="Comma 4 4 4" xfId="690" xr:uid="{00000000-0005-0000-0000-0000120A0000}"/>
    <cellStyle name="Comma 4 4 4 2" xfId="2961" xr:uid="{00000000-0005-0000-0000-0000130A0000}"/>
    <cellStyle name="Comma 4 4 4 2 2" xfId="7183" xr:uid="{00000000-0005-0000-0000-0000140A0000}"/>
    <cellStyle name="Comma 4 4 4 2 2 2" xfId="42701" xr:uid="{34047980-E386-4EE6-B4CE-69239E87BC01}"/>
    <cellStyle name="Comma 4 4 4 2 2 3" xfId="34254" xr:uid="{79614DFD-BE51-460D-863F-27F287D72E31}"/>
    <cellStyle name="Comma 4 4 4 2 2 4" xfId="25806" xr:uid="{3F4364AB-A6D7-4962-B8DE-A44AF87473DC}"/>
    <cellStyle name="Comma 4 4 4 2 2 5" xfId="16509" xr:uid="{2A4597FB-30AB-4C43-9C7C-E11D2316FC0A}"/>
    <cellStyle name="Comma 4 4 4 2 3" xfId="38484" xr:uid="{5A7AB09F-7545-404E-9BB4-085247A452D9}"/>
    <cellStyle name="Comma 4 4 4 2 4" xfId="30036" xr:uid="{7742A849-7EB9-4DE4-93C9-5C3E2DA95893}"/>
    <cellStyle name="Comma 4 4 4 2 5" xfId="21589" xr:uid="{AE93310F-05BF-48B8-BD2A-90F83F3BF72B}"/>
    <cellStyle name="Comma 4 4 4 2 6" xfId="12292" xr:uid="{66029EEF-2002-48FD-B55E-1C2AA3EE83D3}"/>
    <cellStyle name="Comma 4 4 4 3" xfId="5038" xr:uid="{00000000-0005-0000-0000-0000150A0000}"/>
    <cellStyle name="Comma 4 4 4 3 2" xfId="40556" xr:uid="{58F63F03-22CC-444E-9CC0-DC9B540C3D36}"/>
    <cellStyle name="Comma 4 4 4 3 3" xfId="32109" xr:uid="{B27C32F3-5D70-4E9A-AF22-C2A7196BC2C2}"/>
    <cellStyle name="Comma 4 4 4 3 4" xfId="23661" xr:uid="{710D2543-09B8-4B82-B9F4-9E34CD154DC9}"/>
    <cellStyle name="Comma 4 4 4 3 5" xfId="14364" xr:uid="{6AED91B3-6B6A-4F0A-AE07-055FECD96C35}"/>
    <cellStyle name="Comma 4 4 4 4" xfId="9229" xr:uid="{5D655A80-2199-4116-9BF2-7327D5827395}"/>
    <cellStyle name="Comma 4 4 4 4 2" xfId="36339" xr:uid="{551D882E-EC9D-43A2-BF76-879B1B2C77F1}"/>
    <cellStyle name="Comma 4 4 4 4 3" xfId="18542" xr:uid="{F6B59E6D-2107-4F94-B56F-FE9F7B83848E}"/>
    <cellStyle name="Comma 4 4 4 5" xfId="27891" xr:uid="{5D3972DE-B393-401D-BD0A-3FC15FA92FEF}"/>
    <cellStyle name="Comma 4 4 4 6" xfId="19444" xr:uid="{6CC27517-CACB-4D75-86C8-5DDDBF4638BC}"/>
    <cellStyle name="Comma 4 4 4 7" xfId="10147" xr:uid="{7E3FDBF5-D87A-465D-9D36-832DA8968959}"/>
    <cellStyle name="Comma 4 4 5" xfId="1143" xr:uid="{00000000-0005-0000-0000-0000160A0000}"/>
    <cellStyle name="Comma 4 4 5 2" xfId="3374" xr:uid="{00000000-0005-0000-0000-0000170A0000}"/>
    <cellStyle name="Comma 4 4 5 2 2" xfId="7596" xr:uid="{00000000-0005-0000-0000-0000180A0000}"/>
    <cellStyle name="Comma 4 4 5 2 2 2" xfId="43114" xr:uid="{C005B775-C29E-44BE-9D93-A967A332CF28}"/>
    <cellStyle name="Comma 4 4 5 2 2 3" xfId="34667" xr:uid="{370B2EB4-E673-4E87-8BFE-B5222F6671F9}"/>
    <cellStyle name="Comma 4 4 5 2 2 4" xfId="26219" xr:uid="{47B9F6AD-45C1-44C3-A7EA-8C8DFA33D51C}"/>
    <cellStyle name="Comma 4 4 5 2 2 5" xfId="16922" xr:uid="{2F9C8644-7611-4820-B3F6-588D41D0C31E}"/>
    <cellStyle name="Comma 4 4 5 2 3" xfId="38897" xr:uid="{DF335F81-FC05-40FD-A59C-7C4DE331B73B}"/>
    <cellStyle name="Comma 4 4 5 2 4" xfId="30449" xr:uid="{D17063C5-0877-4023-A25E-D93C5F09AC0C}"/>
    <cellStyle name="Comma 4 4 5 2 5" xfId="22002" xr:uid="{5815A5F3-3E10-4065-B982-EBB4D6F205CB}"/>
    <cellStyle name="Comma 4 4 5 2 6" xfId="12705" xr:uid="{9F1EAE79-1762-499C-A8B2-9A26F00212F8}"/>
    <cellStyle name="Comma 4 4 5 3" xfId="5451" xr:uid="{00000000-0005-0000-0000-0000190A0000}"/>
    <cellStyle name="Comma 4 4 5 3 2" xfId="40969" xr:uid="{C573B3DF-6B00-4351-9254-E2FD5BCE9081}"/>
    <cellStyle name="Comma 4 4 5 3 3" xfId="32522" xr:uid="{BA10E7CB-7BB0-4870-B1DA-1997858AC800}"/>
    <cellStyle name="Comma 4 4 5 3 4" xfId="24074" xr:uid="{CCBB7C40-660F-47F8-A850-DBB591B81CA7}"/>
    <cellStyle name="Comma 4 4 5 3 5" xfId="14777" xr:uid="{1F8A1CBB-BDEE-497E-8FCC-04263DDCA850}"/>
    <cellStyle name="Comma 4 4 5 4" xfId="36752" xr:uid="{6431F976-05C5-4F04-8E65-37FAFF621841}"/>
    <cellStyle name="Comma 4 4 5 5" xfId="28304" xr:uid="{DAEA23FB-2722-4B2C-80AB-A7C5603028F5}"/>
    <cellStyle name="Comma 4 4 5 6" xfId="19857" xr:uid="{864363CD-E080-4737-81CD-DBD9AA203477}"/>
    <cellStyle name="Comma 4 4 5 7" xfId="10560" xr:uid="{6BF6AD09-A4F7-4604-9FF7-3B25158E613D}"/>
    <cellStyle name="Comma 4 4 6" xfId="1557" xr:uid="{00000000-0005-0000-0000-00001A0A0000}"/>
    <cellStyle name="Comma 4 4 6 2" xfId="3787" xr:uid="{00000000-0005-0000-0000-00001B0A0000}"/>
    <cellStyle name="Comma 4 4 6 2 2" xfId="8009" xr:uid="{00000000-0005-0000-0000-00001C0A0000}"/>
    <cellStyle name="Comma 4 4 6 2 2 2" xfId="43527" xr:uid="{AEDDFA42-3F11-4293-888B-4A4F6FDB53D6}"/>
    <cellStyle name="Comma 4 4 6 2 2 3" xfId="35080" xr:uid="{C9E393C4-4098-4EFE-9DCA-1A8DD744396B}"/>
    <cellStyle name="Comma 4 4 6 2 2 4" xfId="26632" xr:uid="{C4EDFF97-9E29-464F-A84C-209A5807F602}"/>
    <cellStyle name="Comma 4 4 6 2 2 5" xfId="17335" xr:uid="{E9DDD659-F3BC-4591-B663-0A946A7EA950}"/>
    <cellStyle name="Comma 4 4 6 2 3" xfId="39310" xr:uid="{838D28E6-06D1-408C-AF9A-A0A57E2F2F0D}"/>
    <cellStyle name="Comma 4 4 6 2 4" xfId="30862" xr:uid="{8FE68B6D-EF77-4C6D-82AF-E30D4D59426B}"/>
    <cellStyle name="Comma 4 4 6 2 5" xfId="22415" xr:uid="{AE198B54-2B34-447E-B70F-4A443D83BA76}"/>
    <cellStyle name="Comma 4 4 6 2 6" xfId="13118" xr:uid="{98775C9C-8F36-4EE5-99FC-B66D9E4CA32B}"/>
    <cellStyle name="Comma 4 4 6 3" xfId="5864" xr:uid="{00000000-0005-0000-0000-00001D0A0000}"/>
    <cellStyle name="Comma 4 4 6 3 2" xfId="41382" xr:uid="{ED5391EF-5407-426A-94FB-3621897E6E8E}"/>
    <cellStyle name="Comma 4 4 6 3 3" xfId="32935" xr:uid="{1825BE21-BA20-4A26-B397-81A30BE915B6}"/>
    <cellStyle name="Comma 4 4 6 3 4" xfId="24487" xr:uid="{3E530390-390D-4D45-9ECE-ACD623F8FBC6}"/>
    <cellStyle name="Comma 4 4 6 3 5" xfId="15190" xr:uid="{FD250428-53DD-4591-9417-771E25DC31A3}"/>
    <cellStyle name="Comma 4 4 6 4" xfId="37165" xr:uid="{A0D1A442-1061-4CF2-A6EC-BA023AA5D127}"/>
    <cellStyle name="Comma 4 4 6 5" xfId="28717" xr:uid="{0A014FB5-DBCC-4912-8EE7-1B9A82A72A4A}"/>
    <cellStyle name="Comma 4 4 6 6" xfId="20270" xr:uid="{108CB368-36FC-4549-ABE4-9E16B1B21E8B}"/>
    <cellStyle name="Comma 4 4 6 7" xfId="10973" xr:uid="{714625A2-C6B4-40E8-8242-5F6C4523B72D}"/>
    <cellStyle name="Comma 4 4 7" xfId="1971" xr:uid="{00000000-0005-0000-0000-00001E0A0000}"/>
    <cellStyle name="Comma 4 4 7 2" xfId="4200" xr:uid="{00000000-0005-0000-0000-00001F0A0000}"/>
    <cellStyle name="Comma 4 4 7 2 2" xfId="8422" xr:uid="{00000000-0005-0000-0000-0000200A0000}"/>
    <cellStyle name="Comma 4 4 7 2 2 2" xfId="43940" xr:uid="{6EE9DAD1-0ED8-4A93-9619-412584165870}"/>
    <cellStyle name="Comma 4 4 7 2 2 3" xfId="35493" xr:uid="{7C87B2B6-A372-477C-9A07-1665071AD76C}"/>
    <cellStyle name="Comma 4 4 7 2 2 4" xfId="27045" xr:uid="{AFD29BB1-849E-4289-A6FD-CD952F1E647A}"/>
    <cellStyle name="Comma 4 4 7 2 2 5" xfId="17748" xr:uid="{3B853D38-669E-407C-B466-F59E4C7B807E}"/>
    <cellStyle name="Comma 4 4 7 2 3" xfId="39723" xr:uid="{9361F302-48FA-4133-973B-222B572B6A50}"/>
    <cellStyle name="Comma 4 4 7 2 4" xfId="31275" xr:uid="{3E38247A-C89E-497C-88F7-21F1B129B503}"/>
    <cellStyle name="Comma 4 4 7 2 5" xfId="22828" xr:uid="{8CA52B80-9692-4FCF-9138-5E55B11D1CFA}"/>
    <cellStyle name="Comma 4 4 7 2 6" xfId="13531" xr:uid="{1997447F-BBFB-429B-AA70-3796E5B6885A}"/>
    <cellStyle name="Comma 4 4 7 3" xfId="6277" xr:uid="{00000000-0005-0000-0000-0000210A0000}"/>
    <cellStyle name="Comma 4 4 7 3 2" xfId="41795" xr:uid="{A66A01D7-08F8-44EB-8D5C-8D2804E7A11B}"/>
    <cellStyle name="Comma 4 4 7 3 3" xfId="33348" xr:uid="{54D5886C-6291-4541-9E31-37E55A0B97C0}"/>
    <cellStyle name="Comma 4 4 7 3 4" xfId="24900" xr:uid="{A426A612-090C-4789-A53C-414257A5ABE1}"/>
    <cellStyle name="Comma 4 4 7 3 5" xfId="15603" xr:uid="{FBAE45EF-A0E4-4D3B-A045-4A75F3D951DC}"/>
    <cellStyle name="Comma 4 4 7 4" xfId="37578" xr:uid="{EAC25E61-FECD-4414-BA9C-140A4626D95E}"/>
    <cellStyle name="Comma 4 4 7 5" xfId="29130" xr:uid="{AF3748A5-5662-417D-B511-606E44EEC21A}"/>
    <cellStyle name="Comma 4 4 7 6" xfId="20683" xr:uid="{0F8153F0-75F1-42E4-81A2-B9B03772F126}"/>
    <cellStyle name="Comma 4 4 7 7" xfId="11386" xr:uid="{BF75CDF0-9029-4127-A5E1-5A625D570A4A}"/>
    <cellStyle name="Comma 4 4 8" xfId="2406" xr:uid="{00000000-0005-0000-0000-0000220A0000}"/>
    <cellStyle name="Comma 4 4 8 2" xfId="6690" xr:uid="{00000000-0005-0000-0000-0000230A0000}"/>
    <cellStyle name="Comma 4 4 8 2 2" xfId="42208" xr:uid="{6257B851-FA00-4C42-873E-C8292E978C6C}"/>
    <cellStyle name="Comma 4 4 8 2 3" xfId="33761" xr:uid="{DD321B1F-855A-40EF-9786-9F06B31EC588}"/>
    <cellStyle name="Comma 4 4 8 2 4" xfId="25313" xr:uid="{CBD5C888-8A5B-48B7-999D-7EE3FE864122}"/>
    <cellStyle name="Comma 4 4 8 2 5" xfId="16016" xr:uid="{2333344F-74FD-4A18-84D9-40F96C7476E7}"/>
    <cellStyle name="Comma 4 4 8 3" xfId="37991" xr:uid="{12435892-054B-4A6F-BD45-C97083FA54E1}"/>
    <cellStyle name="Comma 4 4 8 4" xfId="29543" xr:uid="{222E1CDD-124B-4747-BF03-0140DEF344BB}"/>
    <cellStyle name="Comma 4 4 8 5" xfId="21096" xr:uid="{02339BA5-5698-4620-AE92-1F984BBE8945}"/>
    <cellStyle name="Comma 4 4 8 6" xfId="11799" xr:uid="{D049B72D-4C05-4204-B04F-A14D43DF9ECF}"/>
    <cellStyle name="Comma 4 4 9" xfId="2702" xr:uid="{00000000-0005-0000-0000-0000240A0000}"/>
    <cellStyle name="Comma 4 5" xfId="157" xr:uid="{00000000-0005-0000-0000-0000250A0000}"/>
    <cellStyle name="Comma 4 5 10" xfId="4628" xr:uid="{00000000-0005-0000-0000-0000260A0000}"/>
    <cellStyle name="Comma 4 5 10 2" xfId="40146" xr:uid="{4DA92379-6DB7-4656-8B2A-FED1B8FF7463}"/>
    <cellStyle name="Comma 4 5 10 3" xfId="31699" xr:uid="{E7CB7F39-E7C8-4160-BF1B-134A9FFFA15C}"/>
    <cellStyle name="Comma 4 5 10 4" xfId="23251" xr:uid="{05EC6FD4-C50A-4A6C-95F2-818C772AD2A3}"/>
    <cellStyle name="Comma 4 5 10 5" xfId="13954" xr:uid="{D809BACE-6C98-455B-A372-7061DACFE705}"/>
    <cellStyle name="Comma 4 5 11" xfId="8849" xr:uid="{344CCE08-63E3-41E8-B38A-00347480820F}"/>
    <cellStyle name="Comma 4 5 11 2" xfId="35929" xr:uid="{4B388D19-43B4-4524-A4B5-6E53AD374F11}"/>
    <cellStyle name="Comma 4 5 11 3" xfId="18172" xr:uid="{72A07684-436E-4D71-92F8-CF81C4131BC8}"/>
    <cellStyle name="Comma 4 5 12" xfId="27481" xr:uid="{6424D2F4-D416-4A15-8A67-65810E69BA37}"/>
    <cellStyle name="Comma 4 5 13" xfId="19034" xr:uid="{A881AA4C-4BDA-460E-837B-68C5A7C64697}"/>
    <cellStyle name="Comma 4 5 14" xfId="9737" xr:uid="{2B1F9D50-EF54-45EA-91E9-F70C76A49D1D}"/>
    <cellStyle name="Comma 4 5 2" xfId="158" xr:uid="{00000000-0005-0000-0000-0000270A0000}"/>
    <cellStyle name="Comma 4 5 2 10" xfId="9056" xr:uid="{C7C2153B-7EAA-4A13-9C28-1151ACD100A8}"/>
    <cellStyle name="Comma 4 5 2 10 2" xfId="35930" xr:uid="{BB313CA9-2A9F-4DD2-A398-6A5AA25056C2}"/>
    <cellStyle name="Comma 4 5 2 10 3" xfId="18379" xr:uid="{4BB818C7-A19D-4E8E-9E56-C79EFC17C1BB}"/>
    <cellStyle name="Comma 4 5 2 11" xfId="27482" xr:uid="{82735404-506F-4305-B3D5-D7DFCB095F9E}"/>
    <cellStyle name="Comma 4 5 2 12" xfId="19035" xr:uid="{353E6835-C3DA-450B-AA01-F86CB560A4E5}"/>
    <cellStyle name="Comma 4 5 2 13" xfId="9738" xr:uid="{25095CA5-A0F5-49AB-96C1-F182D145135C}"/>
    <cellStyle name="Comma 4 5 2 2" xfId="695" xr:uid="{00000000-0005-0000-0000-0000280A0000}"/>
    <cellStyle name="Comma 4 5 2 2 2" xfId="2966" xr:uid="{00000000-0005-0000-0000-0000290A0000}"/>
    <cellStyle name="Comma 4 5 2 2 2 2" xfId="7188" xr:uid="{00000000-0005-0000-0000-00002A0A0000}"/>
    <cellStyle name="Comma 4 5 2 2 2 2 2" xfId="42706" xr:uid="{1AB448AF-5184-42E2-A84D-25188BE0F70B}"/>
    <cellStyle name="Comma 4 5 2 2 2 2 3" xfId="34259" xr:uid="{80FB456A-CD33-43DD-B68D-5325C8E08638}"/>
    <cellStyle name="Comma 4 5 2 2 2 2 4" xfId="25811" xr:uid="{FCC4ED94-7387-4AE5-852A-731BB1B860AF}"/>
    <cellStyle name="Comma 4 5 2 2 2 2 5" xfId="16514" xr:uid="{12159435-1BFC-4923-97AA-C9687ADA92EF}"/>
    <cellStyle name="Comma 4 5 2 2 2 3" xfId="38489" xr:uid="{DFCF2CBD-B76E-47FF-AFE9-34CFCD704EFF}"/>
    <cellStyle name="Comma 4 5 2 2 2 4" xfId="30041" xr:uid="{4E6CE10E-B8E6-4CFA-9C39-867FE628CB0B}"/>
    <cellStyle name="Comma 4 5 2 2 2 5" xfId="21594" xr:uid="{7CEDEC99-9A46-4EEF-8D10-4E4044D6F6EF}"/>
    <cellStyle name="Comma 4 5 2 2 2 6" xfId="12297" xr:uid="{BC624D44-4012-4955-A1E3-427599374711}"/>
    <cellStyle name="Comma 4 5 2 2 3" xfId="5043" xr:uid="{00000000-0005-0000-0000-00002B0A0000}"/>
    <cellStyle name="Comma 4 5 2 2 3 2" xfId="40561" xr:uid="{EA3FDB9E-BB94-41D2-9523-B1CDFAFC0C9B}"/>
    <cellStyle name="Comma 4 5 2 2 3 3" xfId="32114" xr:uid="{96488033-95A9-44AB-B8F5-E9CD137F79C9}"/>
    <cellStyle name="Comma 4 5 2 2 3 4" xfId="23666" xr:uid="{2111E420-5E3E-4060-89DC-67A8D206E197}"/>
    <cellStyle name="Comma 4 5 2 2 3 5" xfId="14369" xr:uid="{38F0606C-A7F0-4A07-9ECC-F38C86BE33ED}"/>
    <cellStyle name="Comma 4 5 2 2 4" xfId="9481" xr:uid="{47C88F6D-21B1-4457-908C-FFAB8FF83BD1}"/>
    <cellStyle name="Comma 4 5 2 2 4 2" xfId="36344" xr:uid="{1C3020CC-7A64-4A73-ABE7-C1E596C2015C}"/>
    <cellStyle name="Comma 4 5 2 2 4 3" xfId="18794" xr:uid="{0C339D6F-08AE-485C-AECD-53367D5026F1}"/>
    <cellStyle name="Comma 4 5 2 2 5" xfId="27896" xr:uid="{C17A5104-ACC4-4078-8931-7535480B5719}"/>
    <cellStyle name="Comma 4 5 2 2 6" xfId="19449" xr:uid="{B82B6F28-A21F-4C9D-BC41-D2735826457A}"/>
    <cellStyle name="Comma 4 5 2 2 7" xfId="10152" xr:uid="{FDFA19BB-F8B3-4774-9F14-5FC4FD6D967F}"/>
    <cellStyle name="Comma 4 5 2 3" xfId="1148" xr:uid="{00000000-0005-0000-0000-00002C0A0000}"/>
    <cellStyle name="Comma 4 5 2 3 2" xfId="3379" xr:uid="{00000000-0005-0000-0000-00002D0A0000}"/>
    <cellStyle name="Comma 4 5 2 3 2 2" xfId="7601" xr:uid="{00000000-0005-0000-0000-00002E0A0000}"/>
    <cellStyle name="Comma 4 5 2 3 2 2 2" xfId="43119" xr:uid="{7B92F193-8C77-420A-9336-B1AC3E988463}"/>
    <cellStyle name="Comma 4 5 2 3 2 2 3" xfId="34672" xr:uid="{467D4077-225C-49B3-A07F-90B9E0532FDE}"/>
    <cellStyle name="Comma 4 5 2 3 2 2 4" xfId="26224" xr:uid="{7C64241B-A6ED-49C1-9CC0-A84FA061D160}"/>
    <cellStyle name="Comma 4 5 2 3 2 2 5" xfId="16927" xr:uid="{7BC30DA4-F3EE-4C78-BD43-9902FF8EA15D}"/>
    <cellStyle name="Comma 4 5 2 3 2 3" xfId="38902" xr:uid="{A8990499-FAC4-4DA5-ABB2-C1DBBC8191B0}"/>
    <cellStyle name="Comma 4 5 2 3 2 4" xfId="30454" xr:uid="{842BB347-87FE-490F-AF07-1D6F60026A97}"/>
    <cellStyle name="Comma 4 5 2 3 2 5" xfId="22007" xr:uid="{9F4F91AC-0AC8-4488-8A3A-56F0E246579B}"/>
    <cellStyle name="Comma 4 5 2 3 2 6" xfId="12710" xr:uid="{4EFD0553-761E-43FC-83C1-81583E0F2A07}"/>
    <cellStyle name="Comma 4 5 2 3 3" xfId="5456" xr:uid="{00000000-0005-0000-0000-00002F0A0000}"/>
    <cellStyle name="Comma 4 5 2 3 3 2" xfId="40974" xr:uid="{C5E922B5-100F-410F-AFDF-7A74EF6BA141}"/>
    <cellStyle name="Comma 4 5 2 3 3 3" xfId="32527" xr:uid="{1E4CED28-1254-4033-B3F0-80587055A899}"/>
    <cellStyle name="Comma 4 5 2 3 3 4" xfId="24079" xr:uid="{D2A2C1FA-57EB-4DA5-844C-5DA246AAD1DB}"/>
    <cellStyle name="Comma 4 5 2 3 3 5" xfId="14782" xr:uid="{BACF81D0-3C94-4C5F-A94D-3ECB7FE2DEC8}"/>
    <cellStyle name="Comma 4 5 2 3 4" xfId="36757" xr:uid="{C9D8853D-2ADE-4EF9-B71A-31FC63C97D06}"/>
    <cellStyle name="Comma 4 5 2 3 5" xfId="28309" xr:uid="{B9B509E7-A35C-40C3-8A15-77E82D3808D5}"/>
    <cellStyle name="Comma 4 5 2 3 6" xfId="19862" xr:uid="{27314946-1DF3-431B-B80D-142F99DD20CD}"/>
    <cellStyle name="Comma 4 5 2 3 7" xfId="10565" xr:uid="{8BF8C200-8469-4359-9AF9-3B38C550C1B4}"/>
    <cellStyle name="Comma 4 5 2 4" xfId="1562" xr:uid="{00000000-0005-0000-0000-0000300A0000}"/>
    <cellStyle name="Comma 4 5 2 4 2" xfId="3792" xr:uid="{00000000-0005-0000-0000-0000310A0000}"/>
    <cellStyle name="Comma 4 5 2 4 2 2" xfId="8014" xr:uid="{00000000-0005-0000-0000-0000320A0000}"/>
    <cellStyle name="Comma 4 5 2 4 2 2 2" xfId="43532" xr:uid="{AA89CE3A-C5B8-484A-8B3E-CF2526E5C17A}"/>
    <cellStyle name="Comma 4 5 2 4 2 2 3" xfId="35085" xr:uid="{EF77B7AF-DF64-4F3E-BE06-DC14D1750BE9}"/>
    <cellStyle name="Comma 4 5 2 4 2 2 4" xfId="26637" xr:uid="{B023AFFF-7EE8-4464-B687-AA400A84AE2C}"/>
    <cellStyle name="Comma 4 5 2 4 2 2 5" xfId="17340" xr:uid="{18546DB0-3432-4A49-80D2-56F9A95DEA41}"/>
    <cellStyle name="Comma 4 5 2 4 2 3" xfId="39315" xr:uid="{8CB11436-DC3A-4085-AC8C-A56852FF8A09}"/>
    <cellStyle name="Comma 4 5 2 4 2 4" xfId="30867" xr:uid="{A18B6041-1E5C-4E42-BC7A-285E0DAD4B93}"/>
    <cellStyle name="Comma 4 5 2 4 2 5" xfId="22420" xr:uid="{BCC0F4EE-3D74-45EE-BF52-3AAB11DBC0F1}"/>
    <cellStyle name="Comma 4 5 2 4 2 6" xfId="13123" xr:uid="{F81F61C6-5F8C-4AC6-B151-57B4B67A519F}"/>
    <cellStyle name="Comma 4 5 2 4 3" xfId="5869" xr:uid="{00000000-0005-0000-0000-0000330A0000}"/>
    <cellStyle name="Comma 4 5 2 4 3 2" xfId="41387" xr:uid="{0FC4A653-FE52-4DB7-8633-A8AE04DABCA6}"/>
    <cellStyle name="Comma 4 5 2 4 3 3" xfId="32940" xr:uid="{63DF38AD-3083-450D-B31D-CFBA21AB743F}"/>
    <cellStyle name="Comma 4 5 2 4 3 4" xfId="24492" xr:uid="{38996377-8502-4C2B-9C76-1A6A73E8DC40}"/>
    <cellStyle name="Comma 4 5 2 4 3 5" xfId="15195" xr:uid="{4AC46D14-1E05-4B82-9768-14CCECB8FF45}"/>
    <cellStyle name="Comma 4 5 2 4 4" xfId="37170" xr:uid="{2CD7E7CA-CD19-43D4-9CFF-2B0A2F2A814C}"/>
    <cellStyle name="Comma 4 5 2 4 5" xfId="28722" xr:uid="{9B608EFF-2795-4FEE-8B76-E447300AB343}"/>
    <cellStyle name="Comma 4 5 2 4 6" xfId="20275" xr:uid="{FD7AC304-8F5F-411C-8198-5FCCD0C1BC76}"/>
    <cellStyle name="Comma 4 5 2 4 7" xfId="10978" xr:uid="{FDF99E5C-6C56-4540-8A5E-AC02B1C6781D}"/>
    <cellStyle name="Comma 4 5 2 5" xfId="1976" xr:uid="{00000000-0005-0000-0000-0000340A0000}"/>
    <cellStyle name="Comma 4 5 2 5 2" xfId="4205" xr:uid="{00000000-0005-0000-0000-0000350A0000}"/>
    <cellStyle name="Comma 4 5 2 5 2 2" xfId="8427" xr:uid="{00000000-0005-0000-0000-0000360A0000}"/>
    <cellStyle name="Comma 4 5 2 5 2 2 2" xfId="43945" xr:uid="{96A387B2-6C27-4283-BA25-8BB79F215C20}"/>
    <cellStyle name="Comma 4 5 2 5 2 2 3" xfId="35498" xr:uid="{C3929A8A-4419-45FE-B5F2-A54CC51EE7BE}"/>
    <cellStyle name="Comma 4 5 2 5 2 2 4" xfId="27050" xr:uid="{A5871D6A-8F45-4244-A979-3761976878E7}"/>
    <cellStyle name="Comma 4 5 2 5 2 2 5" xfId="17753" xr:uid="{CCAF0348-9614-44E1-850C-CC774015CADF}"/>
    <cellStyle name="Comma 4 5 2 5 2 3" xfId="39728" xr:uid="{57FC1E30-76A3-4A3A-8E2C-1BF5E167BDED}"/>
    <cellStyle name="Comma 4 5 2 5 2 4" xfId="31280" xr:uid="{162CE446-74F2-4C1D-A2A5-D3FC8A39F605}"/>
    <cellStyle name="Comma 4 5 2 5 2 5" xfId="22833" xr:uid="{6463154D-2566-4363-9300-B99CA929AFB3}"/>
    <cellStyle name="Comma 4 5 2 5 2 6" xfId="13536" xr:uid="{CEB5AF99-9768-4697-AA8F-292ACA4CAC54}"/>
    <cellStyle name="Comma 4 5 2 5 3" xfId="6282" xr:uid="{00000000-0005-0000-0000-0000370A0000}"/>
    <cellStyle name="Comma 4 5 2 5 3 2" xfId="41800" xr:uid="{0C05B780-AE0C-4ACF-8059-3029C68FD773}"/>
    <cellStyle name="Comma 4 5 2 5 3 3" xfId="33353" xr:uid="{DA9BE531-1C10-4F46-8A83-17CBC1DF4F44}"/>
    <cellStyle name="Comma 4 5 2 5 3 4" xfId="24905" xr:uid="{D587EDC3-22EB-4E05-B7B7-5F79F07ACB0B}"/>
    <cellStyle name="Comma 4 5 2 5 3 5" xfId="15608" xr:uid="{023F81F1-E969-416E-AF9D-9CCB9B723F32}"/>
    <cellStyle name="Comma 4 5 2 5 4" xfId="37583" xr:uid="{E305C104-2A82-443E-B5D0-B05B1CE3AD12}"/>
    <cellStyle name="Comma 4 5 2 5 5" xfId="29135" xr:uid="{330644DB-5301-4704-ABA5-DA94A0760904}"/>
    <cellStyle name="Comma 4 5 2 5 6" xfId="20688" xr:uid="{9C28A4FC-98EF-4F71-B6F8-2532093DE9E1}"/>
    <cellStyle name="Comma 4 5 2 5 7" xfId="11391" xr:uid="{A56A42D8-F044-46E9-86EA-6B29F179B328}"/>
    <cellStyle name="Comma 4 5 2 6" xfId="2411" xr:uid="{00000000-0005-0000-0000-0000380A0000}"/>
    <cellStyle name="Comma 4 5 2 6 2" xfId="6695" xr:uid="{00000000-0005-0000-0000-0000390A0000}"/>
    <cellStyle name="Comma 4 5 2 6 2 2" xfId="42213" xr:uid="{4DEF2A19-38B2-437F-B111-068CDB63B741}"/>
    <cellStyle name="Comma 4 5 2 6 2 3" xfId="33766" xr:uid="{2CD25B93-B092-444C-944C-5F98AE5487F6}"/>
    <cellStyle name="Comma 4 5 2 6 2 4" xfId="25318" xr:uid="{0952BD73-C59F-48F3-8DD5-D2958768A594}"/>
    <cellStyle name="Comma 4 5 2 6 2 5" xfId="16021" xr:uid="{F967BC08-6128-43D4-8388-62315246D45A}"/>
    <cellStyle name="Comma 4 5 2 6 3" xfId="37996" xr:uid="{A22AA144-979B-47A5-B9FE-0CE3314E2E01}"/>
    <cellStyle name="Comma 4 5 2 6 4" xfId="29548" xr:uid="{3BA4C298-77BA-4978-9F15-8DFF325BF63A}"/>
    <cellStyle name="Comma 4 5 2 6 5" xfId="21101" xr:uid="{6CA6AFAB-C26C-4D8C-B347-8915A29A2D53}"/>
    <cellStyle name="Comma 4 5 2 6 6" xfId="11804" xr:uid="{2A3005CD-4653-47C3-80CF-5536636CA554}"/>
    <cellStyle name="Comma 4 5 2 7" xfId="2707" xr:uid="{00000000-0005-0000-0000-00003A0A0000}"/>
    <cellStyle name="Comma 4 5 2 8" xfId="2789" xr:uid="{00000000-0005-0000-0000-00003B0A0000}"/>
    <cellStyle name="Comma 4 5 2 8 2" xfId="7012" xr:uid="{00000000-0005-0000-0000-00003C0A0000}"/>
    <cellStyle name="Comma 4 5 2 8 2 2" xfId="42530" xr:uid="{70597FD1-3BC5-4F56-9B14-DE61A73E6087}"/>
    <cellStyle name="Comma 4 5 2 8 2 3" xfId="34083" xr:uid="{683B8FE3-6072-4D39-8877-8570DA5AB983}"/>
    <cellStyle name="Comma 4 5 2 8 2 4" xfId="25635" xr:uid="{6D118FC3-7503-4EEA-BA4D-4E029B87DB71}"/>
    <cellStyle name="Comma 4 5 2 8 2 5" xfId="16338" xr:uid="{B2A0E3A0-5F21-4152-B149-C230D148C1CE}"/>
    <cellStyle name="Comma 4 5 2 8 3" xfId="38313" xr:uid="{2DC11602-9546-4ED9-8E2D-3114D3A3357C}"/>
    <cellStyle name="Comma 4 5 2 8 4" xfId="29865" xr:uid="{AF54810C-5681-4628-B374-33600BD978E5}"/>
    <cellStyle name="Comma 4 5 2 8 5" xfId="21418" xr:uid="{E867019F-F84D-4F93-8CFD-05F48C904DD3}"/>
    <cellStyle name="Comma 4 5 2 8 6" xfId="12121" xr:uid="{F5EE9F90-4286-4F4F-8811-AC43CC96831F}"/>
    <cellStyle name="Comma 4 5 2 9" xfId="4629" xr:uid="{00000000-0005-0000-0000-00003D0A0000}"/>
    <cellStyle name="Comma 4 5 2 9 2" xfId="40147" xr:uid="{46F05670-7D00-443F-B07C-DFE52BFD7EF3}"/>
    <cellStyle name="Comma 4 5 2 9 3" xfId="31700" xr:uid="{6468EBCA-0BD1-4CE9-865E-3B10B9C5EFE3}"/>
    <cellStyle name="Comma 4 5 2 9 4" xfId="23252" xr:uid="{7AEFCDBC-7EB9-41E7-8C89-CEF34C179812}"/>
    <cellStyle name="Comma 4 5 2 9 5" xfId="13955" xr:uid="{0B308B5B-42B4-49A7-A080-B8D11636114E}"/>
    <cellStyle name="Comma 4 5 3" xfId="694" xr:uid="{00000000-0005-0000-0000-00003E0A0000}"/>
    <cellStyle name="Comma 4 5 3 2" xfId="2965" xr:uid="{00000000-0005-0000-0000-00003F0A0000}"/>
    <cellStyle name="Comma 4 5 3 2 2" xfId="7187" xr:uid="{00000000-0005-0000-0000-0000400A0000}"/>
    <cellStyle name="Comma 4 5 3 2 2 2" xfId="42705" xr:uid="{EF524375-F03E-46B3-8A83-044BB0DBC52E}"/>
    <cellStyle name="Comma 4 5 3 2 2 3" xfId="34258" xr:uid="{F035FB59-625E-4D5F-9566-02143D4DCC05}"/>
    <cellStyle name="Comma 4 5 3 2 2 4" xfId="25810" xr:uid="{CB9CFBFA-CBED-4443-963D-7C4607536DF4}"/>
    <cellStyle name="Comma 4 5 3 2 2 5" xfId="16513" xr:uid="{BCE25FA0-B4F8-4CAF-9180-EBF6A316EFFA}"/>
    <cellStyle name="Comma 4 5 3 2 3" xfId="38488" xr:uid="{0FC7557D-FD29-4E3E-8756-5D6CFD9B528A}"/>
    <cellStyle name="Comma 4 5 3 2 4" xfId="30040" xr:uid="{737F3A34-52CE-40C6-BF09-6318E5874A2E}"/>
    <cellStyle name="Comma 4 5 3 2 5" xfId="21593" xr:uid="{04B0FA49-31EF-4239-83C9-43DD2F3AF8A8}"/>
    <cellStyle name="Comma 4 5 3 2 6" xfId="12296" xr:uid="{1CFBAC24-CC7F-4FC1-AE20-420B0B37F419}"/>
    <cellStyle name="Comma 4 5 3 3" xfId="5042" xr:uid="{00000000-0005-0000-0000-0000410A0000}"/>
    <cellStyle name="Comma 4 5 3 3 2" xfId="40560" xr:uid="{01FFFD13-48ED-4B1E-9712-45B95CF6DAA8}"/>
    <cellStyle name="Comma 4 5 3 3 3" xfId="32113" xr:uid="{BD3C8DB0-7E12-401D-9ABC-7832F12FF670}"/>
    <cellStyle name="Comma 4 5 3 3 4" xfId="23665" xr:uid="{04592084-3912-4724-98AD-4F09E1F948DE}"/>
    <cellStyle name="Comma 4 5 3 3 5" xfId="14368" xr:uid="{FAABA507-D6ED-4421-A3C0-4EED3D7EA8EC}"/>
    <cellStyle name="Comma 4 5 3 4" xfId="9274" xr:uid="{04AC3EF2-4A78-4DC5-BAB4-87936023C7E5}"/>
    <cellStyle name="Comma 4 5 3 4 2" xfId="36343" xr:uid="{1018D634-E2C9-4A1F-929F-EDEA191FCB11}"/>
    <cellStyle name="Comma 4 5 3 4 3" xfId="18587" xr:uid="{58CAC2D0-1E9F-435B-B1EA-1DF8F3C48242}"/>
    <cellStyle name="Comma 4 5 3 5" xfId="27895" xr:uid="{68EBC4C6-37B0-42AE-92A8-D9623E88B9C4}"/>
    <cellStyle name="Comma 4 5 3 6" xfId="19448" xr:uid="{2D391584-617E-46FF-866B-16361D3B4F29}"/>
    <cellStyle name="Comma 4 5 3 7" xfId="10151" xr:uid="{9A0443F8-4CF8-4F65-AADA-83D3E1CAC305}"/>
    <cellStyle name="Comma 4 5 4" xfId="1147" xr:uid="{00000000-0005-0000-0000-0000420A0000}"/>
    <cellStyle name="Comma 4 5 4 2" xfId="3378" xr:uid="{00000000-0005-0000-0000-0000430A0000}"/>
    <cellStyle name="Comma 4 5 4 2 2" xfId="7600" xr:uid="{00000000-0005-0000-0000-0000440A0000}"/>
    <cellStyle name="Comma 4 5 4 2 2 2" xfId="43118" xr:uid="{688C1F0C-78EC-43E1-BF2D-E2B6AF7B0A90}"/>
    <cellStyle name="Comma 4 5 4 2 2 3" xfId="34671" xr:uid="{37FEC02A-9D07-4862-BF93-5CA5F133B07B}"/>
    <cellStyle name="Comma 4 5 4 2 2 4" xfId="26223" xr:uid="{A59D60A7-5509-4F05-BAC2-2C1F4D8E73EA}"/>
    <cellStyle name="Comma 4 5 4 2 2 5" xfId="16926" xr:uid="{D2C9D998-82E3-4A5D-9A97-D5DC7E3C9338}"/>
    <cellStyle name="Comma 4 5 4 2 3" xfId="38901" xr:uid="{D85FFDD1-6EA0-455A-9CB6-3F79252F8A44}"/>
    <cellStyle name="Comma 4 5 4 2 4" xfId="30453" xr:uid="{0089AAE5-E37F-4BD2-B47C-AC2D46DAFEFF}"/>
    <cellStyle name="Comma 4 5 4 2 5" xfId="22006" xr:uid="{1ECAF5A0-5BB1-47AD-9C66-2A0128EEEF25}"/>
    <cellStyle name="Comma 4 5 4 2 6" xfId="12709" xr:uid="{595FC34A-AACA-4277-9837-C554ADF266CF}"/>
    <cellStyle name="Comma 4 5 4 3" xfId="5455" xr:uid="{00000000-0005-0000-0000-0000450A0000}"/>
    <cellStyle name="Comma 4 5 4 3 2" xfId="40973" xr:uid="{6CEB6046-4ACE-48B2-87C5-6A4242015B34}"/>
    <cellStyle name="Comma 4 5 4 3 3" xfId="32526" xr:uid="{03585778-1B15-4DF1-9F0E-484114854B3F}"/>
    <cellStyle name="Comma 4 5 4 3 4" xfId="24078" xr:uid="{7DBDC693-621F-415A-8C8D-2E0F12C62A78}"/>
    <cellStyle name="Comma 4 5 4 3 5" xfId="14781" xr:uid="{11E816A8-581D-484D-8ACC-8CFCA613DFDD}"/>
    <cellStyle name="Comma 4 5 4 4" xfId="36756" xr:uid="{3D9280E2-D95E-4CCB-B88F-CB67213378DA}"/>
    <cellStyle name="Comma 4 5 4 5" xfId="28308" xr:uid="{F07EF871-B01C-40DE-8A5A-AF24ED6E6FBD}"/>
    <cellStyle name="Comma 4 5 4 6" xfId="19861" xr:uid="{569BF927-0F8D-4844-AD79-1AEC67971F14}"/>
    <cellStyle name="Comma 4 5 4 7" xfId="10564" xr:uid="{750A83E2-95B9-4BFA-8062-E23574A0E706}"/>
    <cellStyle name="Comma 4 5 5" xfId="1561" xr:uid="{00000000-0005-0000-0000-0000460A0000}"/>
    <cellStyle name="Comma 4 5 5 2" xfId="3791" xr:uid="{00000000-0005-0000-0000-0000470A0000}"/>
    <cellStyle name="Comma 4 5 5 2 2" xfId="8013" xr:uid="{00000000-0005-0000-0000-0000480A0000}"/>
    <cellStyle name="Comma 4 5 5 2 2 2" xfId="43531" xr:uid="{56D793B0-2859-4601-B095-40D73F80EDD1}"/>
    <cellStyle name="Comma 4 5 5 2 2 3" xfId="35084" xr:uid="{65408F03-8E65-45F4-B415-5D884DE4415C}"/>
    <cellStyle name="Comma 4 5 5 2 2 4" xfId="26636" xr:uid="{862AFCA9-9C59-4D41-A1D7-A01AFAE8CCA8}"/>
    <cellStyle name="Comma 4 5 5 2 2 5" xfId="17339" xr:uid="{5132A992-B8CC-4244-A82D-5D1C3EAEDB7C}"/>
    <cellStyle name="Comma 4 5 5 2 3" xfId="39314" xr:uid="{91FAE953-DCED-42A2-9A53-FBDDCED84951}"/>
    <cellStyle name="Comma 4 5 5 2 4" xfId="30866" xr:uid="{A0047780-F520-41BE-97B9-7E4BA88BC142}"/>
    <cellStyle name="Comma 4 5 5 2 5" xfId="22419" xr:uid="{5B8591A2-BDCB-4CDA-8AC6-639142F67F6A}"/>
    <cellStyle name="Comma 4 5 5 2 6" xfId="13122" xr:uid="{0449D7BC-2206-4CC9-9DBB-2091B2282117}"/>
    <cellStyle name="Comma 4 5 5 3" xfId="5868" xr:uid="{00000000-0005-0000-0000-0000490A0000}"/>
    <cellStyle name="Comma 4 5 5 3 2" xfId="41386" xr:uid="{B3F1E926-0303-4A83-897D-D5B31236FBA5}"/>
    <cellStyle name="Comma 4 5 5 3 3" xfId="32939" xr:uid="{78389417-48C6-49CC-BED6-2C37E18483DA}"/>
    <cellStyle name="Comma 4 5 5 3 4" xfId="24491" xr:uid="{4865EBBA-F0B9-427E-8D22-0C7F55BE9B54}"/>
    <cellStyle name="Comma 4 5 5 3 5" xfId="15194" xr:uid="{DA0FD45B-B90D-4F90-9F11-F626EC5475DE}"/>
    <cellStyle name="Comma 4 5 5 4" xfId="37169" xr:uid="{39A096C0-93F4-4B72-91E3-46F617182ABA}"/>
    <cellStyle name="Comma 4 5 5 5" xfId="28721" xr:uid="{FA1243F4-1991-4D1A-B952-82BBC9072901}"/>
    <cellStyle name="Comma 4 5 5 6" xfId="20274" xr:uid="{B8086ABD-5218-4206-B724-DFCB176FFC97}"/>
    <cellStyle name="Comma 4 5 5 7" xfId="10977" xr:uid="{F0DDDFFE-F958-4465-B4BF-B3BD08F209CE}"/>
    <cellStyle name="Comma 4 5 6" xfId="1975" xr:uid="{00000000-0005-0000-0000-00004A0A0000}"/>
    <cellStyle name="Comma 4 5 6 2" xfId="4204" xr:uid="{00000000-0005-0000-0000-00004B0A0000}"/>
    <cellStyle name="Comma 4 5 6 2 2" xfId="8426" xr:uid="{00000000-0005-0000-0000-00004C0A0000}"/>
    <cellStyle name="Comma 4 5 6 2 2 2" xfId="43944" xr:uid="{6120AD21-A206-4321-B3F3-51A1A709B6E5}"/>
    <cellStyle name="Comma 4 5 6 2 2 3" xfId="35497" xr:uid="{F2FDA334-AC9B-4A62-8FA6-99232181D28B}"/>
    <cellStyle name="Comma 4 5 6 2 2 4" xfId="27049" xr:uid="{426BB097-0026-409B-B9AC-01305488DFB7}"/>
    <cellStyle name="Comma 4 5 6 2 2 5" xfId="17752" xr:uid="{28FB6127-4E03-4D43-8B64-BC318D949BC2}"/>
    <cellStyle name="Comma 4 5 6 2 3" xfId="39727" xr:uid="{9191ED85-F0EF-4597-A930-D0ECDE1D6B0B}"/>
    <cellStyle name="Comma 4 5 6 2 4" xfId="31279" xr:uid="{BD658B10-9BA9-42CC-A6EF-4C58CC6AE293}"/>
    <cellStyle name="Comma 4 5 6 2 5" xfId="22832" xr:uid="{D1FF378E-837D-4EA8-94AC-4AB98CC2C3C8}"/>
    <cellStyle name="Comma 4 5 6 2 6" xfId="13535" xr:uid="{0AC3122E-419E-4148-9433-1534E2137D49}"/>
    <cellStyle name="Comma 4 5 6 3" xfId="6281" xr:uid="{00000000-0005-0000-0000-00004D0A0000}"/>
    <cellStyle name="Comma 4 5 6 3 2" xfId="41799" xr:uid="{5F0DF2F4-6BE4-4672-B63E-3A11EAF44990}"/>
    <cellStyle name="Comma 4 5 6 3 3" xfId="33352" xr:uid="{9B2908ED-73C6-42B6-A1E1-965F02FFA83D}"/>
    <cellStyle name="Comma 4 5 6 3 4" xfId="24904" xr:uid="{CAA49F8C-193A-40A9-B03F-E43C07F54E7B}"/>
    <cellStyle name="Comma 4 5 6 3 5" xfId="15607" xr:uid="{2F3B34FD-2A0E-46C1-8AC7-2942E1FBAF4D}"/>
    <cellStyle name="Comma 4 5 6 4" xfId="37582" xr:uid="{0A9413B5-F0BE-45A4-85D4-9248C3660A9B}"/>
    <cellStyle name="Comma 4 5 6 5" xfId="29134" xr:uid="{4DD2961B-D90B-48BC-9D2D-3621DD9BE146}"/>
    <cellStyle name="Comma 4 5 6 6" xfId="20687" xr:uid="{79A48E79-6B80-46BD-B3D7-E1824886BB2B}"/>
    <cellStyle name="Comma 4 5 6 7" xfId="11390" xr:uid="{470F6115-B6A3-4B78-A2EF-823890B7DF5E}"/>
    <cellStyle name="Comma 4 5 7" xfId="2410" xr:uid="{00000000-0005-0000-0000-00004E0A0000}"/>
    <cellStyle name="Comma 4 5 7 2" xfId="6694" xr:uid="{00000000-0005-0000-0000-00004F0A0000}"/>
    <cellStyle name="Comma 4 5 7 2 2" xfId="42212" xr:uid="{190E8980-315B-4BD2-AD4B-E0E068720EAE}"/>
    <cellStyle name="Comma 4 5 7 2 3" xfId="33765" xr:uid="{2C1EE176-6F09-4597-AC26-19AE58CC6A7F}"/>
    <cellStyle name="Comma 4 5 7 2 4" xfId="25317" xr:uid="{A8F7C498-3E6D-4993-AF78-45A56C968D25}"/>
    <cellStyle name="Comma 4 5 7 2 5" xfId="16020" xr:uid="{1C17C32F-2AE8-40B3-AE8A-D2A27136890E}"/>
    <cellStyle name="Comma 4 5 7 3" xfId="37995" xr:uid="{BF4D030A-9840-46BA-9FAF-79DFD8E5BA11}"/>
    <cellStyle name="Comma 4 5 7 4" xfId="29547" xr:uid="{6B7878ED-6C6A-4F90-B8E1-E9860C3B2B2A}"/>
    <cellStyle name="Comma 4 5 7 5" xfId="21100" xr:uid="{167BD4DA-9CBC-4950-AE6C-35E0BD602D13}"/>
    <cellStyle name="Comma 4 5 7 6" xfId="11803" xr:uid="{9E8ADEF1-447E-4C69-96AA-77605443D687}"/>
    <cellStyle name="Comma 4 5 8" xfId="2706" xr:uid="{00000000-0005-0000-0000-0000500A0000}"/>
    <cellStyle name="Comma 4 5 9" xfId="2788" xr:uid="{00000000-0005-0000-0000-0000510A0000}"/>
    <cellStyle name="Comma 4 5 9 2" xfId="7011" xr:uid="{00000000-0005-0000-0000-0000520A0000}"/>
    <cellStyle name="Comma 4 5 9 2 2" xfId="42529" xr:uid="{D541206D-8DF7-4967-A3E1-922D67540873}"/>
    <cellStyle name="Comma 4 5 9 2 3" xfId="34082" xr:uid="{01B4C714-DDA1-43E3-95E2-F5B9DDDE425F}"/>
    <cellStyle name="Comma 4 5 9 2 4" xfId="25634" xr:uid="{D3F5A2C4-849A-49C1-B0FA-2C41C26EEA40}"/>
    <cellStyle name="Comma 4 5 9 2 5" xfId="16337" xr:uid="{A9A11EBE-241B-4190-8BCD-AD511E8D01C8}"/>
    <cellStyle name="Comma 4 5 9 3" xfId="38312" xr:uid="{5E14BB06-B143-4982-9ABE-1063931550AD}"/>
    <cellStyle name="Comma 4 5 9 4" xfId="29864" xr:uid="{EDEA1CAF-4439-4588-B834-EAB9533C102B}"/>
    <cellStyle name="Comma 4 5 9 5" xfId="21417" xr:uid="{D28200CA-7A72-447C-9933-2B3F63A4C566}"/>
    <cellStyle name="Comma 4 5 9 6" xfId="12120" xr:uid="{C948555D-53ED-4FD4-B6BB-E7E34E9475B2}"/>
    <cellStyle name="Comma 4 6" xfId="159" xr:uid="{00000000-0005-0000-0000-0000530A0000}"/>
    <cellStyle name="Comma 4 6 10" xfId="8965" xr:uid="{FDA33E7D-96B8-46F2-87D8-5CB6C30A4CC6}"/>
    <cellStyle name="Comma 4 6 10 2" xfId="35931" xr:uid="{533C4A42-1764-41FE-84EB-060005BF42D8}"/>
    <cellStyle name="Comma 4 6 10 3" xfId="18288" xr:uid="{6ADA1BED-6194-439B-8A12-93F675EA1815}"/>
    <cellStyle name="Comma 4 6 11" xfId="27483" xr:uid="{64E604A1-5FDE-4241-AADD-D78372FB8BC3}"/>
    <cellStyle name="Comma 4 6 12" xfId="19036" xr:uid="{26F598B2-990C-4F5D-9F12-D97E581AAC26}"/>
    <cellStyle name="Comma 4 6 13" xfId="9739" xr:uid="{D2C84054-A5D8-49A5-BDDB-4C344FE43657}"/>
    <cellStyle name="Comma 4 6 2" xfId="696" xr:uid="{00000000-0005-0000-0000-0000540A0000}"/>
    <cellStyle name="Comma 4 6 2 2" xfId="2967" xr:uid="{00000000-0005-0000-0000-0000550A0000}"/>
    <cellStyle name="Comma 4 6 2 2 2" xfId="7189" xr:uid="{00000000-0005-0000-0000-0000560A0000}"/>
    <cellStyle name="Comma 4 6 2 2 2 2" xfId="42707" xr:uid="{0AF91712-CBB6-4E5C-A5E0-88DCF4D9DCEC}"/>
    <cellStyle name="Comma 4 6 2 2 2 3" xfId="34260" xr:uid="{85C18B21-E4F0-4040-882D-5C91555D2248}"/>
    <cellStyle name="Comma 4 6 2 2 2 4" xfId="25812" xr:uid="{5D11CB78-937E-4B0F-89AA-4DD1FAA5785E}"/>
    <cellStyle name="Comma 4 6 2 2 2 5" xfId="16515" xr:uid="{5B8918CE-8782-48C2-9F06-00901F4A51CB}"/>
    <cellStyle name="Comma 4 6 2 2 3" xfId="38490" xr:uid="{EE4CBE97-E0E9-4DFA-8C0B-D2445121B243}"/>
    <cellStyle name="Comma 4 6 2 2 4" xfId="30042" xr:uid="{ACEB65F9-BA08-46B9-9DC6-5A3176FFF820}"/>
    <cellStyle name="Comma 4 6 2 2 5" xfId="21595" xr:uid="{9517A89A-E95C-4CB2-B84D-B79395776CCD}"/>
    <cellStyle name="Comma 4 6 2 2 6" xfId="12298" xr:uid="{6D5D5340-3454-428C-BE9F-B623FC6E3E99}"/>
    <cellStyle name="Comma 4 6 2 3" xfId="5044" xr:uid="{00000000-0005-0000-0000-0000570A0000}"/>
    <cellStyle name="Comma 4 6 2 3 2" xfId="40562" xr:uid="{EB9639FE-D290-409B-AD60-77A40765DE73}"/>
    <cellStyle name="Comma 4 6 2 3 3" xfId="32115" xr:uid="{E77244BB-3613-46B1-B6CE-AC54CB96DE21}"/>
    <cellStyle name="Comma 4 6 2 3 4" xfId="23667" xr:uid="{7FEDE31A-2CD1-4214-88B5-E4F7A4CB7256}"/>
    <cellStyle name="Comma 4 6 2 3 5" xfId="14370" xr:uid="{DC7EF7BF-1C0E-42B8-8EBD-E168114D4721}"/>
    <cellStyle name="Comma 4 6 2 4" xfId="9390" xr:uid="{F8012948-A58F-476A-B4CF-A63C8F36D5B6}"/>
    <cellStyle name="Comma 4 6 2 4 2" xfId="36345" xr:uid="{DA2387D5-CE7A-406D-B59B-041A1E832C9F}"/>
    <cellStyle name="Comma 4 6 2 4 3" xfId="18703" xr:uid="{292138BE-301D-4DCE-894B-A4166AE03274}"/>
    <cellStyle name="Comma 4 6 2 5" xfId="27897" xr:uid="{80339534-B54C-4909-B64F-96A6F580B22F}"/>
    <cellStyle name="Comma 4 6 2 6" xfId="19450" xr:uid="{9E593B18-C0BC-4B78-A780-696CF3B6EE82}"/>
    <cellStyle name="Comma 4 6 2 7" xfId="10153" xr:uid="{2E5E3A2C-2298-4AA7-BE6C-6C059D88498E}"/>
    <cellStyle name="Comma 4 6 3" xfId="1149" xr:uid="{00000000-0005-0000-0000-0000580A0000}"/>
    <cellStyle name="Comma 4 6 3 2" xfId="3380" xr:uid="{00000000-0005-0000-0000-0000590A0000}"/>
    <cellStyle name="Comma 4 6 3 2 2" xfId="7602" xr:uid="{00000000-0005-0000-0000-00005A0A0000}"/>
    <cellStyle name="Comma 4 6 3 2 2 2" xfId="43120" xr:uid="{2D776C78-2045-4B6D-B820-B7E5CD630D7C}"/>
    <cellStyle name="Comma 4 6 3 2 2 3" xfId="34673" xr:uid="{5688EF84-3B5A-4E53-A11E-94FAE350DDE0}"/>
    <cellStyle name="Comma 4 6 3 2 2 4" xfId="26225" xr:uid="{ADE38C87-78B7-4509-822B-8E52835D6718}"/>
    <cellStyle name="Comma 4 6 3 2 2 5" xfId="16928" xr:uid="{0B4BC3D0-59A4-4230-92AD-469F7E18BE46}"/>
    <cellStyle name="Comma 4 6 3 2 3" xfId="38903" xr:uid="{D65A2A4A-0CFB-4A5B-A8B1-9266D68EDD9B}"/>
    <cellStyle name="Comma 4 6 3 2 4" xfId="30455" xr:uid="{A46CFF2A-AA75-4BA7-BB13-93E24D7A7D0F}"/>
    <cellStyle name="Comma 4 6 3 2 5" xfId="22008" xr:uid="{3660D022-932D-45D9-8067-346994DE513E}"/>
    <cellStyle name="Comma 4 6 3 2 6" xfId="12711" xr:uid="{2AEF8F52-795D-4C8E-8156-CCB0589712DF}"/>
    <cellStyle name="Comma 4 6 3 3" xfId="5457" xr:uid="{00000000-0005-0000-0000-00005B0A0000}"/>
    <cellStyle name="Comma 4 6 3 3 2" xfId="40975" xr:uid="{90CE20A3-9F8D-4332-9FBB-123CC02297C7}"/>
    <cellStyle name="Comma 4 6 3 3 3" xfId="32528" xr:uid="{056D2BB6-CB1C-4F09-AB81-1A64710F2BE5}"/>
    <cellStyle name="Comma 4 6 3 3 4" xfId="24080" xr:uid="{16FB893C-7055-4E1D-A1DE-DBFD3B5A84BF}"/>
    <cellStyle name="Comma 4 6 3 3 5" xfId="14783" xr:uid="{81327E17-2AAC-4B66-A78D-B87AD5A070D3}"/>
    <cellStyle name="Comma 4 6 3 4" xfId="36758" xr:uid="{C6E074CC-9AEA-47AF-B931-42D13DC8B5EC}"/>
    <cellStyle name="Comma 4 6 3 5" xfId="28310" xr:uid="{18F9C7A2-AC53-448C-9C03-1BD8687E27B0}"/>
    <cellStyle name="Comma 4 6 3 6" xfId="19863" xr:uid="{1364BE0A-1A6A-4327-B771-278433DA3188}"/>
    <cellStyle name="Comma 4 6 3 7" xfId="10566" xr:uid="{DA31E69C-0ADE-4836-938B-3E2D32C4781B}"/>
    <cellStyle name="Comma 4 6 4" xfId="1563" xr:uid="{00000000-0005-0000-0000-00005C0A0000}"/>
    <cellStyle name="Comma 4 6 4 2" xfId="3793" xr:uid="{00000000-0005-0000-0000-00005D0A0000}"/>
    <cellStyle name="Comma 4 6 4 2 2" xfId="8015" xr:uid="{00000000-0005-0000-0000-00005E0A0000}"/>
    <cellStyle name="Comma 4 6 4 2 2 2" xfId="43533" xr:uid="{DA715CFC-7CCC-4E5D-AF93-DE2E2A88D182}"/>
    <cellStyle name="Comma 4 6 4 2 2 3" xfId="35086" xr:uid="{62646BAA-028C-4F1C-86EC-1F36B2111C2A}"/>
    <cellStyle name="Comma 4 6 4 2 2 4" xfId="26638" xr:uid="{A6955518-3295-4A96-A3E0-88D398A94E7D}"/>
    <cellStyle name="Comma 4 6 4 2 2 5" xfId="17341" xr:uid="{4628AD62-92C8-44EB-9D8A-D4978EE39E8D}"/>
    <cellStyle name="Comma 4 6 4 2 3" xfId="39316" xr:uid="{A5AE4C55-B557-424F-90B8-C7B9CEB3F6D0}"/>
    <cellStyle name="Comma 4 6 4 2 4" xfId="30868" xr:uid="{131256CC-4BE6-46EA-8657-4DEC88C274BE}"/>
    <cellStyle name="Comma 4 6 4 2 5" xfId="22421" xr:uid="{85E79027-01A2-47C5-A303-BBF0B9F1AAD2}"/>
    <cellStyle name="Comma 4 6 4 2 6" xfId="13124" xr:uid="{EC9A0210-A2BD-4063-BCB1-EC2BD0F0E991}"/>
    <cellStyle name="Comma 4 6 4 3" xfId="5870" xr:uid="{00000000-0005-0000-0000-00005F0A0000}"/>
    <cellStyle name="Comma 4 6 4 3 2" xfId="41388" xr:uid="{7BC15334-041F-4397-A517-C5D13AC7780A}"/>
    <cellStyle name="Comma 4 6 4 3 3" xfId="32941" xr:uid="{5E8D3EC2-10A0-4A86-B1CB-CDA376012366}"/>
    <cellStyle name="Comma 4 6 4 3 4" xfId="24493" xr:uid="{A9D1EF84-D8AE-4915-BF64-C7DC756BDF48}"/>
    <cellStyle name="Comma 4 6 4 3 5" xfId="15196" xr:uid="{6EC195C4-567F-4E2C-A3D2-15F098578DBF}"/>
    <cellStyle name="Comma 4 6 4 4" xfId="37171" xr:uid="{E7B4C701-215E-40D6-9B5D-9B9C5467790C}"/>
    <cellStyle name="Comma 4 6 4 5" xfId="28723" xr:uid="{CABEE11A-4139-4E65-9DFB-31087985922B}"/>
    <cellStyle name="Comma 4 6 4 6" xfId="20276" xr:uid="{C333AFFB-8132-4722-A0A8-727271841BA3}"/>
    <cellStyle name="Comma 4 6 4 7" xfId="10979" xr:uid="{EFD1C899-52CB-4120-80A5-0791CE292DF9}"/>
    <cellStyle name="Comma 4 6 5" xfId="1977" xr:uid="{00000000-0005-0000-0000-0000600A0000}"/>
    <cellStyle name="Comma 4 6 5 2" xfId="4206" xr:uid="{00000000-0005-0000-0000-0000610A0000}"/>
    <cellStyle name="Comma 4 6 5 2 2" xfId="8428" xr:uid="{00000000-0005-0000-0000-0000620A0000}"/>
    <cellStyle name="Comma 4 6 5 2 2 2" xfId="43946" xr:uid="{0C70C6C8-84CF-4F98-B930-59B74D1D462E}"/>
    <cellStyle name="Comma 4 6 5 2 2 3" xfId="35499" xr:uid="{F0042106-FC06-49DA-8950-611A96EBDE6D}"/>
    <cellStyle name="Comma 4 6 5 2 2 4" xfId="27051" xr:uid="{25D4724C-4C56-46CA-929A-C7F4D9A987B8}"/>
    <cellStyle name="Comma 4 6 5 2 2 5" xfId="17754" xr:uid="{573C5FE2-FBAD-4C75-8941-EADC45684899}"/>
    <cellStyle name="Comma 4 6 5 2 3" xfId="39729" xr:uid="{9446F8C4-3B4E-4C3B-9394-3B6CBD7C974E}"/>
    <cellStyle name="Comma 4 6 5 2 4" xfId="31281" xr:uid="{23F15E25-6AC0-46F8-90E1-D6F45F156EB1}"/>
    <cellStyle name="Comma 4 6 5 2 5" xfId="22834" xr:uid="{88C60169-A087-459C-ADEC-1FA3E08AB72E}"/>
    <cellStyle name="Comma 4 6 5 2 6" xfId="13537" xr:uid="{E8376FC1-C73B-4B28-8586-97C0CE7871C9}"/>
    <cellStyle name="Comma 4 6 5 3" xfId="6283" xr:uid="{00000000-0005-0000-0000-0000630A0000}"/>
    <cellStyle name="Comma 4 6 5 3 2" xfId="41801" xr:uid="{B5AB855B-A77A-4FCF-AC84-465687CA54B6}"/>
    <cellStyle name="Comma 4 6 5 3 3" xfId="33354" xr:uid="{17D661DE-2F3C-4830-8D10-38EEDA696207}"/>
    <cellStyle name="Comma 4 6 5 3 4" xfId="24906" xr:uid="{CA652813-DAFC-4C23-9372-F04FC9EDF315}"/>
    <cellStyle name="Comma 4 6 5 3 5" xfId="15609" xr:uid="{6C5EC831-0604-4774-998D-EEEA4C91500F}"/>
    <cellStyle name="Comma 4 6 5 4" xfId="37584" xr:uid="{711EB59F-94D2-4EFE-9AD0-A5BFF4119C36}"/>
    <cellStyle name="Comma 4 6 5 5" xfId="29136" xr:uid="{199A4115-191F-4735-B15C-EC7D9B7083CB}"/>
    <cellStyle name="Comma 4 6 5 6" xfId="20689" xr:uid="{80CE907C-242F-4DBD-8824-83E0BE9326B1}"/>
    <cellStyle name="Comma 4 6 5 7" xfId="11392" xr:uid="{7E3294A4-44B1-4679-8329-2B4B3C54F56B}"/>
    <cellStyle name="Comma 4 6 6" xfId="2412" xr:uid="{00000000-0005-0000-0000-0000640A0000}"/>
    <cellStyle name="Comma 4 6 6 2" xfId="6696" xr:uid="{00000000-0005-0000-0000-0000650A0000}"/>
    <cellStyle name="Comma 4 6 6 2 2" xfId="42214" xr:uid="{C7628A95-6B96-4A8A-BF0D-72E5EA18F85B}"/>
    <cellStyle name="Comma 4 6 6 2 3" xfId="33767" xr:uid="{28CBB02C-FF94-4840-BCE1-C8322FB055C4}"/>
    <cellStyle name="Comma 4 6 6 2 4" xfId="25319" xr:uid="{3890D9BE-E483-44A8-9495-2F0695E715EB}"/>
    <cellStyle name="Comma 4 6 6 2 5" xfId="16022" xr:uid="{F540CE2B-E3C0-41E2-B511-F5933E92FF71}"/>
    <cellStyle name="Comma 4 6 6 3" xfId="37997" xr:uid="{43E54F50-DB72-4729-8546-6A75915D598D}"/>
    <cellStyle name="Comma 4 6 6 4" xfId="29549" xr:uid="{64ED5CA3-00FD-417E-8B3A-B42DC0F997EC}"/>
    <cellStyle name="Comma 4 6 6 5" xfId="21102" xr:uid="{B0BBC99A-06A3-457F-BC4F-FA2374CB11EB}"/>
    <cellStyle name="Comma 4 6 6 6" xfId="11805" xr:uid="{4ED7E848-7864-4298-BA9A-2114AD3647AA}"/>
    <cellStyle name="Comma 4 6 7" xfId="2708" xr:uid="{00000000-0005-0000-0000-0000660A0000}"/>
    <cellStyle name="Comma 4 6 8" xfId="2790" xr:uid="{00000000-0005-0000-0000-0000670A0000}"/>
    <cellStyle name="Comma 4 6 8 2" xfId="7013" xr:uid="{00000000-0005-0000-0000-0000680A0000}"/>
    <cellStyle name="Comma 4 6 8 2 2" xfId="42531" xr:uid="{33C264A2-E366-49A5-AAD5-9FC1A33CD466}"/>
    <cellStyle name="Comma 4 6 8 2 3" xfId="34084" xr:uid="{01310955-48AF-4F43-9AF2-E39C91CC8640}"/>
    <cellStyle name="Comma 4 6 8 2 4" xfId="25636" xr:uid="{A622EC05-7DB0-44A0-8383-09328D124B5B}"/>
    <cellStyle name="Comma 4 6 8 2 5" xfId="16339" xr:uid="{E960058B-3C05-4F7B-81EF-5DD2F8E5E344}"/>
    <cellStyle name="Comma 4 6 8 3" xfId="38314" xr:uid="{8DD216F7-7437-477A-A77B-D20F0D820585}"/>
    <cellStyle name="Comma 4 6 8 4" xfId="29866" xr:uid="{BCD1ED96-7EC5-4004-BE74-FF815D6FC0AE}"/>
    <cellStyle name="Comma 4 6 8 5" xfId="21419" xr:uid="{EC64C933-35D4-4995-9F0E-24B9C1825A05}"/>
    <cellStyle name="Comma 4 6 8 6" xfId="12122" xr:uid="{D9010DFA-4C80-4CF1-9D61-FDCB009568EE}"/>
    <cellStyle name="Comma 4 6 9" xfId="4630" xr:uid="{00000000-0005-0000-0000-0000690A0000}"/>
    <cellStyle name="Comma 4 6 9 2" xfId="40148" xr:uid="{05E6AC8F-82BF-4444-B2B4-CBC6258F7402}"/>
    <cellStyle name="Comma 4 6 9 3" xfId="31701" xr:uid="{671DA35C-B303-4CB2-AD57-D7CE008B5947}"/>
    <cellStyle name="Comma 4 6 9 4" xfId="23253" xr:uid="{D8BD1C67-6779-4295-8452-01386FBCD345}"/>
    <cellStyle name="Comma 4 6 9 5" xfId="13956" xr:uid="{327CF157-A6EB-4BCC-A4B1-FB3ED69D0ADB}"/>
    <cellStyle name="Comma 4 7" xfId="160" xr:uid="{00000000-0005-0000-0000-00006A0A0000}"/>
    <cellStyle name="Comma 4 7 10" xfId="9168" xr:uid="{C5EF0C72-87BD-43A9-8A23-92F9D9423F50}"/>
    <cellStyle name="Comma 4 7 10 2" xfId="35932" xr:uid="{098FA1AB-29F2-402A-AE1E-735EB0839D4C}"/>
    <cellStyle name="Comma 4 7 10 3" xfId="18484" xr:uid="{A687EFD2-6A4A-4BFA-A1D0-DF11309A2DFD}"/>
    <cellStyle name="Comma 4 7 11" xfId="27484" xr:uid="{1D63EB7A-7569-425F-B0D0-74314C4F9B07}"/>
    <cellStyle name="Comma 4 7 12" xfId="19037" xr:uid="{B5081292-CA27-46B5-A380-3074D5FFCD6B}"/>
    <cellStyle name="Comma 4 7 13" xfId="9740" xr:uid="{AAD96E31-89F7-4F1C-9DF0-070155155EE6}"/>
    <cellStyle name="Comma 4 7 2" xfId="697" xr:uid="{00000000-0005-0000-0000-00006B0A0000}"/>
    <cellStyle name="Comma 4 7 2 2" xfId="2968" xr:uid="{00000000-0005-0000-0000-00006C0A0000}"/>
    <cellStyle name="Comma 4 7 2 2 2" xfId="7190" xr:uid="{00000000-0005-0000-0000-00006D0A0000}"/>
    <cellStyle name="Comma 4 7 2 2 2 2" xfId="42708" xr:uid="{AE09F7D4-BCA2-49F3-9C56-3F10C82B9553}"/>
    <cellStyle name="Comma 4 7 2 2 2 3" xfId="34261" xr:uid="{0421B06E-E998-44CE-AFDC-F4CD9F7FAEC9}"/>
    <cellStyle name="Comma 4 7 2 2 2 4" xfId="25813" xr:uid="{42A4C0DA-CE58-4A88-8D63-98EFF03D5666}"/>
    <cellStyle name="Comma 4 7 2 2 2 5" xfId="16516" xr:uid="{90346DA5-5C6E-4B3D-A287-E62998CD5E50}"/>
    <cellStyle name="Comma 4 7 2 2 3" xfId="38491" xr:uid="{D0421D93-8C8B-4B4C-89BE-4CA86E96E72B}"/>
    <cellStyle name="Comma 4 7 2 2 4" xfId="30043" xr:uid="{DAA314D4-3CD0-42C9-84B5-290EF6A3BA35}"/>
    <cellStyle name="Comma 4 7 2 2 5" xfId="21596" xr:uid="{E5A50C26-BF4F-470D-86C9-B7C2779F2A9B}"/>
    <cellStyle name="Comma 4 7 2 2 6" xfId="12299" xr:uid="{6267AEAD-1919-468F-A0AD-DDCADB0CCD15}"/>
    <cellStyle name="Comma 4 7 2 3" xfId="5045" xr:uid="{00000000-0005-0000-0000-00006E0A0000}"/>
    <cellStyle name="Comma 4 7 2 3 2" xfId="40563" xr:uid="{8A6899E3-FBE1-4CC6-9485-7B49A4E500B0}"/>
    <cellStyle name="Comma 4 7 2 3 3" xfId="32116" xr:uid="{A1D00256-AB01-4D36-BF4A-17F9F6F7B333}"/>
    <cellStyle name="Comma 4 7 2 3 4" xfId="23668" xr:uid="{5687495C-ABD6-43EB-A808-E247A8D713B8}"/>
    <cellStyle name="Comma 4 7 2 3 5" xfId="14371" xr:uid="{7222F122-1ECD-495B-9C3D-1DF8B7357FC7}"/>
    <cellStyle name="Comma 4 7 2 4" xfId="9596" xr:uid="{F4A1C070-02C1-4F2A-89F2-15465D9BEBB2}"/>
    <cellStyle name="Comma 4 7 2 4 2" xfId="36346" xr:uid="{637BF138-5D5A-49C5-8DBE-1EB06AAABEAE}"/>
    <cellStyle name="Comma 4 7 2 4 3" xfId="18898" xr:uid="{5815A354-1D4F-40FF-8066-613A708E2522}"/>
    <cellStyle name="Comma 4 7 2 5" xfId="27898" xr:uid="{745B83F5-0522-4C85-B890-1BB5F651BCF1}"/>
    <cellStyle name="Comma 4 7 2 6" xfId="19451" xr:uid="{96FD0752-B538-4C26-A0AC-CC999840517A}"/>
    <cellStyle name="Comma 4 7 2 7" xfId="10154" xr:uid="{86DD75AB-5E6F-47DE-9155-4F8259BFAD2A}"/>
    <cellStyle name="Comma 4 7 3" xfId="1150" xr:uid="{00000000-0005-0000-0000-00006F0A0000}"/>
    <cellStyle name="Comma 4 7 3 2" xfId="3381" xr:uid="{00000000-0005-0000-0000-0000700A0000}"/>
    <cellStyle name="Comma 4 7 3 2 2" xfId="7603" xr:uid="{00000000-0005-0000-0000-0000710A0000}"/>
    <cellStyle name="Comma 4 7 3 2 2 2" xfId="43121" xr:uid="{DE9A17CB-8D32-40D9-B0DD-91EE9529976E}"/>
    <cellStyle name="Comma 4 7 3 2 2 3" xfId="34674" xr:uid="{2F099AD4-AB7A-4239-B6B8-3CDFE31BF942}"/>
    <cellStyle name="Comma 4 7 3 2 2 4" xfId="26226" xr:uid="{3B834DE5-0436-4636-8ABC-DEFBCBA49601}"/>
    <cellStyle name="Comma 4 7 3 2 2 5" xfId="16929" xr:uid="{0C8F423F-A0EA-45A9-9B32-5768783C8FC7}"/>
    <cellStyle name="Comma 4 7 3 2 3" xfId="38904" xr:uid="{2524A531-AB21-4C09-8B20-3DCE5C057868}"/>
    <cellStyle name="Comma 4 7 3 2 4" xfId="30456" xr:uid="{D59E5523-25B2-4A63-BCD5-90C77364CD97}"/>
    <cellStyle name="Comma 4 7 3 2 5" xfId="22009" xr:uid="{7CAD63D9-53F8-4D5F-955B-E36567C11DF2}"/>
    <cellStyle name="Comma 4 7 3 2 6" xfId="12712" xr:uid="{1ED14133-5922-4B94-B58E-EFA8C1E4996F}"/>
    <cellStyle name="Comma 4 7 3 3" xfId="5458" xr:uid="{00000000-0005-0000-0000-0000720A0000}"/>
    <cellStyle name="Comma 4 7 3 3 2" xfId="40976" xr:uid="{AD1A49B3-CABE-415F-890B-3A444D066B61}"/>
    <cellStyle name="Comma 4 7 3 3 3" xfId="32529" xr:uid="{AAB1F1FB-3415-4558-815B-6629036ADDC8}"/>
    <cellStyle name="Comma 4 7 3 3 4" xfId="24081" xr:uid="{1B84B455-9D77-4B73-8375-CF40A4B86A29}"/>
    <cellStyle name="Comma 4 7 3 3 5" xfId="14784" xr:uid="{DAEBFE24-02DA-4E14-8806-9838518EBC12}"/>
    <cellStyle name="Comma 4 7 3 4" xfId="36759" xr:uid="{307506BF-77D9-49D9-A316-9BB6D21C78A0}"/>
    <cellStyle name="Comma 4 7 3 5" xfId="28311" xr:uid="{28A7463F-3AD8-4C58-81E5-CE6493BFDF98}"/>
    <cellStyle name="Comma 4 7 3 6" xfId="19864" xr:uid="{B4F7CAB3-C2ED-40A4-9F00-651445BDE852}"/>
    <cellStyle name="Comma 4 7 3 7" xfId="10567" xr:uid="{0ABE3085-39B6-45B6-AAA5-0F217C6F44D1}"/>
    <cellStyle name="Comma 4 7 4" xfId="1564" xr:uid="{00000000-0005-0000-0000-0000730A0000}"/>
    <cellStyle name="Comma 4 7 4 2" xfId="3794" xr:uid="{00000000-0005-0000-0000-0000740A0000}"/>
    <cellStyle name="Comma 4 7 4 2 2" xfId="8016" xr:uid="{00000000-0005-0000-0000-0000750A0000}"/>
    <cellStyle name="Comma 4 7 4 2 2 2" xfId="43534" xr:uid="{4FF73EC3-8673-4F3A-B771-BA63300C2240}"/>
    <cellStyle name="Comma 4 7 4 2 2 3" xfId="35087" xr:uid="{BA4B4E68-9CF2-4330-B8EB-A1A41992D256}"/>
    <cellStyle name="Comma 4 7 4 2 2 4" xfId="26639" xr:uid="{4FECC656-ECB9-4243-BCD6-27D7E5D7C5E7}"/>
    <cellStyle name="Comma 4 7 4 2 2 5" xfId="17342" xr:uid="{3F49C69E-BA2D-4A5D-999C-C75901352FB8}"/>
    <cellStyle name="Comma 4 7 4 2 3" xfId="39317" xr:uid="{D55F1E41-F55A-4262-97A8-FAF888E64598}"/>
    <cellStyle name="Comma 4 7 4 2 4" xfId="30869" xr:uid="{B9F193ED-67F6-4560-A4BD-923D4A101166}"/>
    <cellStyle name="Comma 4 7 4 2 5" xfId="22422" xr:uid="{2BE1F7B8-9DCC-4A3E-BB6B-9ECF07C8FF74}"/>
    <cellStyle name="Comma 4 7 4 2 6" xfId="13125" xr:uid="{C6428B8E-A1CA-4886-B809-B7332759E620}"/>
    <cellStyle name="Comma 4 7 4 3" xfId="5871" xr:uid="{00000000-0005-0000-0000-0000760A0000}"/>
    <cellStyle name="Comma 4 7 4 3 2" xfId="41389" xr:uid="{EB288731-53EF-4756-9975-243D9EA16501}"/>
    <cellStyle name="Comma 4 7 4 3 3" xfId="32942" xr:uid="{F3D360D8-8FE1-4F38-BF82-C3367DD261E4}"/>
    <cellStyle name="Comma 4 7 4 3 4" xfId="24494" xr:uid="{BF9930D1-E5AE-4E81-B6C6-58FCF32361EB}"/>
    <cellStyle name="Comma 4 7 4 3 5" xfId="15197" xr:uid="{18BDC599-103E-4820-86D8-9431D503B2C5}"/>
    <cellStyle name="Comma 4 7 4 4" xfId="37172" xr:uid="{B2F7F12C-6BF6-4BBB-999D-E6FAD4408FFA}"/>
    <cellStyle name="Comma 4 7 4 5" xfId="28724" xr:uid="{2093AC88-7209-437A-AC36-54DB81B31466}"/>
    <cellStyle name="Comma 4 7 4 6" xfId="20277" xr:uid="{7AFD73FD-9EC7-4026-9456-DD6D034576FE}"/>
    <cellStyle name="Comma 4 7 4 7" xfId="10980" xr:uid="{40E880B1-B90A-4EC5-848B-36932F46CD62}"/>
    <cellStyle name="Comma 4 7 5" xfId="1978" xr:uid="{00000000-0005-0000-0000-0000770A0000}"/>
    <cellStyle name="Comma 4 7 5 2" xfId="4207" xr:uid="{00000000-0005-0000-0000-0000780A0000}"/>
    <cellStyle name="Comma 4 7 5 2 2" xfId="8429" xr:uid="{00000000-0005-0000-0000-0000790A0000}"/>
    <cellStyle name="Comma 4 7 5 2 2 2" xfId="43947" xr:uid="{4158CCB3-2063-491F-9997-85F3DF9CC2C7}"/>
    <cellStyle name="Comma 4 7 5 2 2 3" xfId="35500" xr:uid="{BDF4B83E-923E-4983-8780-A4F4A458769D}"/>
    <cellStyle name="Comma 4 7 5 2 2 4" xfId="27052" xr:uid="{43A93AC8-DD70-4297-86B8-7C7DB37C0B9F}"/>
    <cellStyle name="Comma 4 7 5 2 2 5" xfId="17755" xr:uid="{C72925BB-9F04-4D65-8F4F-AAC540B1720A}"/>
    <cellStyle name="Comma 4 7 5 2 3" xfId="39730" xr:uid="{46456CE4-40A8-439A-A60B-CF35A9E639C6}"/>
    <cellStyle name="Comma 4 7 5 2 4" xfId="31282" xr:uid="{D7E5158E-BC22-4B64-A920-C5AE3133FAB3}"/>
    <cellStyle name="Comma 4 7 5 2 5" xfId="22835" xr:uid="{28A96E42-5E86-4867-B5E2-A839B8C65E30}"/>
    <cellStyle name="Comma 4 7 5 2 6" xfId="13538" xr:uid="{B79666C9-A123-4DB1-8DBB-24DD0F2767C4}"/>
    <cellStyle name="Comma 4 7 5 3" xfId="6284" xr:uid="{00000000-0005-0000-0000-00007A0A0000}"/>
    <cellStyle name="Comma 4 7 5 3 2" xfId="41802" xr:uid="{6549433F-B7C0-4F84-B8DC-EC9595BE52E5}"/>
    <cellStyle name="Comma 4 7 5 3 3" xfId="33355" xr:uid="{59DB5E48-9758-4655-9F01-F6E50BADC81B}"/>
    <cellStyle name="Comma 4 7 5 3 4" xfId="24907" xr:uid="{03FCCE4B-C372-492D-81C7-95BC2548B699}"/>
    <cellStyle name="Comma 4 7 5 3 5" xfId="15610" xr:uid="{08FA0B1B-5FED-48EB-A780-92909EB3FAF9}"/>
    <cellStyle name="Comma 4 7 5 4" xfId="37585" xr:uid="{CA6F8692-7DBA-4453-9670-D9CD22E8FA9B}"/>
    <cellStyle name="Comma 4 7 5 5" xfId="29137" xr:uid="{FDEEC52D-C9EC-4625-BAB0-7C3CE44020E2}"/>
    <cellStyle name="Comma 4 7 5 6" xfId="20690" xr:uid="{DE9EA935-98D9-40A1-9A18-6E889A9CFFF2}"/>
    <cellStyle name="Comma 4 7 5 7" xfId="11393" xr:uid="{F69D3D6E-7995-4398-BFB2-6C78E4BB6B75}"/>
    <cellStyle name="Comma 4 7 6" xfId="2413" xr:uid="{00000000-0005-0000-0000-00007B0A0000}"/>
    <cellStyle name="Comma 4 7 6 2" xfId="6697" xr:uid="{00000000-0005-0000-0000-00007C0A0000}"/>
    <cellStyle name="Comma 4 7 6 2 2" xfId="42215" xr:uid="{C68B44D5-4D6C-409A-84C7-32404726F548}"/>
    <cellStyle name="Comma 4 7 6 2 3" xfId="33768" xr:uid="{876C2CAE-ACA4-4FE9-8388-A5400FA714F3}"/>
    <cellStyle name="Comma 4 7 6 2 4" xfId="25320" xr:uid="{7460BCCE-6C79-42D9-BCB1-06A07D46AED2}"/>
    <cellStyle name="Comma 4 7 6 2 5" xfId="16023" xr:uid="{69B71898-8864-47BD-B845-5BA330E8CA6A}"/>
    <cellStyle name="Comma 4 7 6 3" xfId="37998" xr:uid="{62740F20-9E2F-4911-B569-F7482AD9310F}"/>
    <cellStyle name="Comma 4 7 6 4" xfId="29550" xr:uid="{F44AF61E-2CC6-4AA0-A02E-E08FE3E557A3}"/>
    <cellStyle name="Comma 4 7 6 5" xfId="21103" xr:uid="{9BB186DC-38DA-45EE-B58B-D6539C0B6007}"/>
    <cellStyle name="Comma 4 7 6 6" xfId="11806" xr:uid="{FFC42615-FA23-4504-8BA1-6B8F09E9FAEA}"/>
    <cellStyle name="Comma 4 7 7" xfId="2709" xr:uid="{00000000-0005-0000-0000-00007D0A0000}"/>
    <cellStyle name="Comma 4 7 8" xfId="2791" xr:uid="{00000000-0005-0000-0000-00007E0A0000}"/>
    <cellStyle name="Comma 4 7 8 2" xfId="7014" xr:uid="{00000000-0005-0000-0000-00007F0A0000}"/>
    <cellStyle name="Comma 4 7 8 2 2" xfId="42532" xr:uid="{297983FB-0A61-433F-80A1-8690CB95EA87}"/>
    <cellStyle name="Comma 4 7 8 2 3" xfId="34085" xr:uid="{6E6718DD-DD9A-4C01-9356-05E3D4A4EA03}"/>
    <cellStyle name="Comma 4 7 8 2 4" xfId="25637" xr:uid="{62B560FC-7F5E-49F4-807D-785FAA71CC52}"/>
    <cellStyle name="Comma 4 7 8 2 5" xfId="16340" xr:uid="{CCA8BBB7-80B7-426D-BBDA-273B20400E2C}"/>
    <cellStyle name="Comma 4 7 8 3" xfId="38315" xr:uid="{2B465BC9-826E-4AE4-8FCA-6A9E4B0DCBB5}"/>
    <cellStyle name="Comma 4 7 8 4" xfId="29867" xr:uid="{340552D9-EACA-42C0-819F-D075991451CF}"/>
    <cellStyle name="Comma 4 7 8 5" xfId="21420" xr:uid="{E1AAE9C7-9442-44F1-B854-14C1EE136102}"/>
    <cellStyle name="Comma 4 7 8 6" xfId="12123" xr:uid="{C7F86D1F-3C2E-4B6C-98E7-C80F47B4BB61}"/>
    <cellStyle name="Comma 4 7 9" xfId="4631" xr:uid="{00000000-0005-0000-0000-0000800A0000}"/>
    <cellStyle name="Comma 4 7 9 2" xfId="40149" xr:uid="{1D67CF3F-5086-40DD-B812-F4F416486AC7}"/>
    <cellStyle name="Comma 4 7 9 3" xfId="31702" xr:uid="{14E03E07-E283-4A7F-979D-530D5340E38D}"/>
    <cellStyle name="Comma 4 7 9 4" xfId="23254" xr:uid="{7FFDC537-AED8-497D-A600-E0AD9CD97B3B}"/>
    <cellStyle name="Comma 4 7 9 5" xfId="13957" xr:uid="{289544F0-F07D-4A7F-85CC-313032C02163}"/>
    <cellStyle name="Comma 4 8" xfId="9193" xr:uid="{D2F7B7D5-1187-4B94-96D8-1D61B28E4E34}"/>
    <cellStyle name="Comma 4 9" xfId="8746" xr:uid="{EB6F8E1D-15EE-4A1C-A7FF-36C2A43F5A26}"/>
    <cellStyle name="Comma 4 9 2" xfId="18069" xr:uid="{F882A2FF-2125-4AB0-BB66-4CBD5F1B7C83}"/>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2 2" xfId="40017" xr:uid="{F0299156-34B8-420F-A0C6-BA4345EF2AAE}"/>
    <cellStyle name="Comma 7 2 3" xfId="18893" xr:uid="{AD6D9EF4-BFE2-48D3-9133-23865E991BF4}"/>
    <cellStyle name="Comma 7 3" xfId="9589" xr:uid="{E5FB568C-33F4-49EE-BE6E-4022B43BCBB9}"/>
    <cellStyle name="Comma 7 3 2" xfId="31570" xr:uid="{9D99FAE4-3CCB-4BE3-9F45-CEFD51805BDD}"/>
    <cellStyle name="Comma 7 4" xfId="23122" xr:uid="{15F88A96-943C-4B26-9993-F607C6A70E9F}"/>
    <cellStyle name="Comma 7 5" xfId="13825" xr:uid="{D0627C23-41D5-4DC4-ADF5-1780EA191902}"/>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44234" xr:uid="{D21627A5-FC72-45A5-A090-80A5B8BFF2BE}"/>
    <cellStyle name="Currency 14 2 3" xfId="35787" xr:uid="{82CECF80-BD3B-4FD6-9D6E-6C9E4AB763CF}"/>
    <cellStyle name="Currency 14 2 4" xfId="27339" xr:uid="{521AFA20-BF16-4D74-8BFE-73BD884ECE86}"/>
    <cellStyle name="Currency 14 2 5" xfId="18042" xr:uid="{917F3A05-B0C4-49A7-8627-D242DB081CC5}"/>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14 3 2 2 2 2 2 2" xfId="44250" xr:uid="{0E80A881-A665-42A4-BC4C-3C5D0F677565}"/>
    <cellStyle name="Currency 14 3 2 2 2 2 2 3" xfId="18061" xr:uid="{2F823B76-0121-494B-A2E1-540861A13D1A}"/>
    <cellStyle name="Currency 14 3 2 2 2 2 3" xfId="35803" xr:uid="{A04F4D1F-16AD-428E-BD3B-6152601FBE03}"/>
    <cellStyle name="Currency 14 3 2 2 2 2 4" xfId="27355" xr:uid="{F37B36C4-71A1-42D3-B0AD-5B045C2AEF18}"/>
    <cellStyle name="Currency 14 3 2 2 2 2 5" xfId="18058" xr:uid="{F5B1D2D9-5F99-42A5-A735-814A746B32AD}"/>
    <cellStyle name="Currency 14 3 2 2 2 3" xfId="44247" xr:uid="{401A7028-95E9-4E59-A1AA-0FA7F55F5F1A}"/>
    <cellStyle name="Currency 14 3 2 2 2 4" xfId="35800" xr:uid="{997850DA-0503-46FE-BB5A-0B815C709777}"/>
    <cellStyle name="Currency 14 3 2 2 2 5" xfId="27352" xr:uid="{F0F6D1BD-80E6-4338-8881-B390FA87F09F}"/>
    <cellStyle name="Currency 14 3 2 2 2 6" xfId="18055" xr:uid="{B7770D53-198A-4567-870C-C36B94185BFC}"/>
    <cellStyle name="Currency 14 3 2 2 3" xfId="44243" xr:uid="{7F6A5E31-62C7-425D-8C2F-71B21BFB8D4D}"/>
    <cellStyle name="Currency 14 3 2 2 4" xfId="35796" xr:uid="{C9D6088F-6091-4FC9-9612-07301F328DEA}"/>
    <cellStyle name="Currency 14 3 2 2 5" xfId="27348" xr:uid="{2DD0D6CD-8F1C-4A8C-BC91-C886DF97014A}"/>
    <cellStyle name="Currency 14 3 2 2 6" xfId="18051" xr:uid="{6EF99DC7-696B-42A1-B663-766BB8399C28}"/>
    <cellStyle name="Currency 14 3 2 3" xfId="44240" xr:uid="{C5E130BD-DD1C-44A0-8729-76709B114C02}"/>
    <cellStyle name="Currency 14 3 2 4" xfId="35793" xr:uid="{ED537401-8E5A-435E-8CE5-739DB6447052}"/>
    <cellStyle name="Currency 14 3 2 5" xfId="27345" xr:uid="{47502290-9B94-4904-B484-7BE2E96F7DD0}"/>
    <cellStyle name="Currency 14 3 2 6" xfId="18048" xr:uid="{40DD6D87-2F52-4C2E-822E-197300A86FD5}"/>
    <cellStyle name="Currency 14 3 3" xfId="44237" xr:uid="{32E1D627-679F-4637-855D-F7A1FA74A055}"/>
    <cellStyle name="Currency 14 3 4" xfId="35790" xr:uid="{EF6AC833-6E31-46EB-90FC-94FFC1C2E2AD}"/>
    <cellStyle name="Currency 14 3 5" xfId="27342" xr:uid="{BF9FC66A-95D6-46A0-9CA4-7A0EC37A9BF6}"/>
    <cellStyle name="Currency 14 3 6" xfId="18045" xr:uid="{1C01113D-D775-4776-BFA3-CE939CBE964D}"/>
    <cellStyle name="Currency 14 4" xfId="40020" xr:uid="{60E3FFA8-FC61-49EF-90E7-C15642FC98BB}"/>
    <cellStyle name="Currency 14 5" xfId="31573" xr:uid="{AA198AE6-D611-4468-8848-366E208DA277}"/>
    <cellStyle name="Currency 14 6" xfId="23125" xr:uid="{54108939-1234-44FB-9A53-FE2F04ACED85}"/>
    <cellStyle name="Currency 14 7" xfId="13828" xr:uid="{D2A91318-F926-4297-905A-51FF4C3BAC67}"/>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42533" xr:uid="{FE6B015C-8531-4F33-A133-D3431921A461}"/>
    <cellStyle name="Currency 3 2 2 10 2 3" xfId="34086" xr:uid="{9C74090E-DD14-4649-8EF6-BDF3FFC0741C}"/>
    <cellStyle name="Currency 3 2 2 10 2 4" xfId="25638" xr:uid="{B97F7E51-232D-4C10-8516-FC77107D497A}"/>
    <cellStyle name="Currency 3 2 2 10 2 5" xfId="16341" xr:uid="{9B75CA68-AF99-4497-AC4E-ACCD9F02D828}"/>
    <cellStyle name="Currency 3 2 2 10 3" xfId="38316" xr:uid="{0927F2F1-4BC0-486B-A487-60A8B62BEE92}"/>
    <cellStyle name="Currency 3 2 2 10 4" xfId="29868" xr:uid="{6D400FDE-FF2C-44AB-8993-3CBED64719F3}"/>
    <cellStyle name="Currency 3 2 2 10 5" xfId="21421" xr:uid="{DB74ECB6-7FFE-4FC6-8D1E-37C5C336D1F8}"/>
    <cellStyle name="Currency 3 2 2 10 6" xfId="12124" xr:uid="{8905E93F-E963-47ED-A2CE-DAC582804827}"/>
    <cellStyle name="Currency 3 2 2 11" xfId="4632" xr:uid="{00000000-0005-0000-0000-0000A50A0000}"/>
    <cellStyle name="Currency 3 2 2 11 2" xfId="40150" xr:uid="{5F9BF73A-439F-4FB9-8076-6543E4277F3C}"/>
    <cellStyle name="Currency 3 2 2 11 3" xfId="31703" xr:uid="{220E3148-0665-4CC7-8F6B-54FB4658A2D5}"/>
    <cellStyle name="Currency 3 2 2 11 4" xfId="23255" xr:uid="{416142FD-DA38-4DD0-AD29-B839FB102F25}"/>
    <cellStyle name="Currency 3 2 2 11 5" xfId="13958" xr:uid="{8413641A-74F8-46AB-8F73-7B6DA03B2829}"/>
    <cellStyle name="Currency 3 2 2 12" xfId="8808" xr:uid="{5CD24693-181E-456A-9199-DC057509AC96}"/>
    <cellStyle name="Currency 3 2 2 12 2" xfId="35933" xr:uid="{42F9F73C-C180-4B45-8F72-8041040575E9}"/>
    <cellStyle name="Currency 3 2 2 12 3" xfId="18131" xr:uid="{366AC0C7-147B-4502-9A0A-C681DFDF21EF}"/>
    <cellStyle name="Currency 3 2 2 13" xfId="27485" xr:uid="{4BE96F12-3051-4DCC-BA82-3382FD7FC715}"/>
    <cellStyle name="Currency 3 2 2 14" xfId="19038" xr:uid="{75EDEF08-CB6B-4948-9A6F-C3934026C7D1}"/>
    <cellStyle name="Currency 3 2 2 15" xfId="9741" xr:uid="{1732EB15-C296-490B-A904-1AC5DD6915CE}"/>
    <cellStyle name="Currency 3 2 2 2" xfId="179" xr:uid="{00000000-0005-0000-0000-0000A60A0000}"/>
    <cellStyle name="Currency 3 2 2 2 10" xfId="4633" xr:uid="{00000000-0005-0000-0000-0000A70A0000}"/>
    <cellStyle name="Currency 3 2 2 2 10 2" xfId="40151" xr:uid="{A074B621-38F7-421E-8A88-68A11AF634D2}"/>
    <cellStyle name="Currency 3 2 2 2 10 3" xfId="31704" xr:uid="{91EC02F9-AFC8-47D5-B136-74D47E85DD68}"/>
    <cellStyle name="Currency 3 2 2 2 10 4" xfId="23256" xr:uid="{39633CF1-FC25-4B07-BC42-613CFF88FB19}"/>
    <cellStyle name="Currency 3 2 2 2 10 5" xfId="13959" xr:uid="{7D32135F-3196-41B7-B0F8-83C3A6811096}"/>
    <cellStyle name="Currency 3 2 2 2 11" xfId="8911" xr:uid="{177A45F7-B130-49DA-829A-AA3BF41B848C}"/>
    <cellStyle name="Currency 3 2 2 2 11 2" xfId="35934" xr:uid="{83E1E703-C871-4F10-A906-40E21267285C}"/>
    <cellStyle name="Currency 3 2 2 2 11 3" xfId="18234" xr:uid="{B1818573-EB76-44E1-B2B3-5CD68325A635}"/>
    <cellStyle name="Currency 3 2 2 2 12" xfId="27486" xr:uid="{F6632B2F-C58B-44AC-8E5F-E5CF058F4297}"/>
    <cellStyle name="Currency 3 2 2 2 13" xfId="19039" xr:uid="{8378FC48-CEDF-4F71-B7CA-3508A91B9A6D}"/>
    <cellStyle name="Currency 3 2 2 2 14" xfId="9742" xr:uid="{94BF9E29-48D0-40AA-B882-DEAC8470F49E}"/>
    <cellStyle name="Currency 3 2 2 2 2" xfId="180" xr:uid="{00000000-0005-0000-0000-0000A80A0000}"/>
    <cellStyle name="Currency 3 2 2 2 2 10" xfId="9118" xr:uid="{4DDBDF88-B997-49F5-AF34-322CC93508E5}"/>
    <cellStyle name="Currency 3 2 2 2 2 10 2" xfId="35935" xr:uid="{C72FEE99-F597-457A-ABDF-9445E8A2BBD4}"/>
    <cellStyle name="Currency 3 2 2 2 2 10 3" xfId="18441" xr:uid="{C613483A-D807-469A-A12D-3097900DF39E}"/>
    <cellStyle name="Currency 3 2 2 2 2 11" xfId="27487" xr:uid="{6BF919ED-62E0-4A67-B260-A3B90BE32233}"/>
    <cellStyle name="Currency 3 2 2 2 2 12" xfId="19040" xr:uid="{28DE9FAE-8B4C-4F96-8DAB-30DF5AAF1371}"/>
    <cellStyle name="Currency 3 2 2 2 2 13" xfId="9743" xr:uid="{1F50A8B8-7185-40E7-B994-9AEA7D7EBAB6}"/>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42711" xr:uid="{758AC4D9-073C-4E52-847D-272EC5B71AF9}"/>
    <cellStyle name="Currency 3 2 2 2 2 2 2 2 3" xfId="34264" xr:uid="{A5844420-371E-4471-BC16-57897970903B}"/>
    <cellStyle name="Currency 3 2 2 2 2 2 2 2 4" xfId="25816" xr:uid="{C5C6AE71-8EA2-4F11-9B32-33599E6FFEB5}"/>
    <cellStyle name="Currency 3 2 2 2 2 2 2 2 5" xfId="16519" xr:uid="{097D9896-4679-4A9D-B85C-D3D08E3937C9}"/>
    <cellStyle name="Currency 3 2 2 2 2 2 2 3" xfId="38494" xr:uid="{072BFAE9-111C-471B-8254-700B43AFDB12}"/>
    <cellStyle name="Currency 3 2 2 2 2 2 2 4" xfId="30046" xr:uid="{839FE0E8-3403-41A7-A2BC-1B3BC86276AE}"/>
    <cellStyle name="Currency 3 2 2 2 2 2 2 5" xfId="21599" xr:uid="{3614EB6B-B81D-4E03-A640-4A63C92E49F2}"/>
    <cellStyle name="Currency 3 2 2 2 2 2 2 6" xfId="12302" xr:uid="{9F196A9B-6972-49F5-918D-4CD2EBD8D3E2}"/>
    <cellStyle name="Currency 3 2 2 2 2 2 3" xfId="5048" xr:uid="{00000000-0005-0000-0000-0000AC0A0000}"/>
    <cellStyle name="Currency 3 2 2 2 2 2 3 2" xfId="40566" xr:uid="{EA7EFFAD-A9BD-4B44-88B0-7671D9EC4103}"/>
    <cellStyle name="Currency 3 2 2 2 2 2 3 3" xfId="32119" xr:uid="{96085081-767F-42B7-8623-F895674577A7}"/>
    <cellStyle name="Currency 3 2 2 2 2 2 3 4" xfId="23671" xr:uid="{DBFB8EAB-A5EE-47E7-AC7F-F2EAA5D0AC75}"/>
    <cellStyle name="Currency 3 2 2 2 2 2 3 5" xfId="14374" xr:uid="{EBBF83B7-FE7A-4BAF-85E9-2B62B207C607}"/>
    <cellStyle name="Currency 3 2 2 2 2 2 4" xfId="9543" xr:uid="{08990697-BAC1-4B06-A86B-C554A35267E6}"/>
    <cellStyle name="Currency 3 2 2 2 2 2 4 2" xfId="36349" xr:uid="{151C45F9-0B90-42A8-8B10-759CD6B12EF5}"/>
    <cellStyle name="Currency 3 2 2 2 2 2 4 3" xfId="18856" xr:uid="{CF57318C-723C-4BC7-B020-7E9E34A7FAAB}"/>
    <cellStyle name="Currency 3 2 2 2 2 2 5" xfId="27901" xr:uid="{3C505B0D-01F1-4B53-96A2-EC3863C8E515}"/>
    <cellStyle name="Currency 3 2 2 2 2 2 6" xfId="19454" xr:uid="{1B4AEED0-8CE1-4392-8528-3AE22014B495}"/>
    <cellStyle name="Currency 3 2 2 2 2 2 7" xfId="10157" xr:uid="{920BF89B-99F9-405C-B720-3A8585B134CD}"/>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43124" xr:uid="{E39988FE-AB96-4E48-AA72-A5C6E3C0C731}"/>
    <cellStyle name="Currency 3 2 2 2 2 3 2 2 3" xfId="34677" xr:uid="{20E55A67-DDFF-4B13-98E8-662562CA21E9}"/>
    <cellStyle name="Currency 3 2 2 2 2 3 2 2 4" xfId="26229" xr:uid="{F0E4B56D-8036-4ABA-BF33-89E74BDA8640}"/>
    <cellStyle name="Currency 3 2 2 2 2 3 2 2 5" xfId="16932" xr:uid="{8C84CC6E-1EE1-4DDE-B263-3818017D1467}"/>
    <cellStyle name="Currency 3 2 2 2 2 3 2 3" xfId="38907" xr:uid="{A3695A27-7C3E-4847-9284-98EFD58CB364}"/>
    <cellStyle name="Currency 3 2 2 2 2 3 2 4" xfId="30459" xr:uid="{1524CC13-49F1-4681-87AD-9E3120E1E305}"/>
    <cellStyle name="Currency 3 2 2 2 2 3 2 5" xfId="22012" xr:uid="{C13E585B-908E-43A1-A09D-6429D6A86A18}"/>
    <cellStyle name="Currency 3 2 2 2 2 3 2 6" xfId="12715" xr:uid="{1FCCEA56-D51E-4120-A8D4-2984B8BF5A67}"/>
    <cellStyle name="Currency 3 2 2 2 2 3 3" xfId="5461" xr:uid="{00000000-0005-0000-0000-0000B00A0000}"/>
    <cellStyle name="Currency 3 2 2 2 2 3 3 2" xfId="40979" xr:uid="{FEC0582A-F249-4E63-B8AB-65E18626A6C7}"/>
    <cellStyle name="Currency 3 2 2 2 2 3 3 3" xfId="32532" xr:uid="{C7AF7020-DEB4-4062-AC70-D3AB6A0F9177}"/>
    <cellStyle name="Currency 3 2 2 2 2 3 3 4" xfId="24084" xr:uid="{DF88F570-703A-4FF2-9F6B-9A45E96D3960}"/>
    <cellStyle name="Currency 3 2 2 2 2 3 3 5" xfId="14787" xr:uid="{47593163-F475-4B28-AFB5-0E9D8CE8D4C5}"/>
    <cellStyle name="Currency 3 2 2 2 2 3 4" xfId="36762" xr:uid="{CB333B63-E564-4A61-99E1-62FB382435EA}"/>
    <cellStyle name="Currency 3 2 2 2 2 3 5" xfId="28314" xr:uid="{23B103BF-A93F-4FC6-9E01-0C9CA0342D99}"/>
    <cellStyle name="Currency 3 2 2 2 2 3 6" xfId="19867" xr:uid="{446C71B7-43C8-4EBF-AAA2-7C2F3302B9F5}"/>
    <cellStyle name="Currency 3 2 2 2 2 3 7" xfId="10570" xr:uid="{24614EEE-637A-4080-BAEF-E0841940B576}"/>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43537" xr:uid="{438F0F18-5C0A-46B5-8B6E-5417F653721C}"/>
    <cellStyle name="Currency 3 2 2 2 2 4 2 2 3" xfId="35090" xr:uid="{5DB0A266-CF36-4E02-9221-3287D43B1A51}"/>
    <cellStyle name="Currency 3 2 2 2 2 4 2 2 4" xfId="26642" xr:uid="{9EBFB2D3-9E00-4A14-A38E-C811E67B94A6}"/>
    <cellStyle name="Currency 3 2 2 2 2 4 2 2 5" xfId="17345" xr:uid="{CE25D5EC-52D5-4A6C-9C9F-657BDF1C0881}"/>
    <cellStyle name="Currency 3 2 2 2 2 4 2 3" xfId="39320" xr:uid="{E5B8BDAF-3F28-4342-B812-C2A1AF58690F}"/>
    <cellStyle name="Currency 3 2 2 2 2 4 2 4" xfId="30872" xr:uid="{433A3FF7-1268-4130-A018-3ECF9269E8F1}"/>
    <cellStyle name="Currency 3 2 2 2 2 4 2 5" xfId="22425" xr:uid="{FC985240-3716-4D53-B74A-DB144E1E9554}"/>
    <cellStyle name="Currency 3 2 2 2 2 4 2 6" xfId="13128" xr:uid="{E5E7D3D2-BF2E-4F8C-BCAC-C7B7E0564CB5}"/>
    <cellStyle name="Currency 3 2 2 2 2 4 3" xfId="5874" xr:uid="{00000000-0005-0000-0000-0000B40A0000}"/>
    <cellStyle name="Currency 3 2 2 2 2 4 3 2" xfId="41392" xr:uid="{2D1156E7-F1B9-4B97-A990-6440E2735091}"/>
    <cellStyle name="Currency 3 2 2 2 2 4 3 3" xfId="32945" xr:uid="{041EEFE3-387B-4019-A569-E054AE6AC290}"/>
    <cellStyle name="Currency 3 2 2 2 2 4 3 4" xfId="24497" xr:uid="{0E97C75B-018A-4DAC-9BE9-2F4832D6E583}"/>
    <cellStyle name="Currency 3 2 2 2 2 4 3 5" xfId="15200" xr:uid="{9A68A558-1294-4F35-9AFF-ADB11B3D8655}"/>
    <cellStyle name="Currency 3 2 2 2 2 4 4" xfId="37175" xr:uid="{A00ECA04-5E7B-4F46-98E0-282B4B33AFEE}"/>
    <cellStyle name="Currency 3 2 2 2 2 4 5" xfId="28727" xr:uid="{57992F20-D176-4EB7-9A23-C91D43E39ADA}"/>
    <cellStyle name="Currency 3 2 2 2 2 4 6" xfId="20280" xr:uid="{5501C153-1787-4BA0-A596-23A98416F897}"/>
    <cellStyle name="Currency 3 2 2 2 2 4 7" xfId="10983" xr:uid="{71AF2782-BE1B-42C3-B6E4-4E5E5C4D778D}"/>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43950" xr:uid="{4046894C-66C4-4825-B457-8DC27FD180F1}"/>
    <cellStyle name="Currency 3 2 2 2 2 5 2 2 3" xfId="35503" xr:uid="{887FC68A-6E17-4292-8DA8-041F2F987DA4}"/>
    <cellStyle name="Currency 3 2 2 2 2 5 2 2 4" xfId="27055" xr:uid="{1DD30D5E-E9AF-4BFE-805B-66C08730A9AE}"/>
    <cellStyle name="Currency 3 2 2 2 2 5 2 2 5" xfId="17758" xr:uid="{7FBFCF77-09C9-4E03-85EA-7246F2ADB240}"/>
    <cellStyle name="Currency 3 2 2 2 2 5 2 3" xfId="39733" xr:uid="{844811E2-B290-42EF-9B8A-A7681AEB0454}"/>
    <cellStyle name="Currency 3 2 2 2 2 5 2 4" xfId="31285" xr:uid="{62182207-778C-4A57-8DCA-4142D137ACCD}"/>
    <cellStyle name="Currency 3 2 2 2 2 5 2 5" xfId="22838" xr:uid="{2E60EB0A-6C2D-4C6E-A5EE-355729EE43B1}"/>
    <cellStyle name="Currency 3 2 2 2 2 5 2 6" xfId="13541" xr:uid="{D5190C5E-7748-4DFF-99F8-5A0D42625ABC}"/>
    <cellStyle name="Currency 3 2 2 2 2 5 3" xfId="6287" xr:uid="{00000000-0005-0000-0000-0000B80A0000}"/>
    <cellStyle name="Currency 3 2 2 2 2 5 3 2" xfId="41805" xr:uid="{2DA30790-CF8F-4488-BBB9-A1ECFDBD3DD2}"/>
    <cellStyle name="Currency 3 2 2 2 2 5 3 3" xfId="33358" xr:uid="{BA7913FA-A902-46FD-99F9-A0F86F48B05F}"/>
    <cellStyle name="Currency 3 2 2 2 2 5 3 4" xfId="24910" xr:uid="{B8B34877-698B-48C2-A0C0-72C7ED127560}"/>
    <cellStyle name="Currency 3 2 2 2 2 5 3 5" xfId="15613" xr:uid="{BC4FBDE7-E176-4F08-A869-159BE2841FDB}"/>
    <cellStyle name="Currency 3 2 2 2 2 5 4" xfId="37588" xr:uid="{5A307BC9-6A97-47B6-ABDC-2390172ADC81}"/>
    <cellStyle name="Currency 3 2 2 2 2 5 5" xfId="29140" xr:uid="{F167E912-89F5-4513-BA0F-0AF57537E337}"/>
    <cellStyle name="Currency 3 2 2 2 2 5 6" xfId="20693" xr:uid="{E773C900-2012-4171-A13C-7D16A1EBAF98}"/>
    <cellStyle name="Currency 3 2 2 2 2 5 7" xfId="11396" xr:uid="{E850753E-D637-4ABF-BD6B-7ACE1979940B}"/>
    <cellStyle name="Currency 3 2 2 2 2 6" xfId="2416" xr:uid="{00000000-0005-0000-0000-0000B90A0000}"/>
    <cellStyle name="Currency 3 2 2 2 2 6 2" xfId="6700" xr:uid="{00000000-0005-0000-0000-0000BA0A0000}"/>
    <cellStyle name="Currency 3 2 2 2 2 6 2 2" xfId="42218" xr:uid="{B45EADF3-E0B9-43EE-BCD1-8D304A4999F9}"/>
    <cellStyle name="Currency 3 2 2 2 2 6 2 3" xfId="33771" xr:uid="{06E9F283-6C75-4E3E-89B6-CAB4682D749F}"/>
    <cellStyle name="Currency 3 2 2 2 2 6 2 4" xfId="25323" xr:uid="{86E533D1-4C90-4F0D-B681-1C5719DC0A31}"/>
    <cellStyle name="Currency 3 2 2 2 2 6 2 5" xfId="16026" xr:uid="{D172C006-AE69-4B7A-A230-58C4ED0759B1}"/>
    <cellStyle name="Currency 3 2 2 2 2 6 3" xfId="38001" xr:uid="{E32F9E87-B95B-4B85-AF5A-05F09B8F4FA9}"/>
    <cellStyle name="Currency 3 2 2 2 2 6 4" xfId="29553" xr:uid="{0E7393D5-0BD4-48F1-B62C-7D9155317BE6}"/>
    <cellStyle name="Currency 3 2 2 2 2 6 5" xfId="21106" xr:uid="{A6BCAC43-52E2-4171-85A9-3FA486383834}"/>
    <cellStyle name="Currency 3 2 2 2 2 6 6" xfId="11809" xr:uid="{A6FF6FBC-34DC-4C37-81EA-74013F21CDBE}"/>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42535" xr:uid="{3F5498B6-4393-4216-A640-D808E88A5265}"/>
    <cellStyle name="Currency 3 2 2 2 2 8 2 3" xfId="34088" xr:uid="{201D75AC-067C-4786-8C86-96FB047F39BB}"/>
    <cellStyle name="Currency 3 2 2 2 2 8 2 4" xfId="25640" xr:uid="{B953BFFC-2A04-4B91-9C0E-FC9882B481D5}"/>
    <cellStyle name="Currency 3 2 2 2 2 8 2 5" xfId="16343" xr:uid="{239323EC-5BFB-4C2F-9D36-EB7EDA957897}"/>
    <cellStyle name="Currency 3 2 2 2 2 8 3" xfId="38318" xr:uid="{9A682C3E-D19C-4F4C-820D-21FF7A8DD16B}"/>
    <cellStyle name="Currency 3 2 2 2 2 8 4" xfId="29870" xr:uid="{DBFEC796-190D-4C01-B590-13096A5F2A3C}"/>
    <cellStyle name="Currency 3 2 2 2 2 8 5" xfId="21423" xr:uid="{1833337B-A8A2-4F7D-8FC9-BFEC223983FC}"/>
    <cellStyle name="Currency 3 2 2 2 2 8 6" xfId="12126" xr:uid="{0D6C7D76-FB2A-4790-8503-E8119EA7597F}"/>
    <cellStyle name="Currency 3 2 2 2 2 9" xfId="4634" xr:uid="{00000000-0005-0000-0000-0000BE0A0000}"/>
    <cellStyle name="Currency 3 2 2 2 2 9 2" xfId="40152" xr:uid="{C8965E23-E8CB-4735-878E-D21C56B2C1C9}"/>
    <cellStyle name="Currency 3 2 2 2 2 9 3" xfId="31705" xr:uid="{3102D363-E48A-4643-BCF9-6E93B843FFA5}"/>
    <cellStyle name="Currency 3 2 2 2 2 9 4" xfId="23257" xr:uid="{D1FFEDE6-5189-4239-9D9C-5D7A68EC311B}"/>
    <cellStyle name="Currency 3 2 2 2 2 9 5" xfId="13960" xr:uid="{21E7C792-D64B-456C-9C42-980346A93F1D}"/>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42710" xr:uid="{EE624204-C984-4915-963F-8A2AF635CEFB}"/>
    <cellStyle name="Currency 3 2 2 2 3 2 2 3" xfId="34263" xr:uid="{DAF55AF2-C553-4D7C-BCC8-428175840E9E}"/>
    <cellStyle name="Currency 3 2 2 2 3 2 2 4" xfId="25815" xr:uid="{A0F8ACE9-0237-4DC9-8CA6-2FD501D4DD8C}"/>
    <cellStyle name="Currency 3 2 2 2 3 2 2 5" xfId="16518" xr:uid="{00F78F6A-685C-419B-A867-299A53EF22D8}"/>
    <cellStyle name="Currency 3 2 2 2 3 2 3" xfId="38493" xr:uid="{859935C6-D7B0-49ED-A6A2-25741D865CC2}"/>
    <cellStyle name="Currency 3 2 2 2 3 2 4" xfId="30045" xr:uid="{1E7965E2-A76A-47EC-8358-73E4354E15DE}"/>
    <cellStyle name="Currency 3 2 2 2 3 2 5" xfId="21598" xr:uid="{1A93C93C-3C24-4D57-9CA2-088902BFFB40}"/>
    <cellStyle name="Currency 3 2 2 2 3 2 6" xfId="12301" xr:uid="{661FBF3B-9BE3-4EAB-BD3D-1AC476AF3462}"/>
    <cellStyle name="Currency 3 2 2 2 3 3" xfId="5047" xr:uid="{00000000-0005-0000-0000-0000C20A0000}"/>
    <cellStyle name="Currency 3 2 2 2 3 3 2" xfId="40565" xr:uid="{16801632-F8BC-4BD4-AC0F-48D537D6A569}"/>
    <cellStyle name="Currency 3 2 2 2 3 3 3" xfId="32118" xr:uid="{F9994A4A-A2C3-43F4-9F8D-A8331653FDDA}"/>
    <cellStyle name="Currency 3 2 2 2 3 3 4" xfId="23670" xr:uid="{301149A5-54B5-4119-8B72-9572DAD3FB91}"/>
    <cellStyle name="Currency 3 2 2 2 3 3 5" xfId="14373" xr:uid="{07A31480-1269-4950-A669-4F1B2DEE8AF0}"/>
    <cellStyle name="Currency 3 2 2 2 3 4" xfId="9336" xr:uid="{F86D5454-A503-484B-B8F3-81FF219E49D0}"/>
    <cellStyle name="Currency 3 2 2 2 3 4 2" xfId="36348" xr:uid="{4B3E6FC4-50B3-4F45-8C12-4110B009E028}"/>
    <cellStyle name="Currency 3 2 2 2 3 4 3" xfId="18649" xr:uid="{9121FEC9-E830-432D-A459-AE1BEFF81961}"/>
    <cellStyle name="Currency 3 2 2 2 3 5" xfId="27900" xr:uid="{965654EB-BD4B-46E3-AE59-236A1B29904F}"/>
    <cellStyle name="Currency 3 2 2 2 3 6" xfId="19453" xr:uid="{E62BFACC-28DA-4619-B15F-03704A249AD8}"/>
    <cellStyle name="Currency 3 2 2 2 3 7" xfId="10156" xr:uid="{E7D50710-813D-4C33-99DF-C17A6771324D}"/>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43123" xr:uid="{91A883CF-A6F1-4487-B0D3-62FCE01D819A}"/>
    <cellStyle name="Currency 3 2 2 2 4 2 2 3" xfId="34676" xr:uid="{9808E3CA-B9DA-4907-BE44-88B34918586F}"/>
    <cellStyle name="Currency 3 2 2 2 4 2 2 4" xfId="26228" xr:uid="{2BB20568-6459-41F3-AB56-E1B89F7491D2}"/>
    <cellStyle name="Currency 3 2 2 2 4 2 2 5" xfId="16931" xr:uid="{106AA581-3028-4E0E-8154-56C16C53041F}"/>
    <cellStyle name="Currency 3 2 2 2 4 2 3" xfId="38906" xr:uid="{2F4DEEEC-7266-4A3E-8E6D-EF25A0C3882F}"/>
    <cellStyle name="Currency 3 2 2 2 4 2 4" xfId="30458" xr:uid="{F9B02D80-5123-4664-A551-26C6E8DF7E57}"/>
    <cellStyle name="Currency 3 2 2 2 4 2 5" xfId="22011" xr:uid="{29BFAAFA-C3C8-4CB7-9118-4C7E73709980}"/>
    <cellStyle name="Currency 3 2 2 2 4 2 6" xfId="12714" xr:uid="{A60AF5C1-9F38-43BE-B364-CD8B234627BA}"/>
    <cellStyle name="Currency 3 2 2 2 4 3" xfId="5460" xr:uid="{00000000-0005-0000-0000-0000C60A0000}"/>
    <cellStyle name="Currency 3 2 2 2 4 3 2" xfId="40978" xr:uid="{E6469C21-B3B1-4981-B55C-BC6D12006A67}"/>
    <cellStyle name="Currency 3 2 2 2 4 3 3" xfId="32531" xr:uid="{82C0B55C-CD95-4BF0-9B1D-2C249A5E5991}"/>
    <cellStyle name="Currency 3 2 2 2 4 3 4" xfId="24083" xr:uid="{BDB73838-E2BF-4716-949B-7ACC6222FE9E}"/>
    <cellStyle name="Currency 3 2 2 2 4 3 5" xfId="14786" xr:uid="{127A4735-0F27-479E-8AC0-F2815B5EF51D}"/>
    <cellStyle name="Currency 3 2 2 2 4 4" xfId="36761" xr:uid="{3D61D9C6-844D-400E-9B7F-CC6161CAB3E2}"/>
    <cellStyle name="Currency 3 2 2 2 4 5" xfId="28313" xr:uid="{EF489D55-15B9-462E-A1F5-21468FDFE737}"/>
    <cellStyle name="Currency 3 2 2 2 4 6" xfId="19866" xr:uid="{0CBFB090-E2FE-4F69-AE89-9A7834AC702D}"/>
    <cellStyle name="Currency 3 2 2 2 4 7" xfId="10569" xr:uid="{69392AE8-207F-4F13-9305-6125495CACAA}"/>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43536" xr:uid="{EFB880BB-C41E-4EB5-8449-441B6A8B7FD3}"/>
    <cellStyle name="Currency 3 2 2 2 5 2 2 3" xfId="35089" xr:uid="{0D21A471-E0D9-4D0D-9FFA-3E202715C5B8}"/>
    <cellStyle name="Currency 3 2 2 2 5 2 2 4" xfId="26641" xr:uid="{17461210-EBFE-4088-A86E-F7B0E660502B}"/>
    <cellStyle name="Currency 3 2 2 2 5 2 2 5" xfId="17344" xr:uid="{252843CC-62B1-448B-8357-F827BDCE73C0}"/>
    <cellStyle name="Currency 3 2 2 2 5 2 3" xfId="39319" xr:uid="{EAAAA503-A0F3-4888-A391-5F14513C197C}"/>
    <cellStyle name="Currency 3 2 2 2 5 2 4" xfId="30871" xr:uid="{FAC1BB75-3D87-4FBC-8425-40676875BC93}"/>
    <cellStyle name="Currency 3 2 2 2 5 2 5" xfId="22424" xr:uid="{8EC395C5-59E4-4249-AF13-7D41FB8EB901}"/>
    <cellStyle name="Currency 3 2 2 2 5 2 6" xfId="13127" xr:uid="{6F043690-DEA0-4219-AA5D-F26515C82778}"/>
    <cellStyle name="Currency 3 2 2 2 5 3" xfId="5873" xr:uid="{00000000-0005-0000-0000-0000CA0A0000}"/>
    <cellStyle name="Currency 3 2 2 2 5 3 2" xfId="41391" xr:uid="{48263DB8-EBE9-49D7-BC3A-6CB1A7E5F41D}"/>
    <cellStyle name="Currency 3 2 2 2 5 3 3" xfId="32944" xr:uid="{D43B00F1-AAE0-42DE-ABC0-8057F846C04B}"/>
    <cellStyle name="Currency 3 2 2 2 5 3 4" xfId="24496" xr:uid="{FC5020B5-6B49-49F8-B4B1-092EE0BCFB01}"/>
    <cellStyle name="Currency 3 2 2 2 5 3 5" xfId="15199" xr:uid="{49B0E556-9799-42B6-A5EC-2ACFBB052D5F}"/>
    <cellStyle name="Currency 3 2 2 2 5 4" xfId="37174" xr:uid="{6621E146-5D26-44C9-A26F-944FA8835BED}"/>
    <cellStyle name="Currency 3 2 2 2 5 5" xfId="28726" xr:uid="{7F79F6E8-03C1-4341-86AF-3FB955EF53BD}"/>
    <cellStyle name="Currency 3 2 2 2 5 6" xfId="20279" xr:uid="{1798114C-2C0C-4E59-B259-86E24890A8A6}"/>
    <cellStyle name="Currency 3 2 2 2 5 7" xfId="10982" xr:uid="{D58EB77E-7634-45AF-A438-5B2D8981D5C7}"/>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43949" xr:uid="{03043093-96E4-46CC-8302-1377739A9170}"/>
    <cellStyle name="Currency 3 2 2 2 6 2 2 3" xfId="35502" xr:uid="{C9CE36C3-3BC1-44B4-8816-F49EA4501797}"/>
    <cellStyle name="Currency 3 2 2 2 6 2 2 4" xfId="27054" xr:uid="{5CA73286-BD62-41C4-8DE7-26B236D64EE4}"/>
    <cellStyle name="Currency 3 2 2 2 6 2 2 5" xfId="17757" xr:uid="{C09EDED3-169D-40A3-B176-BBB110167D02}"/>
    <cellStyle name="Currency 3 2 2 2 6 2 3" xfId="39732" xr:uid="{322EEFBF-DF7F-43AF-9C36-7A3C66EBE88C}"/>
    <cellStyle name="Currency 3 2 2 2 6 2 4" xfId="31284" xr:uid="{C9AA5D83-E4CD-4F8C-B6F8-4E61B388ACEA}"/>
    <cellStyle name="Currency 3 2 2 2 6 2 5" xfId="22837" xr:uid="{ED27A236-C34E-458F-8520-145263661073}"/>
    <cellStyle name="Currency 3 2 2 2 6 2 6" xfId="13540" xr:uid="{1D770188-F8A0-4AB3-A439-6E6F5B1B42D2}"/>
    <cellStyle name="Currency 3 2 2 2 6 3" xfId="6286" xr:uid="{00000000-0005-0000-0000-0000CE0A0000}"/>
    <cellStyle name="Currency 3 2 2 2 6 3 2" xfId="41804" xr:uid="{82D5932A-C9DD-4338-A3FF-84A2017987F4}"/>
    <cellStyle name="Currency 3 2 2 2 6 3 3" xfId="33357" xr:uid="{5CB54884-B34A-41CE-B80C-07CB101B938A}"/>
    <cellStyle name="Currency 3 2 2 2 6 3 4" xfId="24909" xr:uid="{477053FB-75F8-4375-BDDD-27AF9732DF9C}"/>
    <cellStyle name="Currency 3 2 2 2 6 3 5" xfId="15612" xr:uid="{CCD0386F-6BF5-4D74-BD58-1B5A568A8ED3}"/>
    <cellStyle name="Currency 3 2 2 2 6 4" xfId="37587" xr:uid="{53645681-1EDC-4C5B-AE0A-F07AA0504A03}"/>
    <cellStyle name="Currency 3 2 2 2 6 5" xfId="29139" xr:uid="{EED784F1-772B-4440-BDCB-BFF7F107E286}"/>
    <cellStyle name="Currency 3 2 2 2 6 6" xfId="20692" xr:uid="{67A74BC8-51C3-460F-AFED-F838FA5D6812}"/>
    <cellStyle name="Currency 3 2 2 2 6 7" xfId="11395" xr:uid="{4C640130-1E8E-45DB-8431-7D798B383C1D}"/>
    <cellStyle name="Currency 3 2 2 2 7" xfId="2415" xr:uid="{00000000-0005-0000-0000-0000CF0A0000}"/>
    <cellStyle name="Currency 3 2 2 2 7 2" xfId="6699" xr:uid="{00000000-0005-0000-0000-0000D00A0000}"/>
    <cellStyle name="Currency 3 2 2 2 7 2 2" xfId="42217" xr:uid="{9A8F626B-F207-4064-8B0B-6AEB01C2EB96}"/>
    <cellStyle name="Currency 3 2 2 2 7 2 3" xfId="33770" xr:uid="{10642722-E8F1-421C-BF13-426D8EBFF06C}"/>
    <cellStyle name="Currency 3 2 2 2 7 2 4" xfId="25322" xr:uid="{0188A173-8BE4-4935-8439-37188C358C25}"/>
    <cellStyle name="Currency 3 2 2 2 7 2 5" xfId="16025" xr:uid="{89C8B051-9B4C-4046-8CD3-A4E6E096F878}"/>
    <cellStyle name="Currency 3 2 2 2 7 3" xfId="38000" xr:uid="{4A09F494-800F-43C1-8E6D-5442CCF597E7}"/>
    <cellStyle name="Currency 3 2 2 2 7 4" xfId="29552" xr:uid="{963EF214-20AA-423D-AD94-1C0E955B6948}"/>
    <cellStyle name="Currency 3 2 2 2 7 5" xfId="21105" xr:uid="{491E8199-3C95-4F20-BD2C-27A4C2B6DB1A}"/>
    <cellStyle name="Currency 3 2 2 2 7 6" xfId="11808" xr:uid="{496810C4-5951-44A7-B3D2-F3A88BBD2F0C}"/>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42534" xr:uid="{BF359C80-7A12-4DC6-B894-8C808C1E86B2}"/>
    <cellStyle name="Currency 3 2 2 2 9 2 3" xfId="34087" xr:uid="{33D8C49A-7D21-48C0-9407-FD669951EE11}"/>
    <cellStyle name="Currency 3 2 2 2 9 2 4" xfId="25639" xr:uid="{817C059E-47C6-43D3-997B-81BBB8A38AF0}"/>
    <cellStyle name="Currency 3 2 2 2 9 2 5" xfId="16342" xr:uid="{D2959398-07CA-424A-88D9-2AF96AFC08B4}"/>
    <cellStyle name="Currency 3 2 2 2 9 3" xfId="38317" xr:uid="{7BAA86B9-797C-4DC7-A43B-5F4D2E882CE2}"/>
    <cellStyle name="Currency 3 2 2 2 9 4" xfId="29869" xr:uid="{DFD825CA-A384-43DA-B249-D186563F09D7}"/>
    <cellStyle name="Currency 3 2 2 2 9 5" xfId="21422" xr:uid="{D8CA9DF2-6DBF-4823-BA58-988A8F7CA4F6}"/>
    <cellStyle name="Currency 3 2 2 2 9 6" xfId="12125" xr:uid="{8193AC5B-665B-401D-95AB-75DEB60FF2EF}"/>
    <cellStyle name="Currency 3 2 2 3" xfId="181" xr:uid="{00000000-0005-0000-0000-0000D40A0000}"/>
    <cellStyle name="Currency 3 2 2 3 10" xfId="9015" xr:uid="{A1C3FAFC-6FB9-45C5-A279-C90E61794A63}"/>
    <cellStyle name="Currency 3 2 2 3 10 2" xfId="35936" xr:uid="{C8971F8D-DD7C-4406-B546-AF6E61029410}"/>
    <cellStyle name="Currency 3 2 2 3 10 3" xfId="18338" xr:uid="{7BA36962-0D05-4B46-B8C3-9508D1F9C31B}"/>
    <cellStyle name="Currency 3 2 2 3 11" xfId="27488" xr:uid="{514CB1A9-7A55-4AA5-8BD1-A9B406C372D2}"/>
    <cellStyle name="Currency 3 2 2 3 12" xfId="19041" xr:uid="{D0F67D5C-1745-463E-8C1B-81F981E19451}"/>
    <cellStyle name="Currency 3 2 2 3 13" xfId="9744" xr:uid="{5B2C9067-F964-46DA-B202-024694F0AFAE}"/>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42712" xr:uid="{C6CDD868-049E-40EE-A703-8BE6C345F5C5}"/>
    <cellStyle name="Currency 3 2 2 3 2 2 2 3" xfId="34265" xr:uid="{8545B505-1FBB-443D-A1BB-2BDA65E7E77F}"/>
    <cellStyle name="Currency 3 2 2 3 2 2 2 4" xfId="25817" xr:uid="{6998711A-EB50-463D-8F97-E71893DD4F56}"/>
    <cellStyle name="Currency 3 2 2 3 2 2 2 5" xfId="16520" xr:uid="{88F62864-25DC-4CD4-96DF-689D3E84CE5A}"/>
    <cellStyle name="Currency 3 2 2 3 2 2 3" xfId="38495" xr:uid="{0FDF656E-1C3D-481A-98E5-3478967D1975}"/>
    <cellStyle name="Currency 3 2 2 3 2 2 4" xfId="30047" xr:uid="{29809DA5-5D51-4140-B5A6-74C1B5D5770C}"/>
    <cellStyle name="Currency 3 2 2 3 2 2 5" xfId="21600" xr:uid="{4FE00EA1-0B6C-4117-BB2C-C40CD4729B7E}"/>
    <cellStyle name="Currency 3 2 2 3 2 2 6" xfId="12303" xr:uid="{66B47459-437B-444E-9A7E-F29F540C997E}"/>
    <cellStyle name="Currency 3 2 2 3 2 3" xfId="5049" xr:uid="{00000000-0005-0000-0000-0000D80A0000}"/>
    <cellStyle name="Currency 3 2 2 3 2 3 2" xfId="40567" xr:uid="{646F8470-91C1-4333-ABB1-46A89BC18B40}"/>
    <cellStyle name="Currency 3 2 2 3 2 3 3" xfId="32120" xr:uid="{E2150FCD-6824-488F-A65E-BF5878CFFE2F}"/>
    <cellStyle name="Currency 3 2 2 3 2 3 4" xfId="23672" xr:uid="{6BA12F64-5BDE-46CF-9A00-981BF2D0D817}"/>
    <cellStyle name="Currency 3 2 2 3 2 3 5" xfId="14375" xr:uid="{FE0C075A-289C-496F-B868-C723087F207B}"/>
    <cellStyle name="Currency 3 2 2 3 2 4" xfId="9440" xr:uid="{774D5512-BCA5-4224-A909-3336A63369C8}"/>
    <cellStyle name="Currency 3 2 2 3 2 4 2" xfId="36350" xr:uid="{26DB2014-E023-47CF-B77B-A262BFC898BB}"/>
    <cellStyle name="Currency 3 2 2 3 2 4 3" xfId="18753" xr:uid="{807FC6B5-8432-480F-ACB6-08B29C2D0482}"/>
    <cellStyle name="Currency 3 2 2 3 2 5" xfId="27902" xr:uid="{686C2EC8-13ED-4E00-A7BB-A78784001A6B}"/>
    <cellStyle name="Currency 3 2 2 3 2 6" xfId="19455" xr:uid="{42EB9C9F-973A-457F-8614-1DEA2EB8FF08}"/>
    <cellStyle name="Currency 3 2 2 3 2 7" xfId="10158" xr:uid="{89961BC6-5888-4133-99BE-970AFFD88312}"/>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43125" xr:uid="{C739330F-4378-478B-9A7D-28472419C5E9}"/>
    <cellStyle name="Currency 3 2 2 3 3 2 2 3" xfId="34678" xr:uid="{72B1F3EF-96AA-4E92-A139-86A5FD0DDE56}"/>
    <cellStyle name="Currency 3 2 2 3 3 2 2 4" xfId="26230" xr:uid="{764D0255-4BBE-4C1D-9A06-B4EA65137859}"/>
    <cellStyle name="Currency 3 2 2 3 3 2 2 5" xfId="16933" xr:uid="{A9A08F38-10B2-4FA0-9117-D8E18EED9C02}"/>
    <cellStyle name="Currency 3 2 2 3 3 2 3" xfId="38908" xr:uid="{64C8AE28-F506-49C6-BE5E-649BD4A934AB}"/>
    <cellStyle name="Currency 3 2 2 3 3 2 4" xfId="30460" xr:uid="{BFEA0755-35E7-46D8-BC4F-89B05ABDC508}"/>
    <cellStyle name="Currency 3 2 2 3 3 2 5" xfId="22013" xr:uid="{9EB4EA7C-767C-43AF-91C3-5EDEF1BE7174}"/>
    <cellStyle name="Currency 3 2 2 3 3 2 6" xfId="12716" xr:uid="{57D94B1C-F267-4052-8261-B8E6E727DC77}"/>
    <cellStyle name="Currency 3 2 2 3 3 3" xfId="5462" xr:uid="{00000000-0005-0000-0000-0000DC0A0000}"/>
    <cellStyle name="Currency 3 2 2 3 3 3 2" xfId="40980" xr:uid="{386DA169-76AE-4670-BA45-80AC0A523418}"/>
    <cellStyle name="Currency 3 2 2 3 3 3 3" xfId="32533" xr:uid="{4DE8692C-89D6-453B-83FE-6A2DD4E7941C}"/>
    <cellStyle name="Currency 3 2 2 3 3 3 4" xfId="24085" xr:uid="{F2FBE81F-1005-4DED-A2E1-DD019F1B0DA4}"/>
    <cellStyle name="Currency 3 2 2 3 3 3 5" xfId="14788" xr:uid="{9EDFC241-1307-47B1-8428-282168F44761}"/>
    <cellStyle name="Currency 3 2 2 3 3 4" xfId="36763" xr:uid="{95BC486C-BFBF-4195-BE71-DCEB46201C68}"/>
    <cellStyle name="Currency 3 2 2 3 3 5" xfId="28315" xr:uid="{CBF00FCB-030E-4954-85AD-DAB9A7C6AD26}"/>
    <cellStyle name="Currency 3 2 2 3 3 6" xfId="19868" xr:uid="{58CDD436-0C5D-4BF8-9AB5-660EE4C97F9B}"/>
    <cellStyle name="Currency 3 2 2 3 3 7" xfId="10571" xr:uid="{7FFC0D52-6848-4B3E-8FEC-04ECA9E8D1DB}"/>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43538" xr:uid="{AE24DD3C-67FD-4BC9-9E2D-D636E77CC875}"/>
    <cellStyle name="Currency 3 2 2 3 4 2 2 3" xfId="35091" xr:uid="{12202404-20FA-459D-B613-368387F1F361}"/>
    <cellStyle name="Currency 3 2 2 3 4 2 2 4" xfId="26643" xr:uid="{AC636EFA-72A2-4F3A-AA47-1CED47457380}"/>
    <cellStyle name="Currency 3 2 2 3 4 2 2 5" xfId="17346" xr:uid="{774CC224-A4C6-474E-A8B1-16A42AA1F4F8}"/>
    <cellStyle name="Currency 3 2 2 3 4 2 3" xfId="39321" xr:uid="{36402800-85CF-4CF2-9582-25927B41E827}"/>
    <cellStyle name="Currency 3 2 2 3 4 2 4" xfId="30873" xr:uid="{06822E23-B40A-4F67-85CA-4836CFDFE624}"/>
    <cellStyle name="Currency 3 2 2 3 4 2 5" xfId="22426" xr:uid="{4F51706B-DE6C-4DAE-97BB-8FF0E59CFA49}"/>
    <cellStyle name="Currency 3 2 2 3 4 2 6" xfId="13129" xr:uid="{5BCE38D8-3E51-41D4-B6BA-8C256E73B637}"/>
    <cellStyle name="Currency 3 2 2 3 4 3" xfId="5875" xr:uid="{00000000-0005-0000-0000-0000E00A0000}"/>
    <cellStyle name="Currency 3 2 2 3 4 3 2" xfId="41393" xr:uid="{147218E6-A792-47F8-83A0-46CC4CD1D98A}"/>
    <cellStyle name="Currency 3 2 2 3 4 3 3" xfId="32946" xr:uid="{B290A6ED-BD5E-416D-99A8-CCAFD42E67CC}"/>
    <cellStyle name="Currency 3 2 2 3 4 3 4" xfId="24498" xr:uid="{38E36155-5BB3-4C1E-B381-EFF38AD22636}"/>
    <cellStyle name="Currency 3 2 2 3 4 3 5" xfId="15201" xr:uid="{0B8B99C3-1679-4C6D-AA32-964AACE65010}"/>
    <cellStyle name="Currency 3 2 2 3 4 4" xfId="37176" xr:uid="{75FA755C-60DC-478F-A4CF-13B7B1F6E9D0}"/>
    <cellStyle name="Currency 3 2 2 3 4 5" xfId="28728" xr:uid="{62CFF17A-6D34-4DE1-930C-A11DDA710EB6}"/>
    <cellStyle name="Currency 3 2 2 3 4 6" xfId="20281" xr:uid="{513317A9-971D-4522-A6B2-BF8567F37D4B}"/>
    <cellStyle name="Currency 3 2 2 3 4 7" xfId="10984" xr:uid="{4EFD0DAE-3706-4A26-AFAE-B948015D701D}"/>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43951" xr:uid="{F1B5FE07-234B-490B-9AD4-6FABEF732CF8}"/>
    <cellStyle name="Currency 3 2 2 3 5 2 2 3" xfId="35504" xr:uid="{708F6BDB-15B1-4046-A475-1377A5C6C257}"/>
    <cellStyle name="Currency 3 2 2 3 5 2 2 4" xfId="27056" xr:uid="{B36F1C05-AD64-4E85-8090-80BEE78EADBA}"/>
    <cellStyle name="Currency 3 2 2 3 5 2 2 5" xfId="17759" xr:uid="{BB035B7F-9626-4AAB-B121-9860BAEFDF1C}"/>
    <cellStyle name="Currency 3 2 2 3 5 2 3" xfId="39734" xr:uid="{96FBEF44-06E7-45FF-BFC2-803E152D9F34}"/>
    <cellStyle name="Currency 3 2 2 3 5 2 4" xfId="31286" xr:uid="{A91E5860-8FAE-48EF-88C2-E565DC97253C}"/>
    <cellStyle name="Currency 3 2 2 3 5 2 5" xfId="22839" xr:uid="{5D0EA0F1-B9FE-4814-9993-C915D493AA91}"/>
    <cellStyle name="Currency 3 2 2 3 5 2 6" xfId="13542" xr:uid="{4E4295A1-81BF-421E-8362-1FBC877EDBA6}"/>
    <cellStyle name="Currency 3 2 2 3 5 3" xfId="6288" xr:uid="{00000000-0005-0000-0000-0000E40A0000}"/>
    <cellStyle name="Currency 3 2 2 3 5 3 2" xfId="41806" xr:uid="{CA4F8955-AEDB-4E0B-A699-4550DEDBFEFB}"/>
    <cellStyle name="Currency 3 2 2 3 5 3 3" xfId="33359" xr:uid="{0C4A028D-C29D-47CF-AD3D-A15BFC8CF2F4}"/>
    <cellStyle name="Currency 3 2 2 3 5 3 4" xfId="24911" xr:uid="{7CB2F37C-57CB-48F8-8855-08D58077D429}"/>
    <cellStyle name="Currency 3 2 2 3 5 3 5" xfId="15614" xr:uid="{B8A63C82-E7E8-4876-8004-FF939505DBB1}"/>
    <cellStyle name="Currency 3 2 2 3 5 4" xfId="37589" xr:uid="{BE7B2E7C-1A1A-4420-8708-1627192C10BD}"/>
    <cellStyle name="Currency 3 2 2 3 5 5" xfId="29141" xr:uid="{9C9BF46F-0A50-4587-B50E-B10110C09C4C}"/>
    <cellStyle name="Currency 3 2 2 3 5 6" xfId="20694" xr:uid="{293197CA-62B0-4A9F-8E6E-BAD03D0DEC6B}"/>
    <cellStyle name="Currency 3 2 2 3 5 7" xfId="11397" xr:uid="{A9E8E48E-8EA5-410F-8C5A-790D96F791BE}"/>
    <cellStyle name="Currency 3 2 2 3 6" xfId="2417" xr:uid="{00000000-0005-0000-0000-0000E50A0000}"/>
    <cellStyle name="Currency 3 2 2 3 6 2" xfId="6701" xr:uid="{00000000-0005-0000-0000-0000E60A0000}"/>
    <cellStyle name="Currency 3 2 2 3 6 2 2" xfId="42219" xr:uid="{EC7A2AB5-BBC7-436A-B730-9CCDE4B97B1A}"/>
    <cellStyle name="Currency 3 2 2 3 6 2 3" xfId="33772" xr:uid="{324F98B0-2E4E-49AD-B275-41B78928B877}"/>
    <cellStyle name="Currency 3 2 2 3 6 2 4" xfId="25324" xr:uid="{E1E5D271-7F6B-4A0F-BDDD-FEA582351699}"/>
    <cellStyle name="Currency 3 2 2 3 6 2 5" xfId="16027" xr:uid="{D9964239-47F9-4E6D-B6F9-C6C5AD74CCB3}"/>
    <cellStyle name="Currency 3 2 2 3 6 3" xfId="38002" xr:uid="{008BF650-DD66-480D-98D5-0C6E8F18398C}"/>
    <cellStyle name="Currency 3 2 2 3 6 4" xfId="29554" xr:uid="{7AACDD81-4CA8-4EA6-80A4-820CC5CDAD1D}"/>
    <cellStyle name="Currency 3 2 2 3 6 5" xfId="21107" xr:uid="{F896270A-A1D0-4D30-B082-34CD1D867FD9}"/>
    <cellStyle name="Currency 3 2 2 3 6 6" xfId="11810" xr:uid="{11636919-8642-4DBC-A93E-7B5EB519F9AD}"/>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42536" xr:uid="{58806118-444E-41AA-9DE4-6E32F17BD104}"/>
    <cellStyle name="Currency 3 2 2 3 8 2 3" xfId="34089" xr:uid="{E9209789-646D-4B47-A6D3-818B7FE3308C}"/>
    <cellStyle name="Currency 3 2 2 3 8 2 4" xfId="25641" xr:uid="{BCC510FB-F729-4DEF-A846-CDA3549A28DF}"/>
    <cellStyle name="Currency 3 2 2 3 8 2 5" xfId="16344" xr:uid="{83943076-0F2F-4726-8C46-D289C2904550}"/>
    <cellStyle name="Currency 3 2 2 3 8 3" xfId="38319" xr:uid="{E4859F24-B6A6-452C-8F56-11F4713A0FB0}"/>
    <cellStyle name="Currency 3 2 2 3 8 4" xfId="29871" xr:uid="{B7C7E3A0-9B0A-4965-9D90-0093BA49E45F}"/>
    <cellStyle name="Currency 3 2 2 3 8 5" xfId="21424" xr:uid="{E2E4B260-7108-441A-A834-E2550DDA8849}"/>
    <cellStyle name="Currency 3 2 2 3 8 6" xfId="12127" xr:uid="{BC5BFC41-2C7A-465D-A246-1DECBC50D411}"/>
    <cellStyle name="Currency 3 2 2 3 9" xfId="4635" xr:uid="{00000000-0005-0000-0000-0000EA0A0000}"/>
    <cellStyle name="Currency 3 2 2 3 9 2" xfId="40153" xr:uid="{0AF72E1F-3823-4A13-8B3F-F5E350998369}"/>
    <cellStyle name="Currency 3 2 2 3 9 3" xfId="31706" xr:uid="{961D8AC4-89CF-4600-AA48-126B06776CEC}"/>
    <cellStyle name="Currency 3 2 2 3 9 4" xfId="23258" xr:uid="{E1946286-12CD-4E38-94DD-373726DFB6C1}"/>
    <cellStyle name="Currency 3 2 2 3 9 5" xfId="13961" xr:uid="{0F14E2A2-ED00-4B91-80EF-AE75EA0248FA}"/>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42709" xr:uid="{86113B55-74FE-49BE-AE88-A00A981452C6}"/>
    <cellStyle name="Currency 3 2 2 4 2 2 3" xfId="34262" xr:uid="{7776BC35-D62B-4551-B2B8-31C896E696E5}"/>
    <cellStyle name="Currency 3 2 2 4 2 2 4" xfId="25814" xr:uid="{BDD6A17A-53EC-440E-8236-FDD5B7CFB611}"/>
    <cellStyle name="Currency 3 2 2 4 2 2 5" xfId="16517" xr:uid="{FDFE2E66-DE40-48F6-9289-545E90217DE9}"/>
    <cellStyle name="Currency 3 2 2 4 2 3" xfId="38492" xr:uid="{5C06E359-6F3B-4BEE-BFD3-3F1784440AF0}"/>
    <cellStyle name="Currency 3 2 2 4 2 4" xfId="30044" xr:uid="{46FF12ED-E41B-42A2-B2AC-1460017E81AB}"/>
    <cellStyle name="Currency 3 2 2 4 2 5" xfId="21597" xr:uid="{AB8DD3DF-3F3C-457A-848C-3830C38EBA07}"/>
    <cellStyle name="Currency 3 2 2 4 2 6" xfId="12300" xr:uid="{36C121C7-2A5D-452D-BC5C-1583A6BC2EFE}"/>
    <cellStyle name="Currency 3 2 2 4 3" xfId="5046" xr:uid="{00000000-0005-0000-0000-0000EE0A0000}"/>
    <cellStyle name="Currency 3 2 2 4 3 2" xfId="40564" xr:uid="{EA3143B7-DFF9-4004-820F-5D46670098D4}"/>
    <cellStyle name="Currency 3 2 2 4 3 3" xfId="32117" xr:uid="{6C8EF2A4-7E71-4857-ACF7-085772E3CE3E}"/>
    <cellStyle name="Currency 3 2 2 4 3 4" xfId="23669" xr:uid="{48C8F97B-B2E3-4228-99E1-2E0D5A9BCE81}"/>
    <cellStyle name="Currency 3 2 2 4 3 5" xfId="14372" xr:uid="{CF0D2B4B-11CF-4BB1-932D-545B37495E19}"/>
    <cellStyle name="Currency 3 2 2 4 4" xfId="9233" xr:uid="{A90843BF-65B1-48E5-9C93-A2651D7B4B13}"/>
    <cellStyle name="Currency 3 2 2 4 4 2" xfId="36347" xr:uid="{1DAEB079-88EE-47B4-AD7D-F37D05442EA9}"/>
    <cellStyle name="Currency 3 2 2 4 4 3" xfId="18546" xr:uid="{578036C8-2BE2-4015-9794-FEE749F5D9F5}"/>
    <cellStyle name="Currency 3 2 2 4 5" xfId="27899" xr:uid="{BD927DC4-73E9-40FF-B84F-6AA54A561C93}"/>
    <cellStyle name="Currency 3 2 2 4 6" xfId="19452" xr:uid="{09EBF9AC-A4C5-49F7-83FF-3FE3A09946D5}"/>
    <cellStyle name="Currency 3 2 2 4 7" xfId="10155" xr:uid="{81C35D57-5944-435D-9831-6F8E8DBB840D}"/>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43122" xr:uid="{DB8A552A-CB64-433D-ABC0-721EFE0B7529}"/>
    <cellStyle name="Currency 3 2 2 5 2 2 3" xfId="34675" xr:uid="{16C80D11-8535-436A-BB6B-15D7E4FEDBF6}"/>
    <cellStyle name="Currency 3 2 2 5 2 2 4" xfId="26227" xr:uid="{4012ED55-867E-4BCF-AD2D-52EDC5E99451}"/>
    <cellStyle name="Currency 3 2 2 5 2 2 5" xfId="16930" xr:uid="{65BAEA6A-CFA9-4962-8B62-8511F3840282}"/>
    <cellStyle name="Currency 3 2 2 5 2 3" xfId="38905" xr:uid="{6EC4BBBF-F237-4C35-8E4C-05CB3FC430E3}"/>
    <cellStyle name="Currency 3 2 2 5 2 4" xfId="30457" xr:uid="{CE904F7F-C774-4EB7-A054-5F7718FD1B41}"/>
    <cellStyle name="Currency 3 2 2 5 2 5" xfId="22010" xr:uid="{BEA67BD6-E8F2-47D3-B62F-B31CFFE37B20}"/>
    <cellStyle name="Currency 3 2 2 5 2 6" xfId="12713" xr:uid="{766CA229-A5B6-410B-ACA6-FEEEF2F11307}"/>
    <cellStyle name="Currency 3 2 2 5 3" xfId="5459" xr:uid="{00000000-0005-0000-0000-0000F20A0000}"/>
    <cellStyle name="Currency 3 2 2 5 3 2" xfId="40977" xr:uid="{F5C757DA-2A90-41E0-9484-BF5CE9E1DDE7}"/>
    <cellStyle name="Currency 3 2 2 5 3 3" xfId="32530" xr:uid="{EFC35CE6-EADD-40A7-BE23-7D2823E655F0}"/>
    <cellStyle name="Currency 3 2 2 5 3 4" xfId="24082" xr:uid="{83A13801-782A-435E-BE7C-0593BA700023}"/>
    <cellStyle name="Currency 3 2 2 5 3 5" xfId="14785" xr:uid="{591079EB-0684-4898-BAD2-7C7F6C6054AE}"/>
    <cellStyle name="Currency 3 2 2 5 4" xfId="36760" xr:uid="{B06E8FB0-D701-49E8-A6E1-0443ADE82E29}"/>
    <cellStyle name="Currency 3 2 2 5 5" xfId="28312" xr:uid="{E49CF8BD-4D0E-46C1-A8D1-4EB4E3CAE8DE}"/>
    <cellStyle name="Currency 3 2 2 5 6" xfId="19865" xr:uid="{39B673A0-D009-47A6-8DAA-E3D688F7D65E}"/>
    <cellStyle name="Currency 3 2 2 5 7" xfId="10568" xr:uid="{D6C4D846-39D8-48E9-89D2-E9FEE4067EDC}"/>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43535" xr:uid="{5E204C80-1670-4319-BE93-2D91100AD1F8}"/>
    <cellStyle name="Currency 3 2 2 6 2 2 3" xfId="35088" xr:uid="{80A51343-CA24-436D-9A3B-66522C06D7AF}"/>
    <cellStyle name="Currency 3 2 2 6 2 2 4" xfId="26640" xr:uid="{9FF1686B-DFC2-4803-B7AF-B46DAADBB8F3}"/>
    <cellStyle name="Currency 3 2 2 6 2 2 5" xfId="17343" xr:uid="{4E908000-02C0-450A-9242-7B736D0B6DD0}"/>
    <cellStyle name="Currency 3 2 2 6 2 3" xfId="39318" xr:uid="{8B4CADC2-C804-4991-9D0C-34FDEE6B96AB}"/>
    <cellStyle name="Currency 3 2 2 6 2 4" xfId="30870" xr:uid="{7BA3D2FC-BD94-4144-87E3-9633A861F33A}"/>
    <cellStyle name="Currency 3 2 2 6 2 5" xfId="22423" xr:uid="{C1B92939-2A7F-4F7A-B776-21CD32C183B8}"/>
    <cellStyle name="Currency 3 2 2 6 2 6" xfId="13126" xr:uid="{61FD35E5-092A-499F-ADBB-5CB5D763EE34}"/>
    <cellStyle name="Currency 3 2 2 6 3" xfId="5872" xr:uid="{00000000-0005-0000-0000-0000F60A0000}"/>
    <cellStyle name="Currency 3 2 2 6 3 2" xfId="41390" xr:uid="{0E7F05EC-DB9E-4A2D-9A24-4D42BF17D373}"/>
    <cellStyle name="Currency 3 2 2 6 3 3" xfId="32943" xr:uid="{7233B1F6-2D5A-48D1-BDC2-98A6FC2715CD}"/>
    <cellStyle name="Currency 3 2 2 6 3 4" xfId="24495" xr:uid="{C7C71F4A-7AEE-4AE7-8A57-6472160213A1}"/>
    <cellStyle name="Currency 3 2 2 6 3 5" xfId="15198" xr:uid="{7B63DAE4-972B-43B6-99A2-232C8EBD7232}"/>
    <cellStyle name="Currency 3 2 2 6 4" xfId="37173" xr:uid="{7794E9F4-E152-4283-99F1-6393A5872301}"/>
    <cellStyle name="Currency 3 2 2 6 5" xfId="28725" xr:uid="{8E5E7A0F-EE9B-4BBB-BA9A-4D14C6A15361}"/>
    <cellStyle name="Currency 3 2 2 6 6" xfId="20278" xr:uid="{482ED7DA-F06A-448F-BC62-A5732FD2DD2D}"/>
    <cellStyle name="Currency 3 2 2 6 7" xfId="10981" xr:uid="{6E817D81-03FD-4FAB-BDC9-51E66A2A195C}"/>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43948" xr:uid="{8C7E8487-EA1C-4425-A4E6-B746BD269EC6}"/>
    <cellStyle name="Currency 3 2 2 7 2 2 3" xfId="35501" xr:uid="{B432CA37-04BC-49E3-9D06-DA991F17A641}"/>
    <cellStyle name="Currency 3 2 2 7 2 2 4" xfId="27053" xr:uid="{CA26585B-F1AF-4342-B3D3-401D791BEA68}"/>
    <cellStyle name="Currency 3 2 2 7 2 2 5" xfId="17756" xr:uid="{AF5CB3CA-F98E-41DC-9F30-174D3C8D8B20}"/>
    <cellStyle name="Currency 3 2 2 7 2 3" xfId="39731" xr:uid="{05196587-CA22-498A-9A5A-620E45D84D2D}"/>
    <cellStyle name="Currency 3 2 2 7 2 4" xfId="31283" xr:uid="{E332D752-11CE-4D3E-944D-D783D9336C99}"/>
    <cellStyle name="Currency 3 2 2 7 2 5" xfId="22836" xr:uid="{AA12CEE3-F958-4AFB-AF2F-9682BC371225}"/>
    <cellStyle name="Currency 3 2 2 7 2 6" xfId="13539" xr:uid="{5DB5C7D7-AFD7-45E7-BE75-1E187819DE07}"/>
    <cellStyle name="Currency 3 2 2 7 3" xfId="6285" xr:uid="{00000000-0005-0000-0000-0000FA0A0000}"/>
    <cellStyle name="Currency 3 2 2 7 3 2" xfId="41803" xr:uid="{7E2B40AA-3608-4153-A0CC-8A30E486F915}"/>
    <cellStyle name="Currency 3 2 2 7 3 3" xfId="33356" xr:uid="{3C2E9B27-1174-403B-9803-69241BD491BD}"/>
    <cellStyle name="Currency 3 2 2 7 3 4" xfId="24908" xr:uid="{E7FAABD4-3395-4754-B088-047C54BF8427}"/>
    <cellStyle name="Currency 3 2 2 7 3 5" xfId="15611" xr:uid="{22CA8DB0-883A-4139-8F80-9C3EB76DF968}"/>
    <cellStyle name="Currency 3 2 2 7 4" xfId="37586" xr:uid="{29DD3122-BE98-4E39-B168-351F2BEF5E0D}"/>
    <cellStyle name="Currency 3 2 2 7 5" xfId="29138" xr:uid="{3F5ADBA1-6B79-426B-869D-77314D0BA939}"/>
    <cellStyle name="Currency 3 2 2 7 6" xfId="20691" xr:uid="{B8B46411-F07C-448B-A4C0-8E113B531954}"/>
    <cellStyle name="Currency 3 2 2 7 7" xfId="11394" xr:uid="{C8AE5DE4-A602-41CB-8658-D4E70C3093DE}"/>
    <cellStyle name="Currency 3 2 2 8" xfId="2414" xr:uid="{00000000-0005-0000-0000-0000FB0A0000}"/>
    <cellStyle name="Currency 3 2 2 8 2" xfId="6698" xr:uid="{00000000-0005-0000-0000-0000FC0A0000}"/>
    <cellStyle name="Currency 3 2 2 8 2 2" xfId="42216" xr:uid="{291CD8FA-1BD8-43CC-85F6-D0294830B147}"/>
    <cellStyle name="Currency 3 2 2 8 2 3" xfId="33769" xr:uid="{285CB950-F89A-4DC9-A5D1-AC644195AAE7}"/>
    <cellStyle name="Currency 3 2 2 8 2 4" xfId="25321" xr:uid="{5F10811A-A79F-4E22-B44E-984DA152D18A}"/>
    <cellStyle name="Currency 3 2 2 8 2 5" xfId="16024" xr:uid="{6C4C6F84-7EF2-47FC-843B-DC398C595B83}"/>
    <cellStyle name="Currency 3 2 2 8 3" xfId="37999" xr:uid="{CC4CD5F9-9CA3-4D4A-9A4A-C8F4DACAB8FC}"/>
    <cellStyle name="Currency 3 2 2 8 4" xfId="29551" xr:uid="{DA871125-2401-4B5F-B245-F87BFEBABB67}"/>
    <cellStyle name="Currency 3 2 2 8 5" xfId="21104" xr:uid="{583F16EA-58A6-4E6F-877A-AE70A7716419}"/>
    <cellStyle name="Currency 3 2 2 8 6" xfId="11807" xr:uid="{22B3DEB1-C884-4B3F-9B10-A8F031B8299C}"/>
    <cellStyle name="Currency 3 2 2 9" xfId="2711" xr:uid="{00000000-0005-0000-0000-0000FD0A0000}"/>
    <cellStyle name="Currency 3 2 3" xfId="182" xr:uid="{00000000-0005-0000-0000-0000FE0A0000}"/>
    <cellStyle name="Currency 3 2 3 10" xfId="4636" xr:uid="{00000000-0005-0000-0000-0000FF0A0000}"/>
    <cellStyle name="Currency 3 2 3 10 2" xfId="40154" xr:uid="{AC757E55-FB1B-47FA-82F0-77ECEC77E6A6}"/>
    <cellStyle name="Currency 3 2 3 10 3" xfId="31707" xr:uid="{23BBA4AE-D78E-480E-906A-A16EE1283986}"/>
    <cellStyle name="Currency 3 2 3 10 4" xfId="23259" xr:uid="{262C81C9-39CD-4D85-BABC-FA6D6C2E9E5F}"/>
    <cellStyle name="Currency 3 2 3 10 5" xfId="13962" xr:uid="{C7CCD235-E922-4CD4-9562-2BE067C137FE}"/>
    <cellStyle name="Currency 3 2 3 11" xfId="8893" xr:uid="{8CE28714-D587-402C-9A17-1A08799662D4}"/>
    <cellStyle name="Currency 3 2 3 11 2" xfId="35937" xr:uid="{F786F767-8977-4EA6-AC6F-0E0BBC61CB1E}"/>
    <cellStyle name="Currency 3 2 3 11 3" xfId="18216" xr:uid="{083234D7-D7A6-4B49-8D6D-B52B25969362}"/>
    <cellStyle name="Currency 3 2 3 12" xfId="27489" xr:uid="{9AEC2DDC-AE11-46DE-8B36-0D4736D56EAF}"/>
    <cellStyle name="Currency 3 2 3 13" xfId="19042" xr:uid="{33E2DF32-C4D6-4BEC-BBB6-639B381B49B6}"/>
    <cellStyle name="Currency 3 2 3 14" xfId="9745" xr:uid="{70A316C3-14C3-430F-B690-D795125D7531}"/>
    <cellStyle name="Currency 3 2 3 2" xfId="183" xr:uid="{00000000-0005-0000-0000-0000000B0000}"/>
    <cellStyle name="Currency 3 2 3 2 10" xfId="9100" xr:uid="{CEBE1F40-0923-46C6-AB84-DD4DAB20CD81}"/>
    <cellStyle name="Currency 3 2 3 2 10 2" xfId="35938" xr:uid="{522D1176-854A-499F-9F5B-4752BB222D90}"/>
    <cellStyle name="Currency 3 2 3 2 10 3" xfId="18423" xr:uid="{6074B59D-4AF5-4629-B94D-C57D3C950A9C}"/>
    <cellStyle name="Currency 3 2 3 2 11" xfId="27490" xr:uid="{1883930E-B05C-4DA5-9B7D-999D8FAE3722}"/>
    <cellStyle name="Currency 3 2 3 2 12" xfId="19043" xr:uid="{86F38198-BA8A-4258-8812-687A970F176B}"/>
    <cellStyle name="Currency 3 2 3 2 13" xfId="9746" xr:uid="{1061D9E2-76E8-492D-A472-1C89BD113B8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42714" xr:uid="{3525B367-06B9-4A6E-81F8-1B4493EE8506}"/>
    <cellStyle name="Currency 3 2 3 2 2 2 2 3" xfId="34267" xr:uid="{D039EB10-AE20-401B-A2F7-159A607D77D0}"/>
    <cellStyle name="Currency 3 2 3 2 2 2 2 4" xfId="25819" xr:uid="{DF470AF9-6B86-443F-9AAB-D3D7643CE242}"/>
    <cellStyle name="Currency 3 2 3 2 2 2 2 5" xfId="16522" xr:uid="{D28C4767-9254-4F3E-BA1D-204A0E876A2B}"/>
    <cellStyle name="Currency 3 2 3 2 2 2 3" xfId="38497" xr:uid="{CD695BE3-13EF-4B09-8041-087A61F826E2}"/>
    <cellStyle name="Currency 3 2 3 2 2 2 4" xfId="30049" xr:uid="{D1813C6F-A219-4C4E-9A5F-86FB27627D72}"/>
    <cellStyle name="Currency 3 2 3 2 2 2 5" xfId="21602" xr:uid="{DDFAB233-2A98-4CD0-AE54-93D055DC8B51}"/>
    <cellStyle name="Currency 3 2 3 2 2 2 6" xfId="12305" xr:uid="{F0AC2A14-0026-4352-9A21-C188DCCC7499}"/>
    <cellStyle name="Currency 3 2 3 2 2 3" xfId="5051" xr:uid="{00000000-0005-0000-0000-0000040B0000}"/>
    <cellStyle name="Currency 3 2 3 2 2 3 2" xfId="40569" xr:uid="{4E572B01-112B-40E8-849C-1841ED6A7E6E}"/>
    <cellStyle name="Currency 3 2 3 2 2 3 3" xfId="32122" xr:uid="{23240332-8F34-42AD-BF9A-2A37D8F84EB5}"/>
    <cellStyle name="Currency 3 2 3 2 2 3 4" xfId="23674" xr:uid="{49D09A71-B624-4FF8-B2A2-563A3BC6E8B9}"/>
    <cellStyle name="Currency 3 2 3 2 2 3 5" xfId="14377" xr:uid="{DF7AFA1F-E771-48CC-8BA5-7D84C0CC1A15}"/>
    <cellStyle name="Currency 3 2 3 2 2 4" xfId="9525" xr:uid="{759374BA-DDD8-4F33-9655-B300986F8700}"/>
    <cellStyle name="Currency 3 2 3 2 2 4 2" xfId="36352" xr:uid="{8800440F-6976-4FDD-A83D-A29A993BB6BC}"/>
    <cellStyle name="Currency 3 2 3 2 2 4 3" xfId="18838" xr:uid="{7863E53D-5D65-44F6-941B-F42719642903}"/>
    <cellStyle name="Currency 3 2 3 2 2 5" xfId="27904" xr:uid="{0A51F773-E7F3-48EE-9836-FF3E92BED064}"/>
    <cellStyle name="Currency 3 2 3 2 2 6" xfId="19457" xr:uid="{242F5317-6CF6-4A53-A3F4-63F786A4FC4A}"/>
    <cellStyle name="Currency 3 2 3 2 2 7" xfId="10160" xr:uid="{6E21BC37-7EC5-4DDC-99CF-FB1524D9EDEC}"/>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43127" xr:uid="{C2D4D1E7-B88F-4008-92FB-9F334FA610B4}"/>
    <cellStyle name="Currency 3 2 3 2 3 2 2 3" xfId="34680" xr:uid="{D98F60C9-E229-4767-B13C-50B853155025}"/>
    <cellStyle name="Currency 3 2 3 2 3 2 2 4" xfId="26232" xr:uid="{BD8DC3FD-578C-4629-A2B7-2BA05479C30B}"/>
    <cellStyle name="Currency 3 2 3 2 3 2 2 5" xfId="16935" xr:uid="{F416ACEC-E0BC-454F-A6AF-A55BE0A4105C}"/>
    <cellStyle name="Currency 3 2 3 2 3 2 3" xfId="38910" xr:uid="{0B46D14A-9DBE-4EB9-ADD1-59D6104BB839}"/>
    <cellStyle name="Currency 3 2 3 2 3 2 4" xfId="30462" xr:uid="{95F13B07-2540-454B-B3C6-DC4E714785AA}"/>
    <cellStyle name="Currency 3 2 3 2 3 2 5" xfId="22015" xr:uid="{8B9695FB-2341-499A-867F-F5FC12021534}"/>
    <cellStyle name="Currency 3 2 3 2 3 2 6" xfId="12718" xr:uid="{F28838B4-C9C7-4592-B59F-D1B6403CF2E5}"/>
    <cellStyle name="Currency 3 2 3 2 3 3" xfId="5464" xr:uid="{00000000-0005-0000-0000-0000080B0000}"/>
    <cellStyle name="Currency 3 2 3 2 3 3 2" xfId="40982" xr:uid="{742D5D70-CC7D-4CFF-B7AA-519506C9A2AA}"/>
    <cellStyle name="Currency 3 2 3 2 3 3 3" xfId="32535" xr:uid="{61EF419C-4F99-4D9F-B83B-AA2506DCF148}"/>
    <cellStyle name="Currency 3 2 3 2 3 3 4" xfId="24087" xr:uid="{3309482B-C198-4786-906A-B48A86A4725A}"/>
    <cellStyle name="Currency 3 2 3 2 3 3 5" xfId="14790" xr:uid="{8C2366FE-B45D-4D4E-986A-E0821893DB82}"/>
    <cellStyle name="Currency 3 2 3 2 3 4" xfId="36765" xr:uid="{BC4100F7-73FE-4B35-9BCA-586EE757CD51}"/>
    <cellStyle name="Currency 3 2 3 2 3 5" xfId="28317" xr:uid="{E47943A0-7C65-4D49-A2C2-C1D4352D1ED8}"/>
    <cellStyle name="Currency 3 2 3 2 3 6" xfId="19870" xr:uid="{5DB70F9E-5502-448B-B8D3-B993A6385F80}"/>
    <cellStyle name="Currency 3 2 3 2 3 7" xfId="10573" xr:uid="{1633B8B6-AB76-40C6-A752-A71F739BD4CE}"/>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43540" xr:uid="{394B08A9-B5B3-48CD-9405-CF3FCF8089E3}"/>
    <cellStyle name="Currency 3 2 3 2 4 2 2 3" xfId="35093" xr:uid="{6839F13C-73A3-4783-B57B-49656830E07A}"/>
    <cellStyle name="Currency 3 2 3 2 4 2 2 4" xfId="26645" xr:uid="{6A95A993-D405-4F41-ADF2-C34F65FB14DB}"/>
    <cellStyle name="Currency 3 2 3 2 4 2 2 5" xfId="17348" xr:uid="{16BB3DAB-A3AB-49E9-9CF3-B8C2E2B07D77}"/>
    <cellStyle name="Currency 3 2 3 2 4 2 3" xfId="39323" xr:uid="{5405B2DB-19BC-491B-B8CF-496EF03E2849}"/>
    <cellStyle name="Currency 3 2 3 2 4 2 4" xfId="30875" xr:uid="{DDB6F49B-1573-4B90-90B5-1AD233F08F40}"/>
    <cellStyle name="Currency 3 2 3 2 4 2 5" xfId="22428" xr:uid="{3C580294-CB61-4B27-BDB5-3D5DCF8E2E2C}"/>
    <cellStyle name="Currency 3 2 3 2 4 2 6" xfId="13131" xr:uid="{BFD0B7D6-DE55-4877-917A-76C86CB16DA5}"/>
    <cellStyle name="Currency 3 2 3 2 4 3" xfId="5877" xr:uid="{00000000-0005-0000-0000-00000C0B0000}"/>
    <cellStyle name="Currency 3 2 3 2 4 3 2" xfId="41395" xr:uid="{F5040640-9F86-4A06-8023-5B3755E7DD7E}"/>
    <cellStyle name="Currency 3 2 3 2 4 3 3" xfId="32948" xr:uid="{209B051D-A92D-43C4-8B5F-C3D134790C08}"/>
    <cellStyle name="Currency 3 2 3 2 4 3 4" xfId="24500" xr:uid="{6A8A2BAE-A227-412D-A2B3-75B0EA593ED9}"/>
    <cellStyle name="Currency 3 2 3 2 4 3 5" xfId="15203" xr:uid="{D22DE448-21FD-4D92-AEEE-D93A243C737C}"/>
    <cellStyle name="Currency 3 2 3 2 4 4" xfId="37178" xr:uid="{9893CECC-8CB9-42AD-A29A-DF81A062689A}"/>
    <cellStyle name="Currency 3 2 3 2 4 5" xfId="28730" xr:uid="{AEE4DA4F-8545-4402-8B24-57A8CD01A3A2}"/>
    <cellStyle name="Currency 3 2 3 2 4 6" xfId="20283" xr:uid="{980DEE2A-2CE1-4A1B-B35A-B572BAB3A516}"/>
    <cellStyle name="Currency 3 2 3 2 4 7" xfId="10986" xr:uid="{9B4ED9D9-D588-49B9-A738-8A8F32BA1196}"/>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43953" xr:uid="{541BA26E-7DDA-4B7D-9241-1AD9066F931E}"/>
    <cellStyle name="Currency 3 2 3 2 5 2 2 3" xfId="35506" xr:uid="{9CAEE5A5-1B04-4637-B817-82B09CA8C0FF}"/>
    <cellStyle name="Currency 3 2 3 2 5 2 2 4" xfId="27058" xr:uid="{F5F3359C-29D2-4C67-A6C4-06294AAC05AB}"/>
    <cellStyle name="Currency 3 2 3 2 5 2 2 5" xfId="17761" xr:uid="{348E0BF1-8828-4E32-BBD5-D5D8679CCD49}"/>
    <cellStyle name="Currency 3 2 3 2 5 2 3" xfId="39736" xr:uid="{9149EC98-845E-4888-873F-B340465E14D8}"/>
    <cellStyle name="Currency 3 2 3 2 5 2 4" xfId="31288" xr:uid="{4458F7E7-B783-41D3-A6CB-A01BBF4F2D52}"/>
    <cellStyle name="Currency 3 2 3 2 5 2 5" xfId="22841" xr:uid="{B14D4D57-DC80-430D-8B92-54ED6FE71BE5}"/>
    <cellStyle name="Currency 3 2 3 2 5 2 6" xfId="13544" xr:uid="{411AB312-3527-4C11-950F-897149FE52E2}"/>
    <cellStyle name="Currency 3 2 3 2 5 3" xfId="6290" xr:uid="{00000000-0005-0000-0000-0000100B0000}"/>
    <cellStyle name="Currency 3 2 3 2 5 3 2" xfId="41808" xr:uid="{761E8940-2032-4E45-B7CA-6A0375BED584}"/>
    <cellStyle name="Currency 3 2 3 2 5 3 3" xfId="33361" xr:uid="{719BFC43-8F7C-4518-81DF-5D9F884FDF19}"/>
    <cellStyle name="Currency 3 2 3 2 5 3 4" xfId="24913" xr:uid="{13DF5462-7254-40E1-981D-4D98A002442D}"/>
    <cellStyle name="Currency 3 2 3 2 5 3 5" xfId="15616" xr:uid="{7CA30FA1-AF51-44F3-80FD-80B2C565F184}"/>
    <cellStyle name="Currency 3 2 3 2 5 4" xfId="37591" xr:uid="{2BE40743-6F32-474D-AB38-EDBF1B660840}"/>
    <cellStyle name="Currency 3 2 3 2 5 5" xfId="29143" xr:uid="{832C817F-D50F-4059-BFF9-79A9F234A958}"/>
    <cellStyle name="Currency 3 2 3 2 5 6" xfId="20696" xr:uid="{50EB3A40-5BBC-4E17-BC90-0C8642147AB4}"/>
    <cellStyle name="Currency 3 2 3 2 5 7" xfId="11399" xr:uid="{E3D11D63-3BB4-4A46-B96A-145602F4CCDC}"/>
    <cellStyle name="Currency 3 2 3 2 6" xfId="2419" xr:uid="{00000000-0005-0000-0000-0000110B0000}"/>
    <cellStyle name="Currency 3 2 3 2 6 2" xfId="6703" xr:uid="{00000000-0005-0000-0000-0000120B0000}"/>
    <cellStyle name="Currency 3 2 3 2 6 2 2" xfId="42221" xr:uid="{5665A14F-02B6-48F1-9FD7-543C2B61B269}"/>
    <cellStyle name="Currency 3 2 3 2 6 2 3" xfId="33774" xr:uid="{AB09C54C-E3D8-4591-A5D7-61F360704395}"/>
    <cellStyle name="Currency 3 2 3 2 6 2 4" xfId="25326" xr:uid="{EAB3F1B5-42C0-47D2-A608-BCE01EFD8BFC}"/>
    <cellStyle name="Currency 3 2 3 2 6 2 5" xfId="16029" xr:uid="{78C785E9-0AC4-414B-8BC6-FC6410063A9D}"/>
    <cellStyle name="Currency 3 2 3 2 6 3" xfId="38004" xr:uid="{F1834005-9644-4CD0-8207-556F9367BDF9}"/>
    <cellStyle name="Currency 3 2 3 2 6 4" xfId="29556" xr:uid="{87BDF105-FF16-4CAE-8560-C2D9FA21F6B4}"/>
    <cellStyle name="Currency 3 2 3 2 6 5" xfId="21109" xr:uid="{C4A66A85-0BDA-462A-A7DC-818BD4A5CB01}"/>
    <cellStyle name="Currency 3 2 3 2 6 6" xfId="11812" xr:uid="{CF693FF6-89F6-4896-86AD-5C7025613130}"/>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42538" xr:uid="{79873CAC-0C96-49D2-9C03-0C47DB98633F}"/>
    <cellStyle name="Currency 3 2 3 2 8 2 3" xfId="34091" xr:uid="{A93657AD-45E2-4AAA-AF79-F793951535A3}"/>
    <cellStyle name="Currency 3 2 3 2 8 2 4" xfId="25643" xr:uid="{567904A6-E233-4992-9EA9-307034599AC9}"/>
    <cellStyle name="Currency 3 2 3 2 8 2 5" xfId="16346" xr:uid="{13ED4B13-B474-4818-BE40-852F5D15E4CC}"/>
    <cellStyle name="Currency 3 2 3 2 8 3" xfId="38321" xr:uid="{A0CF23EA-EA6C-4642-A5CA-660217AFDEB3}"/>
    <cellStyle name="Currency 3 2 3 2 8 4" xfId="29873" xr:uid="{E03413C0-215E-413B-830B-13C23929DC8B}"/>
    <cellStyle name="Currency 3 2 3 2 8 5" xfId="21426" xr:uid="{16FDAC76-E5C6-4C7F-A229-47681A9FDEC4}"/>
    <cellStyle name="Currency 3 2 3 2 8 6" xfId="12129" xr:uid="{89AE1126-0FF1-4196-BA5C-E8970B9D92D8}"/>
    <cellStyle name="Currency 3 2 3 2 9" xfId="4637" xr:uid="{00000000-0005-0000-0000-0000160B0000}"/>
    <cellStyle name="Currency 3 2 3 2 9 2" xfId="40155" xr:uid="{73FE45D7-1DF0-4CB1-82D0-7ADDF7E89E5F}"/>
    <cellStyle name="Currency 3 2 3 2 9 3" xfId="31708" xr:uid="{610E4100-1004-40B2-A7E8-494D140403AF}"/>
    <cellStyle name="Currency 3 2 3 2 9 4" xfId="23260" xr:uid="{C2594534-AE7C-4A03-A9F1-564AA93B4A4C}"/>
    <cellStyle name="Currency 3 2 3 2 9 5" xfId="13963" xr:uid="{199C67A9-B722-46B4-AB29-303AA0BA3FFB}"/>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42713" xr:uid="{0493E759-2111-488A-A9FD-3E1A08F71695}"/>
    <cellStyle name="Currency 3 2 3 3 2 2 3" xfId="34266" xr:uid="{22E21A3D-A60B-4200-B098-E87D4AD46D8A}"/>
    <cellStyle name="Currency 3 2 3 3 2 2 4" xfId="25818" xr:uid="{B30BAF8C-0C70-4195-8F9E-237DDB2E8C4F}"/>
    <cellStyle name="Currency 3 2 3 3 2 2 5" xfId="16521" xr:uid="{A1BCA798-97DB-4A6F-BEE9-2502B2A3A147}"/>
    <cellStyle name="Currency 3 2 3 3 2 3" xfId="38496" xr:uid="{CEF22EB0-3E6C-4716-B037-429E59B99ACF}"/>
    <cellStyle name="Currency 3 2 3 3 2 4" xfId="30048" xr:uid="{7040E9F8-7FC2-419F-858C-3A5AFFCB9E1A}"/>
    <cellStyle name="Currency 3 2 3 3 2 5" xfId="21601" xr:uid="{877A82E3-05C6-4BEB-ADD1-A053BA765698}"/>
    <cellStyle name="Currency 3 2 3 3 2 6" xfId="12304" xr:uid="{57A7B599-1B63-4E8D-A3A1-78FE9BFE8ADE}"/>
    <cellStyle name="Currency 3 2 3 3 3" xfId="5050" xr:uid="{00000000-0005-0000-0000-00001A0B0000}"/>
    <cellStyle name="Currency 3 2 3 3 3 2" xfId="40568" xr:uid="{34BB2186-9A75-4584-92F9-714EFCC41D64}"/>
    <cellStyle name="Currency 3 2 3 3 3 3" xfId="32121" xr:uid="{C1977BF7-E380-4A6F-BF47-A81F3A4BA3E5}"/>
    <cellStyle name="Currency 3 2 3 3 3 4" xfId="23673" xr:uid="{0EE2338D-4ADA-4B81-948B-D7811D6A3C93}"/>
    <cellStyle name="Currency 3 2 3 3 3 5" xfId="14376" xr:uid="{6CF2537E-FFFC-4578-8A3C-044BE5FA9991}"/>
    <cellStyle name="Currency 3 2 3 3 4" xfId="9318" xr:uid="{AA73873E-8E72-4FDE-A22E-F5D80E2A87B1}"/>
    <cellStyle name="Currency 3 2 3 3 4 2" xfId="36351" xr:uid="{F21ED467-2C63-4AB6-8285-1EBD1E63137A}"/>
    <cellStyle name="Currency 3 2 3 3 4 3" xfId="18631" xr:uid="{FE81BCED-02ED-49F2-B2B2-0FDEFB2B4157}"/>
    <cellStyle name="Currency 3 2 3 3 5" xfId="27903" xr:uid="{011CE69D-F16B-4C55-B70B-6F0BD1999F6C}"/>
    <cellStyle name="Currency 3 2 3 3 6" xfId="19456" xr:uid="{27BF47A4-D673-486B-A937-1A532A809CE3}"/>
    <cellStyle name="Currency 3 2 3 3 7" xfId="10159" xr:uid="{AE02CE89-FBBA-4663-8A79-4904ACB506A5}"/>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43126" xr:uid="{C504F5DF-D911-4B19-8FF1-F5DA222DF54F}"/>
    <cellStyle name="Currency 3 2 3 4 2 2 3" xfId="34679" xr:uid="{4A87646C-214F-48A5-89CD-64176E1EF2FC}"/>
    <cellStyle name="Currency 3 2 3 4 2 2 4" xfId="26231" xr:uid="{B5E0CA3F-E657-4229-BA52-92E2BDBD0574}"/>
    <cellStyle name="Currency 3 2 3 4 2 2 5" xfId="16934" xr:uid="{96CEB87E-49D9-4E92-84D4-E3A3A59A5057}"/>
    <cellStyle name="Currency 3 2 3 4 2 3" xfId="38909" xr:uid="{E2B3736A-7539-40B9-B1F3-CA250A4358B4}"/>
    <cellStyle name="Currency 3 2 3 4 2 4" xfId="30461" xr:uid="{B7AB4335-CD80-4640-8ABD-E2795985D20E}"/>
    <cellStyle name="Currency 3 2 3 4 2 5" xfId="22014" xr:uid="{53CB8959-90BC-469E-A4DB-DBE0878E221D}"/>
    <cellStyle name="Currency 3 2 3 4 2 6" xfId="12717" xr:uid="{F5E0AA2F-C593-4C57-B19E-41FF85FC7890}"/>
    <cellStyle name="Currency 3 2 3 4 3" xfId="5463" xr:uid="{00000000-0005-0000-0000-00001E0B0000}"/>
    <cellStyle name="Currency 3 2 3 4 3 2" xfId="40981" xr:uid="{B0242B91-17FD-4782-B722-8B896EA6ED47}"/>
    <cellStyle name="Currency 3 2 3 4 3 3" xfId="32534" xr:uid="{3FD61D1B-E777-4841-94E2-EE0025817FF8}"/>
    <cellStyle name="Currency 3 2 3 4 3 4" xfId="24086" xr:uid="{CFEF1FD5-1A68-4510-BD8B-E7AC3CEDE25B}"/>
    <cellStyle name="Currency 3 2 3 4 3 5" xfId="14789" xr:uid="{15EF4D29-5068-4EE7-9852-65EF35BFC11F}"/>
    <cellStyle name="Currency 3 2 3 4 4" xfId="36764" xr:uid="{FFDB72C5-B0EB-4EA0-81EE-E30F7085DE8C}"/>
    <cellStyle name="Currency 3 2 3 4 5" xfId="28316" xr:uid="{DEEEA6EC-FAA2-464C-A6FF-5F4C35C8CE97}"/>
    <cellStyle name="Currency 3 2 3 4 6" xfId="19869" xr:uid="{7DCDC3D2-F96E-428C-B337-8A4935E3834A}"/>
    <cellStyle name="Currency 3 2 3 4 7" xfId="10572" xr:uid="{C8BEE171-A2AD-4405-B1C7-453572AF5EC5}"/>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43539" xr:uid="{FF7140B6-CB0A-47A6-A346-BF5391840AE3}"/>
    <cellStyle name="Currency 3 2 3 5 2 2 3" xfId="35092" xr:uid="{FC3ADD41-32E4-4F39-B986-E95DEEF4122D}"/>
    <cellStyle name="Currency 3 2 3 5 2 2 4" xfId="26644" xr:uid="{B5E11185-54A6-4FB8-AE92-A160C6445FBF}"/>
    <cellStyle name="Currency 3 2 3 5 2 2 5" xfId="17347" xr:uid="{6AEB936A-0DAD-4AF6-B4CE-D453BC4C1235}"/>
    <cellStyle name="Currency 3 2 3 5 2 3" xfId="39322" xr:uid="{74B7C2A3-FBFC-4108-9003-2C79D1365D56}"/>
    <cellStyle name="Currency 3 2 3 5 2 4" xfId="30874" xr:uid="{F7623A89-8C31-4F8A-8DE7-2C9B7451CEB3}"/>
    <cellStyle name="Currency 3 2 3 5 2 5" xfId="22427" xr:uid="{BCAB13A5-646E-4080-8707-F45909DA701F}"/>
    <cellStyle name="Currency 3 2 3 5 2 6" xfId="13130" xr:uid="{680C1D9D-B4A9-456A-9441-D843EEDD89D9}"/>
    <cellStyle name="Currency 3 2 3 5 3" xfId="5876" xr:uid="{00000000-0005-0000-0000-0000220B0000}"/>
    <cellStyle name="Currency 3 2 3 5 3 2" xfId="41394" xr:uid="{3AC6F91D-D9D0-4F01-9120-262270D14F9A}"/>
    <cellStyle name="Currency 3 2 3 5 3 3" xfId="32947" xr:uid="{D2964184-6A53-482D-91E1-E1458D3A9FA1}"/>
    <cellStyle name="Currency 3 2 3 5 3 4" xfId="24499" xr:uid="{095D5989-73CD-43A6-A71E-CF8A8607D407}"/>
    <cellStyle name="Currency 3 2 3 5 3 5" xfId="15202" xr:uid="{7507977E-E33A-41D0-9C4D-E2AF9E435B55}"/>
    <cellStyle name="Currency 3 2 3 5 4" xfId="37177" xr:uid="{A9F8312D-E9E4-451A-8CD6-879BE0F7B324}"/>
    <cellStyle name="Currency 3 2 3 5 5" xfId="28729" xr:uid="{C368B3D9-BB67-434D-8189-6BF78CCACA62}"/>
    <cellStyle name="Currency 3 2 3 5 6" xfId="20282" xr:uid="{0002D965-B1A4-44A3-B26D-654F73118EF5}"/>
    <cellStyle name="Currency 3 2 3 5 7" xfId="10985" xr:uid="{EF6A4964-9751-434D-9B4B-B0155200227E}"/>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43952" xr:uid="{4DE83389-1FD3-427E-9FAC-A440CFAB8143}"/>
    <cellStyle name="Currency 3 2 3 6 2 2 3" xfId="35505" xr:uid="{351AB55C-8AFA-4809-A371-67657DA74A99}"/>
    <cellStyle name="Currency 3 2 3 6 2 2 4" xfId="27057" xr:uid="{ACC33350-2AC7-4BC7-8563-9DC701A31CEF}"/>
    <cellStyle name="Currency 3 2 3 6 2 2 5" xfId="17760" xr:uid="{74CF67A8-72F5-4209-A3CA-D854318D29CE}"/>
    <cellStyle name="Currency 3 2 3 6 2 3" xfId="39735" xr:uid="{9C140D23-428B-4654-A5F7-B7D0BA7904D6}"/>
    <cellStyle name="Currency 3 2 3 6 2 4" xfId="31287" xr:uid="{445F7B90-172F-4567-918A-799D53699E9B}"/>
    <cellStyle name="Currency 3 2 3 6 2 5" xfId="22840" xr:uid="{86ECF73B-0D09-4DD0-9BC6-8927469973AE}"/>
    <cellStyle name="Currency 3 2 3 6 2 6" xfId="13543" xr:uid="{6F9E414E-4BB8-4854-8D6B-919E9527B782}"/>
    <cellStyle name="Currency 3 2 3 6 3" xfId="6289" xr:uid="{00000000-0005-0000-0000-0000260B0000}"/>
    <cellStyle name="Currency 3 2 3 6 3 2" xfId="41807" xr:uid="{244B884D-4454-4AF7-A2E7-BAD5B926B296}"/>
    <cellStyle name="Currency 3 2 3 6 3 3" xfId="33360" xr:uid="{49908732-ED57-48BF-8396-2588704B6F08}"/>
    <cellStyle name="Currency 3 2 3 6 3 4" xfId="24912" xr:uid="{88E6CDFC-EA0D-4219-8964-7AAD484D4E58}"/>
    <cellStyle name="Currency 3 2 3 6 3 5" xfId="15615" xr:uid="{4C70E99F-1BC7-4091-B975-449741850A75}"/>
    <cellStyle name="Currency 3 2 3 6 4" xfId="37590" xr:uid="{02F127CF-DD38-42D7-B9B8-4DCEAEBBED9C}"/>
    <cellStyle name="Currency 3 2 3 6 5" xfId="29142" xr:uid="{07971CDA-99AD-438B-B7F4-045E5E8D0944}"/>
    <cellStyle name="Currency 3 2 3 6 6" xfId="20695" xr:uid="{4FA4CD6B-EF0B-4EFB-8AF2-4D2E6DC4710D}"/>
    <cellStyle name="Currency 3 2 3 6 7" xfId="11398" xr:uid="{1A72C779-36A1-4F3C-B7FD-95B16A11B560}"/>
    <cellStyle name="Currency 3 2 3 7" xfId="2418" xr:uid="{00000000-0005-0000-0000-0000270B0000}"/>
    <cellStyle name="Currency 3 2 3 7 2" xfId="6702" xr:uid="{00000000-0005-0000-0000-0000280B0000}"/>
    <cellStyle name="Currency 3 2 3 7 2 2" xfId="42220" xr:uid="{5C7E506A-E220-4E4A-AB9D-7E1D47405B41}"/>
    <cellStyle name="Currency 3 2 3 7 2 3" xfId="33773" xr:uid="{0EB28025-4569-43C8-BE59-FFE1178F5DF0}"/>
    <cellStyle name="Currency 3 2 3 7 2 4" xfId="25325" xr:uid="{D32F2C4D-2A89-4E26-97BC-57AEDBFCBDEF}"/>
    <cellStyle name="Currency 3 2 3 7 2 5" xfId="16028" xr:uid="{07C9F9DA-B3E1-4F7C-A48F-A6A4A5EA9B0D}"/>
    <cellStyle name="Currency 3 2 3 7 3" xfId="38003" xr:uid="{45C7D856-5B59-4277-B997-7B5DCF642605}"/>
    <cellStyle name="Currency 3 2 3 7 4" xfId="29555" xr:uid="{37813B8F-A82E-4207-AB82-ADB00200360D}"/>
    <cellStyle name="Currency 3 2 3 7 5" xfId="21108" xr:uid="{6F9C270E-BF6D-43AA-8D45-9737B6BF0AD1}"/>
    <cellStyle name="Currency 3 2 3 7 6" xfId="11811" xr:uid="{717E1BFB-B634-4949-84C9-F4F9325EDD12}"/>
    <cellStyle name="Currency 3 2 3 8" xfId="2715" xr:uid="{00000000-0005-0000-0000-0000290B0000}"/>
    <cellStyle name="Currency 3 2 3 9" xfId="2796" xr:uid="{00000000-0005-0000-0000-00002A0B0000}"/>
    <cellStyle name="Currency 3 2 3 9 2" xfId="7019" xr:uid="{00000000-0005-0000-0000-00002B0B0000}"/>
    <cellStyle name="Currency 3 2 3 9 2 2" xfId="42537" xr:uid="{E139D511-4E10-452E-BE77-776533486E62}"/>
    <cellStyle name="Currency 3 2 3 9 2 3" xfId="34090" xr:uid="{55DF99E4-0444-4F26-A169-F0C2654E008E}"/>
    <cellStyle name="Currency 3 2 3 9 2 4" xfId="25642" xr:uid="{66848D30-B2B8-4241-B282-C1BC4F4388C0}"/>
    <cellStyle name="Currency 3 2 3 9 2 5" xfId="16345" xr:uid="{DDCB59FD-6E87-42FC-9C32-437FF00FA5B6}"/>
    <cellStyle name="Currency 3 2 3 9 3" xfId="38320" xr:uid="{E81CA02A-8E0C-407C-AC88-38749A6BDBE8}"/>
    <cellStyle name="Currency 3 2 3 9 4" xfId="29872" xr:uid="{0823AA49-4372-4DD8-8DC4-B657A6D2D98A}"/>
    <cellStyle name="Currency 3 2 3 9 5" xfId="21425" xr:uid="{0539EBD5-DCC1-4471-86EB-7E8A411445A4}"/>
    <cellStyle name="Currency 3 2 3 9 6" xfId="12128" xr:uid="{C88D2206-596B-4A6C-914B-D8FE80BF4CD2}"/>
    <cellStyle name="Currency 3 2 4" xfId="184" xr:uid="{00000000-0005-0000-0000-00002C0B0000}"/>
    <cellStyle name="Currency 3 2 4 10" xfId="8997" xr:uid="{DF9FC022-A382-4135-990F-F43A472E13BA}"/>
    <cellStyle name="Currency 3 2 4 10 2" xfId="35939" xr:uid="{3F3D3A14-F9F7-4271-A930-CDFA1084B401}"/>
    <cellStyle name="Currency 3 2 4 10 3" xfId="18320" xr:uid="{44F620AD-0128-48D3-B69E-A3EB72922A60}"/>
    <cellStyle name="Currency 3 2 4 11" xfId="27491" xr:uid="{B6391CC5-3B6A-4AF2-AB3D-110AA0900DE1}"/>
    <cellStyle name="Currency 3 2 4 12" xfId="19044" xr:uid="{4A90897D-28F6-4DEB-ACBF-657072402655}"/>
    <cellStyle name="Currency 3 2 4 13" xfId="9747" xr:uid="{175D6151-EFA1-40F6-84A9-3690C5D1622A}"/>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42715" xr:uid="{315FED30-BEBD-4022-A863-DEEC3BAB10BD}"/>
    <cellStyle name="Currency 3 2 4 2 2 2 3" xfId="34268" xr:uid="{302B8733-7C5D-452C-B64B-3E04175FA276}"/>
    <cellStyle name="Currency 3 2 4 2 2 2 4" xfId="25820" xr:uid="{D921CC58-5450-4527-A411-79617729B6D0}"/>
    <cellStyle name="Currency 3 2 4 2 2 2 5" xfId="16523" xr:uid="{285A1CA1-46A2-4DAF-98B5-4522D59F1B99}"/>
    <cellStyle name="Currency 3 2 4 2 2 3" xfId="38498" xr:uid="{0700DBC2-A4A9-491E-AC1E-C37045A47D84}"/>
    <cellStyle name="Currency 3 2 4 2 2 4" xfId="30050" xr:uid="{BFBBC7E5-B1F6-40CF-870D-0F66535A29AF}"/>
    <cellStyle name="Currency 3 2 4 2 2 5" xfId="21603" xr:uid="{EA8D6A1B-7430-424E-9FA4-0AB881FD986A}"/>
    <cellStyle name="Currency 3 2 4 2 2 6" xfId="12306" xr:uid="{B0A5C96D-F0C3-4619-94B4-BF804A31FF03}"/>
    <cellStyle name="Currency 3 2 4 2 3" xfId="5052" xr:uid="{00000000-0005-0000-0000-0000300B0000}"/>
    <cellStyle name="Currency 3 2 4 2 3 2" xfId="40570" xr:uid="{C8131A91-F647-4D74-B0A5-E98EC7B4A246}"/>
    <cellStyle name="Currency 3 2 4 2 3 3" xfId="32123" xr:uid="{B3DC2C23-D729-4FDD-BDA9-B0F59FF3BDCF}"/>
    <cellStyle name="Currency 3 2 4 2 3 4" xfId="23675" xr:uid="{61FAC78C-D792-461A-876A-EE5BEFA823C1}"/>
    <cellStyle name="Currency 3 2 4 2 3 5" xfId="14378" xr:uid="{FC09D974-5248-475F-B4AC-D27C2868C9C5}"/>
    <cellStyle name="Currency 3 2 4 2 4" xfId="9422" xr:uid="{3049B7CE-611E-437A-AD0B-2E3AA5E2E50D}"/>
    <cellStyle name="Currency 3 2 4 2 4 2" xfId="36353" xr:uid="{398DCA3C-9D79-4795-BF30-41E662CF8E90}"/>
    <cellStyle name="Currency 3 2 4 2 4 3" xfId="18735" xr:uid="{F46BE063-2A49-47CC-A07C-965AF0C388F1}"/>
    <cellStyle name="Currency 3 2 4 2 5" xfId="27905" xr:uid="{3D2E7CDB-03FF-4E3B-8381-78ED228BA518}"/>
    <cellStyle name="Currency 3 2 4 2 6" xfId="19458" xr:uid="{B1ED9889-D2FB-4865-89AE-70A5CDF37A30}"/>
    <cellStyle name="Currency 3 2 4 2 7" xfId="10161" xr:uid="{B86E9F99-CB9A-4800-9BE2-1769DB7B8374}"/>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43128" xr:uid="{5F53E72A-71D2-4A04-B3FD-5625A8128520}"/>
    <cellStyle name="Currency 3 2 4 3 2 2 3" xfId="34681" xr:uid="{813C52CC-9D29-4DC0-99FE-C288B5A37BE2}"/>
    <cellStyle name="Currency 3 2 4 3 2 2 4" xfId="26233" xr:uid="{29415F82-A161-416F-AEC4-1C536B8E4592}"/>
    <cellStyle name="Currency 3 2 4 3 2 2 5" xfId="16936" xr:uid="{523090DC-1317-4FA1-93E8-B728A1099ED4}"/>
    <cellStyle name="Currency 3 2 4 3 2 3" xfId="38911" xr:uid="{72D6ED1B-ACDE-41BF-9824-CF64FF6513B6}"/>
    <cellStyle name="Currency 3 2 4 3 2 4" xfId="30463" xr:uid="{2237BA7A-DBDE-4730-ADF4-4DD7E61A914E}"/>
    <cellStyle name="Currency 3 2 4 3 2 5" xfId="22016" xr:uid="{E2745CDA-1665-4BA8-8F60-3748068BB98B}"/>
    <cellStyle name="Currency 3 2 4 3 2 6" xfId="12719" xr:uid="{5E961098-8F3E-4D6C-9FBB-AB4BF6645FF2}"/>
    <cellStyle name="Currency 3 2 4 3 3" xfId="5465" xr:uid="{00000000-0005-0000-0000-0000340B0000}"/>
    <cellStyle name="Currency 3 2 4 3 3 2" xfId="40983" xr:uid="{3EAECDA6-9928-4DF2-9740-418A7040A4A8}"/>
    <cellStyle name="Currency 3 2 4 3 3 3" xfId="32536" xr:uid="{B51E4FA9-CF63-448F-85EE-D843063AC9DF}"/>
    <cellStyle name="Currency 3 2 4 3 3 4" xfId="24088" xr:uid="{1B9EA77D-81FE-4219-9DED-E70B93B36E19}"/>
    <cellStyle name="Currency 3 2 4 3 3 5" xfId="14791" xr:uid="{9CE34EAD-5296-45ED-8B05-72D56B34B42D}"/>
    <cellStyle name="Currency 3 2 4 3 4" xfId="36766" xr:uid="{286D9F8A-6B1E-4545-8F50-A78A8D4F43AD}"/>
    <cellStyle name="Currency 3 2 4 3 5" xfId="28318" xr:uid="{B69143B6-D4D5-4589-B69D-1A8ADFD0EA9F}"/>
    <cellStyle name="Currency 3 2 4 3 6" xfId="19871" xr:uid="{2C2E97E8-B779-4BE3-A12C-E31597D64FAD}"/>
    <cellStyle name="Currency 3 2 4 3 7" xfId="10574" xr:uid="{6CCEB3AB-315C-4F76-B7D8-0369395A263F}"/>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43541" xr:uid="{F069ACC3-3DED-4003-9C51-7F1944404BB0}"/>
    <cellStyle name="Currency 3 2 4 4 2 2 3" xfId="35094" xr:uid="{7ECA5B39-7587-4857-B277-135D2961B7D8}"/>
    <cellStyle name="Currency 3 2 4 4 2 2 4" xfId="26646" xr:uid="{F94C8A94-719C-4542-B9C9-32FA70105B06}"/>
    <cellStyle name="Currency 3 2 4 4 2 2 5" xfId="17349" xr:uid="{E30D3720-BC99-4973-9213-B2438210CC31}"/>
    <cellStyle name="Currency 3 2 4 4 2 3" xfId="39324" xr:uid="{FF5440CB-7430-4A97-BE62-2A19280933DA}"/>
    <cellStyle name="Currency 3 2 4 4 2 4" xfId="30876" xr:uid="{038C1AF8-BDBC-4DB4-B61C-2FEE50FB55AF}"/>
    <cellStyle name="Currency 3 2 4 4 2 5" xfId="22429" xr:uid="{D6526183-3EFB-4684-AC5A-69AD8524459B}"/>
    <cellStyle name="Currency 3 2 4 4 2 6" xfId="13132" xr:uid="{6932D877-7819-48AB-ABE4-9270AFD40916}"/>
    <cellStyle name="Currency 3 2 4 4 3" xfId="5878" xr:uid="{00000000-0005-0000-0000-0000380B0000}"/>
    <cellStyle name="Currency 3 2 4 4 3 2" xfId="41396" xr:uid="{D2BB62D9-223E-4144-BFAA-DE1229E65768}"/>
    <cellStyle name="Currency 3 2 4 4 3 3" xfId="32949" xr:uid="{9377346A-0887-4619-A720-B57A9A58D397}"/>
    <cellStyle name="Currency 3 2 4 4 3 4" xfId="24501" xr:uid="{F0B1A15F-6A32-47C2-8635-4DD579B23DB0}"/>
    <cellStyle name="Currency 3 2 4 4 3 5" xfId="15204" xr:uid="{93F09B5A-2C3C-4ABB-AF17-B5BA311D337E}"/>
    <cellStyle name="Currency 3 2 4 4 4" xfId="37179" xr:uid="{5A2515E6-7325-45E6-8C84-7B68C7F49151}"/>
    <cellStyle name="Currency 3 2 4 4 5" xfId="28731" xr:uid="{F9F389B2-4EA1-48BC-873A-4DDB1A7E39FE}"/>
    <cellStyle name="Currency 3 2 4 4 6" xfId="20284" xr:uid="{B61E6216-2CA7-4DF1-8061-0B52418DFA46}"/>
    <cellStyle name="Currency 3 2 4 4 7" xfId="10987" xr:uid="{4369CB42-2E35-40DF-8680-8DCEC6CA5A70}"/>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43954" xr:uid="{BB71CD9B-A746-42FC-84D3-283537DA1436}"/>
    <cellStyle name="Currency 3 2 4 5 2 2 3" xfId="35507" xr:uid="{D2449A20-0036-484E-B192-12B6E2ED59AC}"/>
    <cellStyle name="Currency 3 2 4 5 2 2 4" xfId="27059" xr:uid="{8F7FAEFE-B5AB-4DD4-9429-23C88EA004AD}"/>
    <cellStyle name="Currency 3 2 4 5 2 2 5" xfId="17762" xr:uid="{BC4642ED-71FD-431A-8050-76911E965421}"/>
    <cellStyle name="Currency 3 2 4 5 2 3" xfId="39737" xr:uid="{A529B67A-A63D-403E-9EF6-214472B0A8EE}"/>
    <cellStyle name="Currency 3 2 4 5 2 4" xfId="31289" xr:uid="{039851A6-0F46-43D9-87C7-5C44D2747C95}"/>
    <cellStyle name="Currency 3 2 4 5 2 5" xfId="22842" xr:uid="{414E71FE-A7FD-4AAB-A520-56A43F300BB7}"/>
    <cellStyle name="Currency 3 2 4 5 2 6" xfId="13545" xr:uid="{F88BA404-6CE7-4524-A6B8-B51176B77E23}"/>
    <cellStyle name="Currency 3 2 4 5 3" xfId="6291" xr:uid="{00000000-0005-0000-0000-00003C0B0000}"/>
    <cellStyle name="Currency 3 2 4 5 3 2" xfId="41809" xr:uid="{10F30A00-9749-4833-9193-C24F37404414}"/>
    <cellStyle name="Currency 3 2 4 5 3 3" xfId="33362" xr:uid="{AF9D64B1-1975-49AE-9D5B-D6A2200363FA}"/>
    <cellStyle name="Currency 3 2 4 5 3 4" xfId="24914" xr:uid="{EB2A89D1-3BF8-438D-81B4-26DEB710A61A}"/>
    <cellStyle name="Currency 3 2 4 5 3 5" xfId="15617" xr:uid="{7C8740C9-9C50-410F-B428-4B03D58A1833}"/>
    <cellStyle name="Currency 3 2 4 5 4" xfId="37592" xr:uid="{61ED9C2E-A647-4964-BE73-EF3A5E086413}"/>
    <cellStyle name="Currency 3 2 4 5 5" xfId="29144" xr:uid="{8748E805-D8A3-439F-A580-E9574A7EA5AD}"/>
    <cellStyle name="Currency 3 2 4 5 6" xfId="20697" xr:uid="{C6AF00BC-9EDF-4F57-BBDF-E2BF825959E8}"/>
    <cellStyle name="Currency 3 2 4 5 7" xfId="11400" xr:uid="{DAA18519-31B0-4D50-9E13-20C81AA8ABB9}"/>
    <cellStyle name="Currency 3 2 4 6" xfId="2420" xr:uid="{00000000-0005-0000-0000-00003D0B0000}"/>
    <cellStyle name="Currency 3 2 4 6 2" xfId="6704" xr:uid="{00000000-0005-0000-0000-00003E0B0000}"/>
    <cellStyle name="Currency 3 2 4 6 2 2" xfId="42222" xr:uid="{1B80F538-946A-47A5-9C3A-8AA4C44337D9}"/>
    <cellStyle name="Currency 3 2 4 6 2 3" xfId="33775" xr:uid="{8718885B-8956-4C2B-806B-8266F0889B26}"/>
    <cellStyle name="Currency 3 2 4 6 2 4" xfId="25327" xr:uid="{8EA25CE3-1455-4497-BFFD-0EBEBCA90EE3}"/>
    <cellStyle name="Currency 3 2 4 6 2 5" xfId="16030" xr:uid="{54FEA1E7-D338-4850-AA50-C27E1359672D}"/>
    <cellStyle name="Currency 3 2 4 6 3" xfId="38005" xr:uid="{B397544F-644F-44C6-8E83-16910FECE3AE}"/>
    <cellStyle name="Currency 3 2 4 6 4" xfId="29557" xr:uid="{8E701C59-28AA-40F1-A950-315F84B13341}"/>
    <cellStyle name="Currency 3 2 4 6 5" xfId="21110" xr:uid="{60BA99EB-B814-49CB-86CC-438345ADBFF7}"/>
    <cellStyle name="Currency 3 2 4 6 6" xfId="11813" xr:uid="{6DA0AE84-DC1F-4621-8030-BA1B1C50AC5D}"/>
    <cellStyle name="Currency 3 2 4 7" xfId="2717" xr:uid="{00000000-0005-0000-0000-00003F0B0000}"/>
    <cellStyle name="Currency 3 2 4 8" xfId="2798" xr:uid="{00000000-0005-0000-0000-0000400B0000}"/>
    <cellStyle name="Currency 3 2 4 8 2" xfId="7021" xr:uid="{00000000-0005-0000-0000-0000410B0000}"/>
    <cellStyle name="Currency 3 2 4 8 2 2" xfId="42539" xr:uid="{AB87C1DD-DECE-4FEB-A312-ABA3838CDE6C}"/>
    <cellStyle name="Currency 3 2 4 8 2 3" xfId="34092" xr:uid="{22A666B3-B420-4B15-BF96-B9A4FBCF0E65}"/>
    <cellStyle name="Currency 3 2 4 8 2 4" xfId="25644" xr:uid="{7556155C-CFD6-4C06-BB2E-7D1827D75884}"/>
    <cellStyle name="Currency 3 2 4 8 2 5" xfId="16347" xr:uid="{9DF99B6A-A649-40AE-ABD4-ED14DA875066}"/>
    <cellStyle name="Currency 3 2 4 8 3" xfId="38322" xr:uid="{FF28C89C-A3B4-4D5E-916D-A6C766459EE7}"/>
    <cellStyle name="Currency 3 2 4 8 4" xfId="29874" xr:uid="{93D49B47-03A6-410E-A16A-2B38A59BCB4B}"/>
    <cellStyle name="Currency 3 2 4 8 5" xfId="21427" xr:uid="{0E442242-9D1D-4279-ADEC-0B9314BFFDC9}"/>
    <cellStyle name="Currency 3 2 4 8 6" xfId="12130" xr:uid="{B8175F64-FB91-4097-ABF8-66869B956EE7}"/>
    <cellStyle name="Currency 3 2 4 9" xfId="4638" xr:uid="{00000000-0005-0000-0000-0000420B0000}"/>
    <cellStyle name="Currency 3 2 4 9 2" xfId="40156" xr:uid="{68DD8653-4936-45A3-A732-20A6B3D25908}"/>
    <cellStyle name="Currency 3 2 4 9 3" xfId="31709" xr:uid="{783961F0-956A-45A0-BE11-93741E66B034}"/>
    <cellStyle name="Currency 3 2 4 9 4" xfId="23261" xr:uid="{336C629F-1783-4EEF-AF9E-D944D8119B9D}"/>
    <cellStyle name="Currency 3 2 4 9 5" xfId="13964" xr:uid="{16241165-5978-4A90-8AF0-C587C7450831}"/>
    <cellStyle name="Currency 3 2 5" xfId="185" xr:uid="{00000000-0005-0000-0000-0000430B0000}"/>
    <cellStyle name="Currency 3 2 5 10" xfId="9214" xr:uid="{3D0A867F-0B9D-4759-A509-3EC1084E197B}"/>
    <cellStyle name="Currency 3 2 5 10 2" xfId="35940" xr:uid="{1233C354-0A18-4C6B-B724-FA66F0A970AE}"/>
    <cellStyle name="Currency 3 2 5 10 3" xfId="18528" xr:uid="{D6CFF3B9-4884-423D-B9F6-D0230F6668F2}"/>
    <cellStyle name="Currency 3 2 5 11" xfId="27492" xr:uid="{585C7D13-B8A4-4390-B157-4ACAFFF00D33}"/>
    <cellStyle name="Currency 3 2 5 12" xfId="19045" xr:uid="{6238FB68-753F-4F86-A477-CD083C279033}"/>
    <cellStyle name="Currency 3 2 5 13" xfId="9748" xr:uid="{577F9DD0-5D7B-416E-9D15-2F8C11DA85AC}"/>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42716" xr:uid="{1FA0CA8A-414D-417C-A6A0-0C23327E5423}"/>
    <cellStyle name="Currency 3 2 5 2 2 2 3" xfId="34269" xr:uid="{AD157DE0-8F72-4A50-851A-0634450C1718}"/>
    <cellStyle name="Currency 3 2 5 2 2 2 4" xfId="25821" xr:uid="{2E481F35-B65B-494A-9067-B0ECE1669189}"/>
    <cellStyle name="Currency 3 2 5 2 2 2 5" xfId="16524" xr:uid="{81E1402B-3373-4643-8AEE-6E7E517CDA38}"/>
    <cellStyle name="Currency 3 2 5 2 2 3" xfId="38499" xr:uid="{B8D8923F-771D-40E7-9F4A-4FC98683D2E2}"/>
    <cellStyle name="Currency 3 2 5 2 2 4" xfId="30051" xr:uid="{B920786D-7F7E-4505-A9F3-F450A14BC948}"/>
    <cellStyle name="Currency 3 2 5 2 2 5" xfId="21604" xr:uid="{EAD155E1-B2DE-46A5-9056-63403B7F0D1E}"/>
    <cellStyle name="Currency 3 2 5 2 2 6" xfId="12307" xr:uid="{AFED5B56-E03C-4FA0-8014-4BEA267133C8}"/>
    <cellStyle name="Currency 3 2 5 2 3" xfId="5053" xr:uid="{00000000-0005-0000-0000-0000470B0000}"/>
    <cellStyle name="Currency 3 2 5 2 3 2" xfId="40571" xr:uid="{20DBE2EF-AF00-4F91-B735-5390D3019FB8}"/>
    <cellStyle name="Currency 3 2 5 2 3 3" xfId="32124" xr:uid="{1F45090D-FDCB-4AA4-A18E-13F7DC39DC57}"/>
    <cellStyle name="Currency 3 2 5 2 3 4" xfId="23676" xr:uid="{538A9DEE-3C64-495A-A6C8-65091AFB6C5E}"/>
    <cellStyle name="Currency 3 2 5 2 3 5" xfId="14379" xr:uid="{D1D089D3-BDB7-40B9-9274-506E34EC31E7}"/>
    <cellStyle name="Currency 3 2 5 2 4" xfId="9597" xr:uid="{6E2F978E-96E4-4AD8-B4BD-1BE9D7E96A2F}"/>
    <cellStyle name="Currency 3 2 5 2 4 2" xfId="36354" xr:uid="{1BE21E5A-16EA-4E8D-A5BF-875643D0C500}"/>
    <cellStyle name="Currency 3 2 5 2 4 3" xfId="18899" xr:uid="{50872EE0-ABED-4D03-9C24-45A2FE1E52E8}"/>
    <cellStyle name="Currency 3 2 5 2 5" xfId="27906" xr:uid="{9F9F2C96-C28E-4413-AC32-EC215BE25A0D}"/>
    <cellStyle name="Currency 3 2 5 2 6" xfId="19459" xr:uid="{ECE94571-9FC7-4A82-8483-7A0F0BF3F80A}"/>
    <cellStyle name="Currency 3 2 5 2 7" xfId="10162" xr:uid="{34763EC2-06CF-420F-BE96-05CB9708E128}"/>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43129" xr:uid="{98A8E263-B9C7-448A-96C2-484ADC5E8D70}"/>
    <cellStyle name="Currency 3 2 5 3 2 2 3" xfId="34682" xr:uid="{48F9ECB5-DF8B-4333-8073-BCBC0E178225}"/>
    <cellStyle name="Currency 3 2 5 3 2 2 4" xfId="26234" xr:uid="{775D111B-F93A-4B04-98E4-6FAADF4C1D61}"/>
    <cellStyle name="Currency 3 2 5 3 2 2 5" xfId="16937" xr:uid="{F0E06077-4919-4DAA-A32E-3561CAF2E453}"/>
    <cellStyle name="Currency 3 2 5 3 2 3" xfId="38912" xr:uid="{A381DD9F-0EF7-410E-85A9-118B23F39086}"/>
    <cellStyle name="Currency 3 2 5 3 2 4" xfId="30464" xr:uid="{994A4C83-72D1-4834-804F-25C9AE75914C}"/>
    <cellStyle name="Currency 3 2 5 3 2 5" xfId="22017" xr:uid="{E1C16502-042B-4350-9417-9E53CE95B0A7}"/>
    <cellStyle name="Currency 3 2 5 3 2 6" xfId="12720" xr:uid="{D37978DE-298E-4B89-94FC-48B666D03D2E}"/>
    <cellStyle name="Currency 3 2 5 3 3" xfId="5466" xr:uid="{00000000-0005-0000-0000-00004B0B0000}"/>
    <cellStyle name="Currency 3 2 5 3 3 2" xfId="40984" xr:uid="{E9AA78A8-2696-45C8-B6E6-C1ACF73A8513}"/>
    <cellStyle name="Currency 3 2 5 3 3 3" xfId="32537" xr:uid="{85612040-BAB6-4D7D-9305-386422246879}"/>
    <cellStyle name="Currency 3 2 5 3 3 4" xfId="24089" xr:uid="{8E25A711-171B-4A4D-9B94-F1BB2C57A365}"/>
    <cellStyle name="Currency 3 2 5 3 3 5" xfId="14792" xr:uid="{B16D9C2D-3E75-4B12-8DC0-968D41851B2E}"/>
    <cellStyle name="Currency 3 2 5 3 4" xfId="36767" xr:uid="{5576750C-CDD4-4899-ADDF-799A270B9685}"/>
    <cellStyle name="Currency 3 2 5 3 5" xfId="28319" xr:uid="{04598968-1E3F-42C6-BD6D-413F41537062}"/>
    <cellStyle name="Currency 3 2 5 3 6" xfId="19872" xr:uid="{CED6F042-CE15-43F3-A4B7-DC27C638A3FD}"/>
    <cellStyle name="Currency 3 2 5 3 7" xfId="10575" xr:uid="{5858BB61-8BDA-4CE2-BD7E-326550338C52}"/>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43542" xr:uid="{0EAE65C6-1E6B-4AB3-A380-87158813C388}"/>
    <cellStyle name="Currency 3 2 5 4 2 2 3" xfId="35095" xr:uid="{9EFC7A33-8719-4A40-8E9F-474CA8B5E4AF}"/>
    <cellStyle name="Currency 3 2 5 4 2 2 4" xfId="26647" xr:uid="{DFB40D5D-8C10-496E-AEDA-B52B51B45437}"/>
    <cellStyle name="Currency 3 2 5 4 2 2 5" xfId="17350" xr:uid="{C2AE384E-9B4F-4581-870E-480622C8683C}"/>
    <cellStyle name="Currency 3 2 5 4 2 3" xfId="39325" xr:uid="{3516410F-1B30-42AA-B018-C7E83CEC71C5}"/>
    <cellStyle name="Currency 3 2 5 4 2 4" xfId="30877" xr:uid="{B2D62002-B6BF-45BE-A638-39B182166CB6}"/>
    <cellStyle name="Currency 3 2 5 4 2 5" xfId="22430" xr:uid="{7BB76508-FEA7-4E3F-B4CF-6AAA26AABFD2}"/>
    <cellStyle name="Currency 3 2 5 4 2 6" xfId="13133" xr:uid="{F7C1E9DA-41D4-451D-9608-41C298F7E17C}"/>
    <cellStyle name="Currency 3 2 5 4 3" xfId="5879" xr:uid="{00000000-0005-0000-0000-00004F0B0000}"/>
    <cellStyle name="Currency 3 2 5 4 3 2" xfId="41397" xr:uid="{BEF867BC-05CB-4C10-9CFF-E155DBF65719}"/>
    <cellStyle name="Currency 3 2 5 4 3 3" xfId="32950" xr:uid="{57A69EAC-01D8-4797-9F94-7554D02AC04F}"/>
    <cellStyle name="Currency 3 2 5 4 3 4" xfId="24502" xr:uid="{F8479991-B408-48E0-88F2-3AFD32C11B96}"/>
    <cellStyle name="Currency 3 2 5 4 3 5" xfId="15205" xr:uid="{98747411-C8AF-4795-B029-CE4924F7E26C}"/>
    <cellStyle name="Currency 3 2 5 4 4" xfId="37180" xr:uid="{B05AC7D2-527E-45EF-A4B9-E359CFC087D4}"/>
    <cellStyle name="Currency 3 2 5 4 5" xfId="28732" xr:uid="{9F1A089E-C489-443D-B830-1F1BCD34DBA7}"/>
    <cellStyle name="Currency 3 2 5 4 6" xfId="20285" xr:uid="{68E2AA8C-CDE4-4B05-A2D1-FDB881EF25DD}"/>
    <cellStyle name="Currency 3 2 5 4 7" xfId="10988" xr:uid="{FD17EBFC-673C-47CD-B4D3-B524A0F29CA0}"/>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43955" xr:uid="{C740B529-F033-44ED-8B77-E9830132FD71}"/>
    <cellStyle name="Currency 3 2 5 5 2 2 3" xfId="35508" xr:uid="{BF681EF3-895B-4FDF-95C5-FDE0EF36560D}"/>
    <cellStyle name="Currency 3 2 5 5 2 2 4" xfId="27060" xr:uid="{445EFC60-6A04-4B7B-BBB4-D16DC96046E3}"/>
    <cellStyle name="Currency 3 2 5 5 2 2 5" xfId="17763" xr:uid="{BDE0D255-9AF9-417B-A165-87AE64EC20BB}"/>
    <cellStyle name="Currency 3 2 5 5 2 3" xfId="39738" xr:uid="{862C70C4-4DD3-4B9A-903E-61451F7103E1}"/>
    <cellStyle name="Currency 3 2 5 5 2 4" xfId="31290" xr:uid="{6E306105-FADD-455C-AFDA-C7153ADCB30E}"/>
    <cellStyle name="Currency 3 2 5 5 2 5" xfId="22843" xr:uid="{59368530-12FE-41F6-B57D-CD813BFDDF75}"/>
    <cellStyle name="Currency 3 2 5 5 2 6" xfId="13546" xr:uid="{96EC9A1D-9E35-47A7-BFE3-DA10AEFF8A6C}"/>
    <cellStyle name="Currency 3 2 5 5 3" xfId="6292" xr:uid="{00000000-0005-0000-0000-0000530B0000}"/>
    <cellStyle name="Currency 3 2 5 5 3 2" xfId="41810" xr:uid="{E95219CF-A435-4F92-B590-86DB371297F5}"/>
    <cellStyle name="Currency 3 2 5 5 3 3" xfId="33363" xr:uid="{7EB8BB90-F4C1-4A7E-A353-876C7D71BDD8}"/>
    <cellStyle name="Currency 3 2 5 5 3 4" xfId="24915" xr:uid="{3F06F390-7B22-4485-AA65-0AB9CD254DD7}"/>
    <cellStyle name="Currency 3 2 5 5 3 5" xfId="15618" xr:uid="{EAC542F0-60A9-42D1-A806-8CE53DD21E9C}"/>
    <cellStyle name="Currency 3 2 5 5 4" xfId="37593" xr:uid="{1EDF767E-5A0B-4258-8A9A-1E92220910A4}"/>
    <cellStyle name="Currency 3 2 5 5 5" xfId="29145" xr:uid="{CE2D3FAF-63C1-44F7-92B0-A5EB15D04F00}"/>
    <cellStyle name="Currency 3 2 5 5 6" xfId="20698" xr:uid="{6F55A31B-895F-47C7-A63E-A8F4AE76D4D7}"/>
    <cellStyle name="Currency 3 2 5 5 7" xfId="11401" xr:uid="{46900F17-F756-4965-8BDE-A0986648A2F9}"/>
    <cellStyle name="Currency 3 2 5 6" xfId="2421" xr:uid="{00000000-0005-0000-0000-0000540B0000}"/>
    <cellStyle name="Currency 3 2 5 6 2" xfId="6705" xr:uid="{00000000-0005-0000-0000-0000550B0000}"/>
    <cellStyle name="Currency 3 2 5 6 2 2" xfId="42223" xr:uid="{6B7889E5-6064-4859-AFE4-79D32D51B31A}"/>
    <cellStyle name="Currency 3 2 5 6 2 3" xfId="33776" xr:uid="{1F79747C-665C-445E-B612-5EB55D240AEA}"/>
    <cellStyle name="Currency 3 2 5 6 2 4" xfId="25328" xr:uid="{053B7958-14B8-4494-B454-4A9235FE5E81}"/>
    <cellStyle name="Currency 3 2 5 6 2 5" xfId="16031" xr:uid="{ED22DBDA-785F-42FC-BC34-0B5EDDD471E1}"/>
    <cellStyle name="Currency 3 2 5 6 3" xfId="38006" xr:uid="{DC09CEB5-6FD2-416F-AA0A-7FF884BAB9E1}"/>
    <cellStyle name="Currency 3 2 5 6 4" xfId="29558" xr:uid="{ADEF2A75-E4E4-47EF-9BF5-AB80E1320E2F}"/>
    <cellStyle name="Currency 3 2 5 6 5" xfId="21111" xr:uid="{57B167AC-B0CB-42BE-B194-D2F40C2A802D}"/>
    <cellStyle name="Currency 3 2 5 6 6" xfId="11814" xr:uid="{6A899242-1CA2-434C-8F6E-74C3C871B124}"/>
    <cellStyle name="Currency 3 2 5 7" xfId="2718" xr:uid="{00000000-0005-0000-0000-0000560B0000}"/>
    <cellStyle name="Currency 3 2 5 8" xfId="2799" xr:uid="{00000000-0005-0000-0000-0000570B0000}"/>
    <cellStyle name="Currency 3 2 5 8 2" xfId="7022" xr:uid="{00000000-0005-0000-0000-0000580B0000}"/>
    <cellStyle name="Currency 3 2 5 8 2 2" xfId="42540" xr:uid="{DF2CCE84-7BA5-4CE5-93FE-3AC65441ECAF}"/>
    <cellStyle name="Currency 3 2 5 8 2 3" xfId="34093" xr:uid="{9DFFD983-3401-4911-A590-09E50B86198D}"/>
    <cellStyle name="Currency 3 2 5 8 2 4" xfId="25645" xr:uid="{DCE3F2EC-6B7A-4BD2-81FA-933243E3CBED}"/>
    <cellStyle name="Currency 3 2 5 8 2 5" xfId="16348" xr:uid="{A9D439E2-9B1E-4FB9-BC66-D8F667D735F0}"/>
    <cellStyle name="Currency 3 2 5 8 3" xfId="38323" xr:uid="{268EE5B9-BE4B-47C3-8CAD-9CEACF681640}"/>
    <cellStyle name="Currency 3 2 5 8 4" xfId="29875" xr:uid="{CC1DEEE5-9D53-4D65-9269-D5789F567DB3}"/>
    <cellStyle name="Currency 3 2 5 8 5" xfId="21428" xr:uid="{6FF2DDC7-1821-4457-A845-C4F0A9FBFED3}"/>
    <cellStyle name="Currency 3 2 5 8 6" xfId="12131" xr:uid="{220ADEDB-DC55-4729-B847-9CF125FCA548}"/>
    <cellStyle name="Currency 3 2 5 9" xfId="4639" xr:uid="{00000000-0005-0000-0000-0000590B0000}"/>
    <cellStyle name="Currency 3 2 5 9 2" xfId="40157" xr:uid="{F24467F0-8EB7-4E7E-A9A3-074595DC854B}"/>
    <cellStyle name="Currency 3 2 5 9 3" xfId="31710" xr:uid="{155C8993-2976-4370-895A-97769F78799D}"/>
    <cellStyle name="Currency 3 2 5 9 4" xfId="23262" xr:uid="{614B5B82-EDF7-486E-952D-FA8433CC9B99}"/>
    <cellStyle name="Currency 3 2 5 9 5" xfId="13965" xr:uid="{D56A0BC6-7558-429E-800B-F92DF5052B29}"/>
    <cellStyle name="Currency 3 2 6" xfId="9583" xr:uid="{653EC571-6DFB-4D44-8156-8097E74D2DD4}"/>
    <cellStyle name="Currency 3 2 7" xfId="8790" xr:uid="{4F16186C-C154-4E9A-B12A-0E13D64C3701}"/>
    <cellStyle name="Currency 3 2 7 2" xfId="18113" xr:uid="{0C9531BA-AF08-44AA-B514-D6C0BAD27359}"/>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42541" xr:uid="{41786BF9-CFF2-446F-AD26-C2C7707FCDBA}"/>
    <cellStyle name="Currency 5 2 2 2 10 2 3" xfId="34094" xr:uid="{89022844-A965-4252-8C36-09F1D27DCC75}"/>
    <cellStyle name="Currency 5 2 2 2 10 2 4" xfId="25646" xr:uid="{E2EC9BF2-3B57-4E4D-ACD8-6F606E191337}"/>
    <cellStyle name="Currency 5 2 2 2 10 2 5" xfId="16349" xr:uid="{4627CBAF-D4E4-464A-B8E3-632115556FE0}"/>
    <cellStyle name="Currency 5 2 2 2 10 3" xfId="38324" xr:uid="{BA210B09-CF2E-4C92-A58A-ABBFCC5380C0}"/>
    <cellStyle name="Currency 5 2 2 2 10 4" xfId="29876" xr:uid="{3ACDEFB3-57BF-4CFB-A9A2-632E81D7210A}"/>
    <cellStyle name="Currency 5 2 2 2 10 5" xfId="21429" xr:uid="{D3BF3269-5FAF-4F11-B032-51371E213D15}"/>
    <cellStyle name="Currency 5 2 2 2 10 6" xfId="12132" xr:uid="{51B79EF2-1D7D-433B-92FE-8896E6A4CB69}"/>
    <cellStyle name="Currency 5 2 2 2 11" xfId="4640" xr:uid="{00000000-0005-0000-0000-00006C0B0000}"/>
    <cellStyle name="Currency 5 2 2 2 11 2" xfId="40158" xr:uid="{7373DE0D-7838-42E8-B2FC-A3402AA8A40D}"/>
    <cellStyle name="Currency 5 2 2 2 11 3" xfId="31711" xr:uid="{D2D04E8C-BB34-4EFB-B56B-C219845169FB}"/>
    <cellStyle name="Currency 5 2 2 2 11 4" xfId="23263" xr:uid="{67D91CF8-39CF-418D-A7DF-7AD5E23D0BB7}"/>
    <cellStyle name="Currency 5 2 2 2 11 5" xfId="13966" xr:uid="{F0AA25B1-1B6E-4EB6-AE17-E0E442F445A8}"/>
    <cellStyle name="Currency 5 2 2 2 12" xfId="8809" xr:uid="{6E2B58BA-BC61-49BF-A0FE-5BC79A050654}"/>
    <cellStyle name="Currency 5 2 2 2 12 2" xfId="35941" xr:uid="{49EE5064-F552-4FF4-8C43-F3BD6C87E7A4}"/>
    <cellStyle name="Currency 5 2 2 2 12 3" xfId="18132" xr:uid="{6B11F878-DBE0-42B9-9161-1BF8F20D5EA2}"/>
    <cellStyle name="Currency 5 2 2 2 13" xfId="27493" xr:uid="{5F856151-5054-4983-8A85-D0D53B679A54}"/>
    <cellStyle name="Currency 5 2 2 2 14" xfId="19046" xr:uid="{937A04C0-C9AF-423E-ADF2-EC08E6EFFA72}"/>
    <cellStyle name="Currency 5 2 2 2 15" xfId="9749" xr:uid="{EE599A51-1C63-460F-BD33-7A6E9725D149}"/>
    <cellStyle name="Currency 5 2 2 2 2" xfId="197" xr:uid="{00000000-0005-0000-0000-00006D0B0000}"/>
    <cellStyle name="Currency 5 2 2 2 2 10" xfId="4641" xr:uid="{00000000-0005-0000-0000-00006E0B0000}"/>
    <cellStyle name="Currency 5 2 2 2 2 10 2" xfId="40159" xr:uid="{9EA4F498-DBBF-4D20-AB51-8A7D77F6C593}"/>
    <cellStyle name="Currency 5 2 2 2 2 10 3" xfId="31712" xr:uid="{F3ABED45-8CF9-4D4C-88D9-A5C16B10C49F}"/>
    <cellStyle name="Currency 5 2 2 2 2 10 4" xfId="23264" xr:uid="{A898564D-6DB4-4ED7-AEFC-0C9A46B74621}"/>
    <cellStyle name="Currency 5 2 2 2 2 10 5" xfId="13967" xr:uid="{6EDE916A-769D-4828-ADBA-7EB135A97F97}"/>
    <cellStyle name="Currency 5 2 2 2 2 11" xfId="8912" xr:uid="{4079D27E-F98B-4445-AE20-FFD848158756}"/>
    <cellStyle name="Currency 5 2 2 2 2 11 2" xfId="35942" xr:uid="{06B63E62-962C-46B0-BB87-0EFA5204E7D1}"/>
    <cellStyle name="Currency 5 2 2 2 2 11 3" xfId="18235" xr:uid="{EA7EA5E0-FECF-4912-A847-5F4D93803275}"/>
    <cellStyle name="Currency 5 2 2 2 2 12" xfId="27494" xr:uid="{B25E8827-7947-4078-B2DE-897EA81BC3D3}"/>
    <cellStyle name="Currency 5 2 2 2 2 13" xfId="19047" xr:uid="{10CC3D1C-CB33-4C2A-B7CF-D35B8A7F47DA}"/>
    <cellStyle name="Currency 5 2 2 2 2 14" xfId="9750" xr:uid="{ACCF05CC-FA8C-4CDC-B9B3-A9E8DF2E114A}"/>
    <cellStyle name="Currency 5 2 2 2 2 2" xfId="198" xr:uid="{00000000-0005-0000-0000-00006F0B0000}"/>
    <cellStyle name="Currency 5 2 2 2 2 2 10" xfId="9119" xr:uid="{2B97CFE9-E9FD-476D-A341-C695293642F3}"/>
    <cellStyle name="Currency 5 2 2 2 2 2 10 2" xfId="35943" xr:uid="{2CDE1446-5E5F-430C-8DC1-270008ABDA2C}"/>
    <cellStyle name="Currency 5 2 2 2 2 2 10 3" xfId="18442" xr:uid="{8B484ECF-17F2-49D5-8ED5-E3224D72FA56}"/>
    <cellStyle name="Currency 5 2 2 2 2 2 11" xfId="27495" xr:uid="{9DE4371F-A926-4B4D-82DA-A7F8CA6530CD}"/>
    <cellStyle name="Currency 5 2 2 2 2 2 12" xfId="19048" xr:uid="{407E5C13-77BD-4E82-82DE-B4F9E3CC2FB2}"/>
    <cellStyle name="Currency 5 2 2 2 2 2 13" xfId="9751" xr:uid="{06B4F287-AFE2-4FD2-A214-457518F06DD8}"/>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42719" xr:uid="{7230E405-017F-4528-BCC5-E4CE363BFFBB}"/>
    <cellStyle name="Currency 5 2 2 2 2 2 2 2 2 3" xfId="34272" xr:uid="{1A70D143-285D-4CD3-845F-92A7F69C7A1A}"/>
    <cellStyle name="Currency 5 2 2 2 2 2 2 2 2 4" xfId="25824" xr:uid="{1FF61239-84E7-42BD-A9EB-0B1387175072}"/>
    <cellStyle name="Currency 5 2 2 2 2 2 2 2 2 5" xfId="16527" xr:uid="{9E92821F-0B97-45AF-B4B1-19CC84B36D78}"/>
    <cellStyle name="Currency 5 2 2 2 2 2 2 2 3" xfId="38502" xr:uid="{DF80EB93-0CA5-455B-A8A5-FDFCEF4037B1}"/>
    <cellStyle name="Currency 5 2 2 2 2 2 2 2 4" xfId="30054" xr:uid="{3545D779-3AE2-4366-A592-6A500CCCC1D8}"/>
    <cellStyle name="Currency 5 2 2 2 2 2 2 2 5" xfId="21607" xr:uid="{1C0E839F-6177-42DB-9637-DAC0FBFAC597}"/>
    <cellStyle name="Currency 5 2 2 2 2 2 2 2 6" xfId="12310" xr:uid="{F34B74C5-463B-4268-9F62-E7BADE74BE49}"/>
    <cellStyle name="Currency 5 2 2 2 2 2 2 3" xfId="5056" xr:uid="{00000000-0005-0000-0000-0000730B0000}"/>
    <cellStyle name="Currency 5 2 2 2 2 2 2 3 2" xfId="40574" xr:uid="{AE73347F-E4A8-4F45-BA02-1BF839CFA5F4}"/>
    <cellStyle name="Currency 5 2 2 2 2 2 2 3 3" xfId="32127" xr:uid="{25B58194-07C6-427A-B993-19FF65209BEA}"/>
    <cellStyle name="Currency 5 2 2 2 2 2 2 3 4" xfId="23679" xr:uid="{5D008889-0359-42C6-A9F1-4D813196BF52}"/>
    <cellStyle name="Currency 5 2 2 2 2 2 2 3 5" xfId="14382" xr:uid="{D5E653B5-1A1F-4933-8132-79B90C59E48C}"/>
    <cellStyle name="Currency 5 2 2 2 2 2 2 4" xfId="9544" xr:uid="{77881B28-843C-4677-B92C-D2A5804BDB97}"/>
    <cellStyle name="Currency 5 2 2 2 2 2 2 4 2" xfId="36357" xr:uid="{781B282E-A0F0-4AA7-9303-FBDEB5765539}"/>
    <cellStyle name="Currency 5 2 2 2 2 2 2 4 3" xfId="18857" xr:uid="{AD4BEB32-C326-4EDD-81AE-831C8DDBDE2E}"/>
    <cellStyle name="Currency 5 2 2 2 2 2 2 5" xfId="27909" xr:uid="{0813637C-F2E3-470E-9E18-C5892892EA28}"/>
    <cellStyle name="Currency 5 2 2 2 2 2 2 6" xfId="19462" xr:uid="{D133A855-CE5E-42A3-A864-C4BF37E9A1B9}"/>
    <cellStyle name="Currency 5 2 2 2 2 2 2 7" xfId="10165" xr:uid="{B046D8D1-6E42-4A96-BB16-6D6E162B4265}"/>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43132" xr:uid="{F12C266B-4CBD-487E-B556-935CFB9E81DB}"/>
    <cellStyle name="Currency 5 2 2 2 2 2 3 2 2 3" xfId="34685" xr:uid="{C759AC60-A09D-42DB-8B40-A2E219F35681}"/>
    <cellStyle name="Currency 5 2 2 2 2 2 3 2 2 4" xfId="26237" xr:uid="{64591E2E-805D-493E-B8B4-4F5520597921}"/>
    <cellStyle name="Currency 5 2 2 2 2 2 3 2 2 5" xfId="16940" xr:uid="{4C7968B1-67AF-425C-9293-D7E73FA9E00F}"/>
    <cellStyle name="Currency 5 2 2 2 2 2 3 2 3" xfId="38915" xr:uid="{C6E4BAAA-5A8D-48DC-B0FE-DC69377E4351}"/>
    <cellStyle name="Currency 5 2 2 2 2 2 3 2 4" xfId="30467" xr:uid="{FB09E3B7-43D5-4CB8-A139-0775B5E92B6E}"/>
    <cellStyle name="Currency 5 2 2 2 2 2 3 2 5" xfId="22020" xr:uid="{36C8BEC0-F4AB-4F8C-816C-0A783DD40E15}"/>
    <cellStyle name="Currency 5 2 2 2 2 2 3 2 6" xfId="12723" xr:uid="{1A060F56-BDED-4C2B-9B98-E0311E4F9A86}"/>
    <cellStyle name="Currency 5 2 2 2 2 2 3 3" xfId="5469" xr:uid="{00000000-0005-0000-0000-0000770B0000}"/>
    <cellStyle name="Currency 5 2 2 2 2 2 3 3 2" xfId="40987" xr:uid="{ED3E6553-2707-425A-8708-FE377F379502}"/>
    <cellStyle name="Currency 5 2 2 2 2 2 3 3 3" xfId="32540" xr:uid="{17738512-F47F-4199-A2D5-EC7E3C306BE7}"/>
    <cellStyle name="Currency 5 2 2 2 2 2 3 3 4" xfId="24092" xr:uid="{E126C268-B167-436B-A155-DFF1BE61CA40}"/>
    <cellStyle name="Currency 5 2 2 2 2 2 3 3 5" xfId="14795" xr:uid="{9DFF1BA9-88FE-420D-8BEE-BBB89423F0FE}"/>
    <cellStyle name="Currency 5 2 2 2 2 2 3 4" xfId="36770" xr:uid="{5E58FAB0-9F1F-4DFA-A907-02336C950585}"/>
    <cellStyle name="Currency 5 2 2 2 2 2 3 5" xfId="28322" xr:uid="{ECC205E5-8439-4406-8572-DD71AC9D2064}"/>
    <cellStyle name="Currency 5 2 2 2 2 2 3 6" xfId="19875" xr:uid="{18B71DC5-D85D-4F41-AB96-AA26130D075D}"/>
    <cellStyle name="Currency 5 2 2 2 2 2 3 7" xfId="10578" xr:uid="{586AD82C-307A-490C-AFE2-4901A1139E79}"/>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43545" xr:uid="{74367AAC-834E-4184-9E1C-E37890DB9697}"/>
    <cellStyle name="Currency 5 2 2 2 2 2 4 2 2 3" xfId="35098" xr:uid="{E451A0B3-E3D5-426B-BADB-5BE7BA2DB3DB}"/>
    <cellStyle name="Currency 5 2 2 2 2 2 4 2 2 4" xfId="26650" xr:uid="{9D312378-AD6E-40DC-A27B-A2041B59DEBC}"/>
    <cellStyle name="Currency 5 2 2 2 2 2 4 2 2 5" xfId="17353" xr:uid="{F1A6409B-61AD-4FED-BC1F-CC07B2E5B92F}"/>
    <cellStyle name="Currency 5 2 2 2 2 2 4 2 3" xfId="39328" xr:uid="{6F25B1DE-F4AC-4EBC-B520-20D3C0FFD33A}"/>
    <cellStyle name="Currency 5 2 2 2 2 2 4 2 4" xfId="30880" xr:uid="{D4E12B7C-3E51-4FE8-A873-70D9A2DB9310}"/>
    <cellStyle name="Currency 5 2 2 2 2 2 4 2 5" xfId="22433" xr:uid="{78F35F92-8D59-43A1-9456-C4D66E21EA07}"/>
    <cellStyle name="Currency 5 2 2 2 2 2 4 2 6" xfId="13136" xr:uid="{2BAC35CB-121E-41E4-90D3-BC62E91382D4}"/>
    <cellStyle name="Currency 5 2 2 2 2 2 4 3" xfId="5882" xr:uid="{00000000-0005-0000-0000-00007B0B0000}"/>
    <cellStyle name="Currency 5 2 2 2 2 2 4 3 2" xfId="41400" xr:uid="{96697447-CEB2-48B7-8A3F-CF3C2AE742D9}"/>
    <cellStyle name="Currency 5 2 2 2 2 2 4 3 3" xfId="32953" xr:uid="{AD12088D-C4CC-4C7F-93D5-B9E874B05661}"/>
    <cellStyle name="Currency 5 2 2 2 2 2 4 3 4" xfId="24505" xr:uid="{4A7B80F8-05C7-4B3B-B43F-8D743AC7C520}"/>
    <cellStyle name="Currency 5 2 2 2 2 2 4 3 5" xfId="15208" xr:uid="{F57E57CD-F513-4251-A4DD-2F5C7C5A20D8}"/>
    <cellStyle name="Currency 5 2 2 2 2 2 4 4" xfId="37183" xr:uid="{DBB96B57-510C-4ACD-A202-DC1A42BEC47C}"/>
    <cellStyle name="Currency 5 2 2 2 2 2 4 5" xfId="28735" xr:uid="{B3FD1E2C-0BC0-4517-A6DC-B2EF37181CA4}"/>
    <cellStyle name="Currency 5 2 2 2 2 2 4 6" xfId="20288" xr:uid="{7D223CCB-E2C3-4C94-AE71-860F3E74A2C2}"/>
    <cellStyle name="Currency 5 2 2 2 2 2 4 7" xfId="10991" xr:uid="{191B7C2F-51D5-4269-ACFE-0F8BB8CA1E54}"/>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43958" xr:uid="{EC01854C-BF6E-49D2-8E3C-973CF6BF7C63}"/>
    <cellStyle name="Currency 5 2 2 2 2 2 5 2 2 3" xfId="35511" xr:uid="{E9213E3D-FF96-4F17-B22E-8B6178897531}"/>
    <cellStyle name="Currency 5 2 2 2 2 2 5 2 2 4" xfId="27063" xr:uid="{5CC1A97D-C148-4F11-9ED3-CEC7ED6B568A}"/>
    <cellStyle name="Currency 5 2 2 2 2 2 5 2 2 5" xfId="17766" xr:uid="{04128CFA-3252-40E6-A041-690DD1065A9D}"/>
    <cellStyle name="Currency 5 2 2 2 2 2 5 2 3" xfId="39741" xr:uid="{E89E940D-8124-449A-8F62-51A5FB33FBC8}"/>
    <cellStyle name="Currency 5 2 2 2 2 2 5 2 4" xfId="31293" xr:uid="{EB1C8BE4-D529-40EC-8F6A-89F901DB6033}"/>
    <cellStyle name="Currency 5 2 2 2 2 2 5 2 5" xfId="22846" xr:uid="{2EA0CFFE-FDAC-44FD-A9EE-F1019423135E}"/>
    <cellStyle name="Currency 5 2 2 2 2 2 5 2 6" xfId="13549" xr:uid="{EBE5B307-69AD-4ADA-BA92-BD6E4D9E7106}"/>
    <cellStyle name="Currency 5 2 2 2 2 2 5 3" xfId="6295" xr:uid="{00000000-0005-0000-0000-00007F0B0000}"/>
    <cellStyle name="Currency 5 2 2 2 2 2 5 3 2" xfId="41813" xr:uid="{55C9690E-C57E-45ED-B3CA-23EB81CD2437}"/>
    <cellStyle name="Currency 5 2 2 2 2 2 5 3 3" xfId="33366" xr:uid="{8AE7DD68-2268-41BE-A2E1-9A226AFDF8A6}"/>
    <cellStyle name="Currency 5 2 2 2 2 2 5 3 4" xfId="24918" xr:uid="{6B49B361-DD6D-4F33-A65D-72EC1615BC59}"/>
    <cellStyle name="Currency 5 2 2 2 2 2 5 3 5" xfId="15621" xr:uid="{84194F0C-07CA-4D72-BB7E-D25175B42C73}"/>
    <cellStyle name="Currency 5 2 2 2 2 2 5 4" xfId="37596" xr:uid="{571DD6DD-0B7C-4BC5-AA59-7B16CAC91673}"/>
    <cellStyle name="Currency 5 2 2 2 2 2 5 5" xfId="29148" xr:uid="{66BF65CD-B5A1-48CC-8927-E79EE8F8E338}"/>
    <cellStyle name="Currency 5 2 2 2 2 2 5 6" xfId="20701" xr:uid="{A80CDD0E-9FD9-4EA0-A7C2-5346D8D5EC90}"/>
    <cellStyle name="Currency 5 2 2 2 2 2 5 7" xfId="11404" xr:uid="{D48CC66C-0092-4C80-ABCD-19BC8AEDA63B}"/>
    <cellStyle name="Currency 5 2 2 2 2 2 6" xfId="2424" xr:uid="{00000000-0005-0000-0000-0000800B0000}"/>
    <cellStyle name="Currency 5 2 2 2 2 2 6 2" xfId="6708" xr:uid="{00000000-0005-0000-0000-0000810B0000}"/>
    <cellStyle name="Currency 5 2 2 2 2 2 6 2 2" xfId="42226" xr:uid="{CEB96B6D-D23E-49B4-9E1F-B0771C3E0F26}"/>
    <cellStyle name="Currency 5 2 2 2 2 2 6 2 3" xfId="33779" xr:uid="{D273C7FA-9175-4EFD-BFCA-B287C20B0202}"/>
    <cellStyle name="Currency 5 2 2 2 2 2 6 2 4" xfId="25331" xr:uid="{5E861344-6B3A-4DAA-AC6C-6A2B71A3B03E}"/>
    <cellStyle name="Currency 5 2 2 2 2 2 6 2 5" xfId="16034" xr:uid="{4CBCD5B3-DBE9-411E-8035-12619809F585}"/>
    <cellStyle name="Currency 5 2 2 2 2 2 6 3" xfId="38009" xr:uid="{9000DF44-6327-4BEC-A4EF-1C4449E9833F}"/>
    <cellStyle name="Currency 5 2 2 2 2 2 6 4" xfId="29561" xr:uid="{24E087D8-72F5-4371-8991-4E6E01F9E780}"/>
    <cellStyle name="Currency 5 2 2 2 2 2 6 5" xfId="21114" xr:uid="{E739637D-FE44-4FA3-8AD5-7B559EC8D0FE}"/>
    <cellStyle name="Currency 5 2 2 2 2 2 6 6" xfId="11817" xr:uid="{3313542C-B266-4F98-92AD-8C2D1CAF7517}"/>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42543" xr:uid="{3D7CFA34-B924-4B89-9F49-EF19E4F8FF22}"/>
    <cellStyle name="Currency 5 2 2 2 2 2 8 2 3" xfId="34096" xr:uid="{0945A8BB-08B8-4BCF-8431-D65E3C0D97EF}"/>
    <cellStyle name="Currency 5 2 2 2 2 2 8 2 4" xfId="25648" xr:uid="{85A8CFF9-F756-474F-A0A3-C81BC791D88E}"/>
    <cellStyle name="Currency 5 2 2 2 2 2 8 2 5" xfId="16351" xr:uid="{49E87507-23CC-42F3-BA9A-60FA695EBA00}"/>
    <cellStyle name="Currency 5 2 2 2 2 2 8 3" xfId="38326" xr:uid="{69594349-6D3F-4336-8FFA-EA1848A00F88}"/>
    <cellStyle name="Currency 5 2 2 2 2 2 8 4" xfId="29878" xr:uid="{90C9A6BC-9CB6-4E18-B3CF-B08B0415E4D8}"/>
    <cellStyle name="Currency 5 2 2 2 2 2 8 5" xfId="21431" xr:uid="{14DB4459-316E-4778-A007-1CEDF4E2992D}"/>
    <cellStyle name="Currency 5 2 2 2 2 2 8 6" xfId="12134" xr:uid="{612F4162-D12A-4F10-94FB-368C99A8614A}"/>
    <cellStyle name="Currency 5 2 2 2 2 2 9" xfId="4642" xr:uid="{00000000-0005-0000-0000-0000850B0000}"/>
    <cellStyle name="Currency 5 2 2 2 2 2 9 2" xfId="40160" xr:uid="{9E5B7632-6D34-4016-91BA-6253BF751A2F}"/>
    <cellStyle name="Currency 5 2 2 2 2 2 9 3" xfId="31713" xr:uid="{ACC5B393-8DF6-4CF0-A4BC-631F859F4ABB}"/>
    <cellStyle name="Currency 5 2 2 2 2 2 9 4" xfId="23265" xr:uid="{832D3D19-D075-4C42-A78E-EA3064532D3D}"/>
    <cellStyle name="Currency 5 2 2 2 2 2 9 5" xfId="13968" xr:uid="{270AB45E-DEC3-406D-97B8-F14AF1FE6D44}"/>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42718" xr:uid="{F330B6EE-06BE-4FD1-B1AE-689290B8B3F4}"/>
    <cellStyle name="Currency 5 2 2 2 2 3 2 2 3" xfId="34271" xr:uid="{85565C54-A562-43CC-8290-D2C5F20E3E2D}"/>
    <cellStyle name="Currency 5 2 2 2 2 3 2 2 4" xfId="25823" xr:uid="{C7D9B62F-E23F-4104-B649-3E0978FAC55B}"/>
    <cellStyle name="Currency 5 2 2 2 2 3 2 2 5" xfId="16526" xr:uid="{109DAE4C-A6B0-4F97-AD89-3AB3321AB373}"/>
    <cellStyle name="Currency 5 2 2 2 2 3 2 3" xfId="38501" xr:uid="{B1DFA7E3-9D42-46EE-A554-4699A911DE26}"/>
    <cellStyle name="Currency 5 2 2 2 2 3 2 4" xfId="30053" xr:uid="{F7B995A9-FE56-4E58-BD36-38A33700A200}"/>
    <cellStyle name="Currency 5 2 2 2 2 3 2 5" xfId="21606" xr:uid="{B4A4C5C6-6555-4D1B-9511-4CFA49457676}"/>
    <cellStyle name="Currency 5 2 2 2 2 3 2 6" xfId="12309" xr:uid="{82A5A847-C6A3-430A-98A9-9751B8E0FFAE}"/>
    <cellStyle name="Currency 5 2 2 2 2 3 3" xfId="5055" xr:uid="{00000000-0005-0000-0000-0000890B0000}"/>
    <cellStyle name="Currency 5 2 2 2 2 3 3 2" xfId="40573" xr:uid="{817D7BA8-B3C6-4FCA-B9D4-DBE530C868A5}"/>
    <cellStyle name="Currency 5 2 2 2 2 3 3 3" xfId="32126" xr:uid="{093EF1D3-4A06-48BB-843A-7899A37A636C}"/>
    <cellStyle name="Currency 5 2 2 2 2 3 3 4" xfId="23678" xr:uid="{BAC32B10-5A8F-4155-9AE8-B32E28116543}"/>
    <cellStyle name="Currency 5 2 2 2 2 3 3 5" xfId="14381" xr:uid="{37C8E37B-160F-452A-A442-19B9EE1855EF}"/>
    <cellStyle name="Currency 5 2 2 2 2 3 4" xfId="9337" xr:uid="{A1FF44B9-A8E0-4A4E-9BE9-DA7FD7E326AE}"/>
    <cellStyle name="Currency 5 2 2 2 2 3 4 2" xfId="36356" xr:uid="{F9744497-FB50-47F5-B046-E729D48E0B6F}"/>
    <cellStyle name="Currency 5 2 2 2 2 3 4 3" xfId="18650" xr:uid="{E6F40EC6-376D-4D37-B375-1C047393675D}"/>
    <cellStyle name="Currency 5 2 2 2 2 3 5" xfId="27908" xr:uid="{2D938429-73B1-4DF7-84A7-D2D1095AC6C0}"/>
    <cellStyle name="Currency 5 2 2 2 2 3 6" xfId="19461" xr:uid="{51C978AD-F43A-4055-AC6B-87C337EFC729}"/>
    <cellStyle name="Currency 5 2 2 2 2 3 7" xfId="10164" xr:uid="{96A5B259-1AF1-46C4-85EE-9E09CB4A03E8}"/>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43131" xr:uid="{B5489264-75FB-49E6-BF62-95D51F594E12}"/>
    <cellStyle name="Currency 5 2 2 2 2 4 2 2 3" xfId="34684" xr:uid="{DC4747FC-9C7B-448D-BE0B-FE45F74B860F}"/>
    <cellStyle name="Currency 5 2 2 2 2 4 2 2 4" xfId="26236" xr:uid="{970069F7-FAD9-4091-9B0E-24BA5CF6AF2E}"/>
    <cellStyle name="Currency 5 2 2 2 2 4 2 2 5" xfId="16939" xr:uid="{D26EA76B-59E4-48B0-9F78-E95C0DD1C6CB}"/>
    <cellStyle name="Currency 5 2 2 2 2 4 2 3" xfId="38914" xr:uid="{768BEE4C-DB31-43ED-8111-66517640E204}"/>
    <cellStyle name="Currency 5 2 2 2 2 4 2 4" xfId="30466" xr:uid="{B8778839-5B36-4E06-B5AF-47EB385DF733}"/>
    <cellStyle name="Currency 5 2 2 2 2 4 2 5" xfId="22019" xr:uid="{AA5D40F0-185A-4416-BC8C-8BE6580DC87F}"/>
    <cellStyle name="Currency 5 2 2 2 2 4 2 6" xfId="12722" xr:uid="{DB12CF2A-83F1-4E6A-9868-6986320EB556}"/>
    <cellStyle name="Currency 5 2 2 2 2 4 3" xfId="5468" xr:uid="{00000000-0005-0000-0000-00008D0B0000}"/>
    <cellStyle name="Currency 5 2 2 2 2 4 3 2" xfId="40986" xr:uid="{91A17CD4-E645-454F-8CF4-FD78B4782CDC}"/>
    <cellStyle name="Currency 5 2 2 2 2 4 3 3" xfId="32539" xr:uid="{076047F5-518C-47C8-90AE-FB31B06CD807}"/>
    <cellStyle name="Currency 5 2 2 2 2 4 3 4" xfId="24091" xr:uid="{B883C2F2-254C-45F8-83A0-D7CED7FC2B1D}"/>
    <cellStyle name="Currency 5 2 2 2 2 4 3 5" xfId="14794" xr:uid="{18883796-B7DE-4659-852A-9EA209D792A6}"/>
    <cellStyle name="Currency 5 2 2 2 2 4 4" xfId="36769" xr:uid="{19D7A957-7D8D-434E-BB7C-FFAB6FD31C55}"/>
    <cellStyle name="Currency 5 2 2 2 2 4 5" xfId="28321" xr:uid="{CE1AA3A4-D592-4C2A-9A5F-D2E3461C879F}"/>
    <cellStyle name="Currency 5 2 2 2 2 4 6" xfId="19874" xr:uid="{73460252-44CD-4E19-B1E3-6F12CF19EBDE}"/>
    <cellStyle name="Currency 5 2 2 2 2 4 7" xfId="10577" xr:uid="{20ABE29E-5CD7-492A-8CF6-35596E83559A}"/>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43544" xr:uid="{43F8D6F6-8A96-4E08-B5C6-E3B29EC4C8C0}"/>
    <cellStyle name="Currency 5 2 2 2 2 5 2 2 3" xfId="35097" xr:uid="{22A434EE-80EB-4202-B884-21653BB1160D}"/>
    <cellStyle name="Currency 5 2 2 2 2 5 2 2 4" xfId="26649" xr:uid="{8C718C00-72CD-4DFF-B1B3-100BA12D5EF6}"/>
    <cellStyle name="Currency 5 2 2 2 2 5 2 2 5" xfId="17352" xr:uid="{00E53C2C-336B-4D16-A40A-1462F0FA338D}"/>
    <cellStyle name="Currency 5 2 2 2 2 5 2 3" xfId="39327" xr:uid="{3F908AF2-29E7-459B-B323-EA748C233881}"/>
    <cellStyle name="Currency 5 2 2 2 2 5 2 4" xfId="30879" xr:uid="{C6FC194E-F19C-42EE-A58C-0E4DA97C7D32}"/>
    <cellStyle name="Currency 5 2 2 2 2 5 2 5" xfId="22432" xr:uid="{F7A375E7-E877-4617-B535-42BE29D87E42}"/>
    <cellStyle name="Currency 5 2 2 2 2 5 2 6" xfId="13135" xr:uid="{3F23578F-2143-41F3-82E0-94B9888A4556}"/>
    <cellStyle name="Currency 5 2 2 2 2 5 3" xfId="5881" xr:uid="{00000000-0005-0000-0000-0000910B0000}"/>
    <cellStyle name="Currency 5 2 2 2 2 5 3 2" xfId="41399" xr:uid="{AE042F04-F769-4DCB-AB06-8CE08E852798}"/>
    <cellStyle name="Currency 5 2 2 2 2 5 3 3" xfId="32952" xr:uid="{26BEB4CC-23C0-49E2-8CB4-613F9D349712}"/>
    <cellStyle name="Currency 5 2 2 2 2 5 3 4" xfId="24504" xr:uid="{A2E318F8-88D3-4500-BC38-E80C8DA7C3DC}"/>
    <cellStyle name="Currency 5 2 2 2 2 5 3 5" xfId="15207" xr:uid="{B4D247DD-F6FD-4AEB-8884-3782C9F30938}"/>
    <cellStyle name="Currency 5 2 2 2 2 5 4" xfId="37182" xr:uid="{092C5535-76CE-4F6F-B420-1BDEA6006793}"/>
    <cellStyle name="Currency 5 2 2 2 2 5 5" xfId="28734" xr:uid="{87C304CF-9749-44E1-8127-D15FAE16EDEC}"/>
    <cellStyle name="Currency 5 2 2 2 2 5 6" xfId="20287" xr:uid="{69E65292-CBF2-4F4D-A376-645CD89109D2}"/>
    <cellStyle name="Currency 5 2 2 2 2 5 7" xfId="10990" xr:uid="{081249C3-0E9E-482D-8034-2512B3A6DDAF}"/>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43957" xr:uid="{EC3E82D6-019D-4DD3-B8B2-ABE613EF83E6}"/>
    <cellStyle name="Currency 5 2 2 2 2 6 2 2 3" xfId="35510" xr:uid="{795C993C-EAD3-4511-A29D-2B54F093960F}"/>
    <cellStyle name="Currency 5 2 2 2 2 6 2 2 4" xfId="27062" xr:uid="{1256D5DA-8E56-4892-B030-8482451D68C0}"/>
    <cellStyle name="Currency 5 2 2 2 2 6 2 2 5" xfId="17765" xr:uid="{24B76631-35DE-4B5B-8A4C-C8369A6C701A}"/>
    <cellStyle name="Currency 5 2 2 2 2 6 2 3" xfId="39740" xr:uid="{4A85CBE7-179E-4AA2-8747-9AEAA4E2EBF1}"/>
    <cellStyle name="Currency 5 2 2 2 2 6 2 4" xfId="31292" xr:uid="{E5DA6619-BF89-4964-85E5-D71378D5D34F}"/>
    <cellStyle name="Currency 5 2 2 2 2 6 2 5" xfId="22845" xr:uid="{5B44DA42-C4E7-4D31-9F26-DF1E37B02605}"/>
    <cellStyle name="Currency 5 2 2 2 2 6 2 6" xfId="13548" xr:uid="{DE1DE85F-3871-4747-9143-ED9C4ABB1162}"/>
    <cellStyle name="Currency 5 2 2 2 2 6 3" xfId="6294" xr:uid="{00000000-0005-0000-0000-0000950B0000}"/>
    <cellStyle name="Currency 5 2 2 2 2 6 3 2" xfId="41812" xr:uid="{6593270A-4D83-4D79-BD02-0DB9B4C4727E}"/>
    <cellStyle name="Currency 5 2 2 2 2 6 3 3" xfId="33365" xr:uid="{45F9531E-D36B-4EAF-A916-7AA384F59B86}"/>
    <cellStyle name="Currency 5 2 2 2 2 6 3 4" xfId="24917" xr:uid="{69F7EB0B-E376-41DA-913F-371DBBD6319D}"/>
    <cellStyle name="Currency 5 2 2 2 2 6 3 5" xfId="15620" xr:uid="{84106867-F539-4146-9B1D-E4988282E471}"/>
    <cellStyle name="Currency 5 2 2 2 2 6 4" xfId="37595" xr:uid="{0DC37EFA-AC19-47B4-BCAF-3DC8B4A824B5}"/>
    <cellStyle name="Currency 5 2 2 2 2 6 5" xfId="29147" xr:uid="{B693DF32-A649-4B4D-8780-00403B05658B}"/>
    <cellStyle name="Currency 5 2 2 2 2 6 6" xfId="20700" xr:uid="{BE49B1CA-F5ED-466D-A761-FDEE38AD7F2D}"/>
    <cellStyle name="Currency 5 2 2 2 2 6 7" xfId="11403" xr:uid="{86591A4B-339B-4494-8229-FD807043C616}"/>
    <cellStyle name="Currency 5 2 2 2 2 7" xfId="2423" xr:uid="{00000000-0005-0000-0000-0000960B0000}"/>
    <cellStyle name="Currency 5 2 2 2 2 7 2" xfId="6707" xr:uid="{00000000-0005-0000-0000-0000970B0000}"/>
    <cellStyle name="Currency 5 2 2 2 2 7 2 2" xfId="42225" xr:uid="{8D5ED451-4913-4F3E-B4DC-2FD71ECFF858}"/>
    <cellStyle name="Currency 5 2 2 2 2 7 2 3" xfId="33778" xr:uid="{67A58FF5-2FBE-4AA2-8B74-60C27736B4F1}"/>
    <cellStyle name="Currency 5 2 2 2 2 7 2 4" xfId="25330" xr:uid="{F4670833-9E5F-4026-B5A1-C29D4A1F3F1A}"/>
    <cellStyle name="Currency 5 2 2 2 2 7 2 5" xfId="16033" xr:uid="{D72B516D-8E01-405E-8DD3-1A64D318F15E}"/>
    <cellStyle name="Currency 5 2 2 2 2 7 3" xfId="38008" xr:uid="{24AF9E5C-05DE-44BC-A6BD-FDA4084DD804}"/>
    <cellStyle name="Currency 5 2 2 2 2 7 4" xfId="29560" xr:uid="{2798DB6D-C091-432F-8065-7D02587FE7E1}"/>
    <cellStyle name="Currency 5 2 2 2 2 7 5" xfId="21113" xr:uid="{02F14FA4-CE2B-4A38-AE55-5A982D28CCDB}"/>
    <cellStyle name="Currency 5 2 2 2 2 7 6" xfId="11816" xr:uid="{C69F3EED-12F6-4760-8D24-E22E6B73E301}"/>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42542" xr:uid="{1EB7A1A7-6465-478A-B511-63832024A81E}"/>
    <cellStyle name="Currency 5 2 2 2 2 9 2 3" xfId="34095" xr:uid="{A9A04D7B-0A16-4795-A2B3-0D7C84AEF5C6}"/>
    <cellStyle name="Currency 5 2 2 2 2 9 2 4" xfId="25647" xr:uid="{CF17D0EB-9D82-430A-A59D-2DC2F2F07A0D}"/>
    <cellStyle name="Currency 5 2 2 2 2 9 2 5" xfId="16350" xr:uid="{84040F23-D7F9-4854-B986-36A3DC8BD748}"/>
    <cellStyle name="Currency 5 2 2 2 2 9 3" xfId="38325" xr:uid="{48057474-B129-4781-9D36-6291A4BE5917}"/>
    <cellStyle name="Currency 5 2 2 2 2 9 4" xfId="29877" xr:uid="{5EB1FBFA-81F3-429D-97E7-696FC14D856B}"/>
    <cellStyle name="Currency 5 2 2 2 2 9 5" xfId="21430" xr:uid="{536133DB-D4A1-4F5A-9DDF-12A4CDCABF54}"/>
    <cellStyle name="Currency 5 2 2 2 2 9 6" xfId="12133" xr:uid="{94ECE8C2-DC96-40E6-8F5D-B3A042478DC8}"/>
    <cellStyle name="Currency 5 2 2 2 3" xfId="199" xr:uid="{00000000-0005-0000-0000-00009B0B0000}"/>
    <cellStyle name="Currency 5 2 2 2 3 10" xfId="9016" xr:uid="{706F9706-E49D-4995-B402-A842C879DBC8}"/>
    <cellStyle name="Currency 5 2 2 2 3 10 2" xfId="35944" xr:uid="{E2127B88-9D0E-4039-BFC3-FEE1A3C29094}"/>
    <cellStyle name="Currency 5 2 2 2 3 10 3" xfId="18339" xr:uid="{682BBEDE-93E7-4A96-8B11-4D9B71DFA95E}"/>
    <cellStyle name="Currency 5 2 2 2 3 11" xfId="27496" xr:uid="{4A2A9BEC-AE40-4A54-A1BC-3D4B9695580B}"/>
    <cellStyle name="Currency 5 2 2 2 3 12" xfId="19049" xr:uid="{F5534D34-3473-4451-810B-55F2635015C6}"/>
    <cellStyle name="Currency 5 2 2 2 3 13" xfId="9752" xr:uid="{92BE7B82-3695-42FC-BDBC-1BCC1DDF960C}"/>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42720" xr:uid="{949695BA-1C03-4E61-99A9-3B1BDE7B5DEA}"/>
    <cellStyle name="Currency 5 2 2 2 3 2 2 2 3" xfId="34273" xr:uid="{3117E786-685B-4F36-86F5-FDF520ACDDE9}"/>
    <cellStyle name="Currency 5 2 2 2 3 2 2 2 4" xfId="25825" xr:uid="{DE93A31B-D086-4043-9ED3-93A9A46C6593}"/>
    <cellStyle name="Currency 5 2 2 2 3 2 2 2 5" xfId="16528" xr:uid="{19EC21AF-8E91-4EC1-89E2-C886BB87BAE0}"/>
    <cellStyle name="Currency 5 2 2 2 3 2 2 3" xfId="38503" xr:uid="{40E0638C-C7FC-4FEC-9CAB-03FA8DF50726}"/>
    <cellStyle name="Currency 5 2 2 2 3 2 2 4" xfId="30055" xr:uid="{8C704AE9-0A38-4000-A1C6-299D903A38D2}"/>
    <cellStyle name="Currency 5 2 2 2 3 2 2 5" xfId="21608" xr:uid="{161E3974-3DF1-44D9-9CF0-685BD09C9273}"/>
    <cellStyle name="Currency 5 2 2 2 3 2 2 6" xfId="12311" xr:uid="{D0336C6F-6B9F-4987-BEAC-C456F533DC54}"/>
    <cellStyle name="Currency 5 2 2 2 3 2 3" xfId="5057" xr:uid="{00000000-0005-0000-0000-00009F0B0000}"/>
    <cellStyle name="Currency 5 2 2 2 3 2 3 2" xfId="40575" xr:uid="{AD888E6D-0F5B-40BC-A352-7C817A5B9FD2}"/>
    <cellStyle name="Currency 5 2 2 2 3 2 3 3" xfId="32128" xr:uid="{537771C8-82B2-4E00-89A2-A14A240C643E}"/>
    <cellStyle name="Currency 5 2 2 2 3 2 3 4" xfId="23680" xr:uid="{A35EC350-BD48-4A5A-A395-B837B0F8F447}"/>
    <cellStyle name="Currency 5 2 2 2 3 2 3 5" xfId="14383" xr:uid="{BF4D8189-BBF2-4418-B6AD-6389043ACC0B}"/>
    <cellStyle name="Currency 5 2 2 2 3 2 4" xfId="9441" xr:uid="{B7048274-E02F-4E6A-9C9A-FAD4299F19B1}"/>
    <cellStyle name="Currency 5 2 2 2 3 2 4 2" xfId="36358" xr:uid="{5CD901E6-4F46-4F5D-886F-39330DA3A756}"/>
    <cellStyle name="Currency 5 2 2 2 3 2 4 3" xfId="18754" xr:uid="{C0955D56-A0A4-4A1C-BA0B-50EAD8BF58AF}"/>
    <cellStyle name="Currency 5 2 2 2 3 2 5" xfId="27910" xr:uid="{673A9014-C9CC-44BB-B232-CEE5A488C07E}"/>
    <cellStyle name="Currency 5 2 2 2 3 2 6" xfId="19463" xr:uid="{6023AE72-7665-40CC-B10B-EC641439ECAB}"/>
    <cellStyle name="Currency 5 2 2 2 3 2 7" xfId="10166" xr:uid="{591C06E9-BC71-4A35-910D-358C5E276D54}"/>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43133" xr:uid="{5B08512F-6E60-4D8E-B7E4-883656990D83}"/>
    <cellStyle name="Currency 5 2 2 2 3 3 2 2 3" xfId="34686" xr:uid="{2B416AD5-78E6-46D5-B34A-A0F58C0B6A0D}"/>
    <cellStyle name="Currency 5 2 2 2 3 3 2 2 4" xfId="26238" xr:uid="{70F8A324-5E9A-43CF-BDF0-7D6B516FBC3F}"/>
    <cellStyle name="Currency 5 2 2 2 3 3 2 2 5" xfId="16941" xr:uid="{19606CD9-56FF-4E62-B730-879614A55E5D}"/>
    <cellStyle name="Currency 5 2 2 2 3 3 2 3" xfId="38916" xr:uid="{95A8329E-D980-4CC6-B92D-D0F0F3E6EBCD}"/>
    <cellStyle name="Currency 5 2 2 2 3 3 2 4" xfId="30468" xr:uid="{BDC6B307-4DE3-419B-9324-2768F45B9E17}"/>
    <cellStyle name="Currency 5 2 2 2 3 3 2 5" xfId="22021" xr:uid="{D2802EB9-16D2-4E06-828B-093DB874BAE3}"/>
    <cellStyle name="Currency 5 2 2 2 3 3 2 6" xfId="12724" xr:uid="{6DF7908A-EBD4-4E7A-9F05-02B0AC24E28D}"/>
    <cellStyle name="Currency 5 2 2 2 3 3 3" xfId="5470" xr:uid="{00000000-0005-0000-0000-0000A30B0000}"/>
    <cellStyle name="Currency 5 2 2 2 3 3 3 2" xfId="40988" xr:uid="{5BD26FFC-4FCD-4417-B606-DFE5AB0AEDC3}"/>
    <cellStyle name="Currency 5 2 2 2 3 3 3 3" xfId="32541" xr:uid="{5FB37193-3ADA-4C7B-BF18-B56D3771CFE7}"/>
    <cellStyle name="Currency 5 2 2 2 3 3 3 4" xfId="24093" xr:uid="{76A5C960-C3FC-407F-BC17-8687311B484A}"/>
    <cellStyle name="Currency 5 2 2 2 3 3 3 5" xfId="14796" xr:uid="{BDBF523B-CED1-426C-854F-2D5502CFBAFB}"/>
    <cellStyle name="Currency 5 2 2 2 3 3 4" xfId="36771" xr:uid="{C08223BE-248E-47BB-9E97-563D6FD083BC}"/>
    <cellStyle name="Currency 5 2 2 2 3 3 5" xfId="28323" xr:uid="{884B69D4-35CE-4BC7-A446-2EBCBC29A796}"/>
    <cellStyle name="Currency 5 2 2 2 3 3 6" xfId="19876" xr:uid="{A5EBCAC8-08E6-42DB-918F-190B306E2651}"/>
    <cellStyle name="Currency 5 2 2 2 3 3 7" xfId="10579" xr:uid="{1F5BD7E0-4292-4316-BBAE-9A7BF34F7568}"/>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43546" xr:uid="{7EF4492E-179D-4679-9E54-0E2CC192C91D}"/>
    <cellStyle name="Currency 5 2 2 2 3 4 2 2 3" xfId="35099" xr:uid="{A9119F14-00FB-4FD6-A941-A327328F2B72}"/>
    <cellStyle name="Currency 5 2 2 2 3 4 2 2 4" xfId="26651" xr:uid="{F0880E46-99F9-4619-A897-0CC609E7DBAD}"/>
    <cellStyle name="Currency 5 2 2 2 3 4 2 2 5" xfId="17354" xr:uid="{639D238C-50A6-45E8-AC72-7C2A37A0E272}"/>
    <cellStyle name="Currency 5 2 2 2 3 4 2 3" xfId="39329" xr:uid="{19440EC9-D157-496C-B16D-551A7637F297}"/>
    <cellStyle name="Currency 5 2 2 2 3 4 2 4" xfId="30881" xr:uid="{4A6FAC9A-67D4-4C7C-A0BF-B2C0B5A44E75}"/>
    <cellStyle name="Currency 5 2 2 2 3 4 2 5" xfId="22434" xr:uid="{339BFD4C-FB73-40DC-A0A6-324C3875FDD9}"/>
    <cellStyle name="Currency 5 2 2 2 3 4 2 6" xfId="13137" xr:uid="{A4CC9BE3-F824-4742-922D-8BD0B8175B60}"/>
    <cellStyle name="Currency 5 2 2 2 3 4 3" xfId="5883" xr:uid="{00000000-0005-0000-0000-0000A70B0000}"/>
    <cellStyle name="Currency 5 2 2 2 3 4 3 2" xfId="41401" xr:uid="{84D4240D-2CD4-4843-8CEA-D98F3EC5F489}"/>
    <cellStyle name="Currency 5 2 2 2 3 4 3 3" xfId="32954" xr:uid="{E2384B5A-16A4-462A-BBE8-70F3ED3F339B}"/>
    <cellStyle name="Currency 5 2 2 2 3 4 3 4" xfId="24506" xr:uid="{0FF6859F-26EF-46C9-92C7-25DBCF60BC61}"/>
    <cellStyle name="Currency 5 2 2 2 3 4 3 5" xfId="15209" xr:uid="{49782C8F-BCFB-4A79-BA4E-1E5871393F6B}"/>
    <cellStyle name="Currency 5 2 2 2 3 4 4" xfId="37184" xr:uid="{33A379F9-69C0-40C1-BC17-CE181843B655}"/>
    <cellStyle name="Currency 5 2 2 2 3 4 5" xfId="28736" xr:uid="{4C92A456-1639-4644-9DE5-C3834A6BF50B}"/>
    <cellStyle name="Currency 5 2 2 2 3 4 6" xfId="20289" xr:uid="{81B9D3D6-49D7-4668-9778-C93F3BB6B674}"/>
    <cellStyle name="Currency 5 2 2 2 3 4 7" xfId="10992" xr:uid="{78C9719E-9F2C-4A90-BE0A-3AD25D2D3C68}"/>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43959" xr:uid="{C5BDAEEA-5A17-4622-9CED-11980D71AAF0}"/>
    <cellStyle name="Currency 5 2 2 2 3 5 2 2 3" xfId="35512" xr:uid="{1B7DDCDA-D537-468B-9813-CDCA6D645100}"/>
    <cellStyle name="Currency 5 2 2 2 3 5 2 2 4" xfId="27064" xr:uid="{9BE8D55B-4A55-4D49-A664-2EB98D6CF91C}"/>
    <cellStyle name="Currency 5 2 2 2 3 5 2 2 5" xfId="17767" xr:uid="{BC243A25-4B9B-41C6-8C1E-345531F8792E}"/>
    <cellStyle name="Currency 5 2 2 2 3 5 2 3" xfId="39742" xr:uid="{EA960AB4-EB3E-49EC-81D8-F993F624FA5C}"/>
    <cellStyle name="Currency 5 2 2 2 3 5 2 4" xfId="31294" xr:uid="{2C84912C-E92F-42FD-B649-D39533771DDB}"/>
    <cellStyle name="Currency 5 2 2 2 3 5 2 5" xfId="22847" xr:uid="{6C78156E-CC03-43B9-BE6B-666D05D251DA}"/>
    <cellStyle name="Currency 5 2 2 2 3 5 2 6" xfId="13550" xr:uid="{989E8C77-E1CE-4ABC-B6A0-953F175FC19E}"/>
    <cellStyle name="Currency 5 2 2 2 3 5 3" xfId="6296" xr:uid="{00000000-0005-0000-0000-0000AB0B0000}"/>
    <cellStyle name="Currency 5 2 2 2 3 5 3 2" xfId="41814" xr:uid="{D2E6B7BF-3A60-44D0-B3D3-881CC67AB32B}"/>
    <cellStyle name="Currency 5 2 2 2 3 5 3 3" xfId="33367" xr:uid="{FF95BF1C-247D-4C63-9AB0-AF587500098E}"/>
    <cellStyle name="Currency 5 2 2 2 3 5 3 4" xfId="24919" xr:uid="{ACDCBABA-D99B-4990-81AD-4119C3E120CC}"/>
    <cellStyle name="Currency 5 2 2 2 3 5 3 5" xfId="15622" xr:uid="{B302C618-BF8B-498F-A527-3DEDBEFFDF32}"/>
    <cellStyle name="Currency 5 2 2 2 3 5 4" xfId="37597" xr:uid="{ED00C335-4A19-49DA-8E17-0BE2F5F43B8C}"/>
    <cellStyle name="Currency 5 2 2 2 3 5 5" xfId="29149" xr:uid="{AA00425C-3AD1-433F-8403-6EC12020A95E}"/>
    <cellStyle name="Currency 5 2 2 2 3 5 6" xfId="20702" xr:uid="{03599E0D-CD14-4B7D-9FC7-C903FAA5B4C7}"/>
    <cellStyle name="Currency 5 2 2 2 3 5 7" xfId="11405" xr:uid="{D6B7ED29-3949-46B1-8ABA-846FDFD8D815}"/>
    <cellStyle name="Currency 5 2 2 2 3 6" xfId="2425" xr:uid="{00000000-0005-0000-0000-0000AC0B0000}"/>
    <cellStyle name="Currency 5 2 2 2 3 6 2" xfId="6709" xr:uid="{00000000-0005-0000-0000-0000AD0B0000}"/>
    <cellStyle name="Currency 5 2 2 2 3 6 2 2" xfId="42227" xr:uid="{872EEE31-E658-4E49-A520-C5628DBA3CB9}"/>
    <cellStyle name="Currency 5 2 2 2 3 6 2 3" xfId="33780" xr:uid="{5E9A993E-04E7-4410-88BE-E87860E6201E}"/>
    <cellStyle name="Currency 5 2 2 2 3 6 2 4" xfId="25332" xr:uid="{FCF26295-5B3A-4516-94BE-66A828E25D76}"/>
    <cellStyle name="Currency 5 2 2 2 3 6 2 5" xfId="16035" xr:uid="{8CD53E82-75BB-46E0-BC8D-DAA758E1FF51}"/>
    <cellStyle name="Currency 5 2 2 2 3 6 3" xfId="38010" xr:uid="{DEBCEA83-7560-4B20-8BF0-F48AD93C4B0F}"/>
    <cellStyle name="Currency 5 2 2 2 3 6 4" xfId="29562" xr:uid="{15D0E9BF-D3C5-4EEC-B895-9839FD3309AA}"/>
    <cellStyle name="Currency 5 2 2 2 3 6 5" xfId="21115" xr:uid="{43997DC8-FCC1-4CD0-A7B7-B10BA6F2B95D}"/>
    <cellStyle name="Currency 5 2 2 2 3 6 6" xfId="11818" xr:uid="{18446F51-0A34-4272-8ED5-FC1C8FB2033F}"/>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42544" xr:uid="{01887FB4-2F26-4D05-B74F-651C3079B8A7}"/>
    <cellStyle name="Currency 5 2 2 2 3 8 2 3" xfId="34097" xr:uid="{0054A6A9-28E5-4F72-A964-14207FC1A14A}"/>
    <cellStyle name="Currency 5 2 2 2 3 8 2 4" xfId="25649" xr:uid="{8ECFEE04-E97D-48D9-A37B-381BE4F57ED7}"/>
    <cellStyle name="Currency 5 2 2 2 3 8 2 5" xfId="16352" xr:uid="{D5002BC1-B3A3-4E54-A634-56EFCF5EE3B3}"/>
    <cellStyle name="Currency 5 2 2 2 3 8 3" xfId="38327" xr:uid="{8E74915C-4F5C-4950-B4BA-E64B638E625E}"/>
    <cellStyle name="Currency 5 2 2 2 3 8 4" xfId="29879" xr:uid="{23D01D36-BDDF-4F44-84B7-CB6199A7A943}"/>
    <cellStyle name="Currency 5 2 2 2 3 8 5" xfId="21432" xr:uid="{36C03D63-B54C-4813-ACFF-B1E40E3301A8}"/>
    <cellStyle name="Currency 5 2 2 2 3 8 6" xfId="12135" xr:uid="{0F84CA41-DDB0-4127-B2E2-4103EA98F021}"/>
    <cellStyle name="Currency 5 2 2 2 3 9" xfId="4643" xr:uid="{00000000-0005-0000-0000-0000B10B0000}"/>
    <cellStyle name="Currency 5 2 2 2 3 9 2" xfId="40161" xr:uid="{48321B43-2665-4809-B70E-7297CCC6975A}"/>
    <cellStyle name="Currency 5 2 2 2 3 9 3" xfId="31714" xr:uid="{691E0556-917A-46EE-B0E5-6F21F8D9E4C3}"/>
    <cellStyle name="Currency 5 2 2 2 3 9 4" xfId="23266" xr:uid="{2B39ECCA-2EBC-4A12-B64A-2F3E473B8A39}"/>
    <cellStyle name="Currency 5 2 2 2 3 9 5" xfId="13969" xr:uid="{61E95C3F-D4DA-4283-841A-C4C9386FE529}"/>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42717" xr:uid="{A7EE3025-61C9-4A31-9D7E-0F35B20CA291}"/>
    <cellStyle name="Currency 5 2 2 2 4 2 2 3" xfId="34270" xr:uid="{9DE4E1D3-CD6F-4714-BE3F-B4C220D6583C}"/>
    <cellStyle name="Currency 5 2 2 2 4 2 2 4" xfId="25822" xr:uid="{05EC0466-6AFF-428A-8D98-8363253B31A1}"/>
    <cellStyle name="Currency 5 2 2 2 4 2 2 5" xfId="16525" xr:uid="{A0833826-6431-4709-AA57-C016164A3027}"/>
    <cellStyle name="Currency 5 2 2 2 4 2 3" xfId="38500" xr:uid="{7A77F039-C183-44BC-96DE-9FB977D389A8}"/>
    <cellStyle name="Currency 5 2 2 2 4 2 4" xfId="30052" xr:uid="{78EBC7AA-710F-4211-BC15-2ADC9A28C870}"/>
    <cellStyle name="Currency 5 2 2 2 4 2 5" xfId="21605" xr:uid="{C371E907-62B8-4BBE-8551-6601B651DE61}"/>
    <cellStyle name="Currency 5 2 2 2 4 2 6" xfId="12308" xr:uid="{29FBBF41-2AFB-4861-9164-4DADCB46A6CE}"/>
    <cellStyle name="Currency 5 2 2 2 4 3" xfId="5054" xr:uid="{00000000-0005-0000-0000-0000B50B0000}"/>
    <cellStyle name="Currency 5 2 2 2 4 3 2" xfId="40572" xr:uid="{8B680FF2-D8A7-4142-B5BA-800BADFFAFB5}"/>
    <cellStyle name="Currency 5 2 2 2 4 3 3" xfId="32125" xr:uid="{B0C9AD00-593B-498C-94BE-A7BB5C2EE2B6}"/>
    <cellStyle name="Currency 5 2 2 2 4 3 4" xfId="23677" xr:uid="{D6851821-1EF5-48F6-A0FE-CEC92FA9EB2B}"/>
    <cellStyle name="Currency 5 2 2 2 4 3 5" xfId="14380" xr:uid="{538E7A9E-F52B-446D-BDEE-77CFDFED4BB0}"/>
    <cellStyle name="Currency 5 2 2 2 4 4" xfId="9234" xr:uid="{AAF147FE-13D8-48BD-A722-062B96166D61}"/>
    <cellStyle name="Currency 5 2 2 2 4 4 2" xfId="36355" xr:uid="{F0C5C778-0E63-4E94-B23D-F50B343A8786}"/>
    <cellStyle name="Currency 5 2 2 2 4 4 3" xfId="18547" xr:uid="{58A36B18-8A8A-4F05-93D2-D144F87CD982}"/>
    <cellStyle name="Currency 5 2 2 2 4 5" xfId="27907" xr:uid="{FEE28B8D-007D-49E4-9E5A-49902A708D53}"/>
    <cellStyle name="Currency 5 2 2 2 4 6" xfId="19460" xr:uid="{F1E0C354-83DD-4AEC-BE65-BE5DF12C2CAB}"/>
    <cellStyle name="Currency 5 2 2 2 4 7" xfId="10163" xr:uid="{2A484895-F07A-4419-8856-EF3143AC0A1C}"/>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43130" xr:uid="{9F707E8B-FA2F-4932-96B7-F52A08F878DA}"/>
    <cellStyle name="Currency 5 2 2 2 5 2 2 3" xfId="34683" xr:uid="{FAD7B816-4F22-4329-B6B8-5419D27D9F24}"/>
    <cellStyle name="Currency 5 2 2 2 5 2 2 4" xfId="26235" xr:uid="{167D9FE5-098D-4F08-A022-8000A3951DBE}"/>
    <cellStyle name="Currency 5 2 2 2 5 2 2 5" xfId="16938" xr:uid="{145E79BC-1E24-466F-85CD-23D93DDCB02B}"/>
    <cellStyle name="Currency 5 2 2 2 5 2 3" xfId="38913" xr:uid="{C22B0DA9-24C0-4B43-B20C-DC5A741FC5B9}"/>
    <cellStyle name="Currency 5 2 2 2 5 2 4" xfId="30465" xr:uid="{0CE91F04-809C-4064-8FFE-1F66AA6E3145}"/>
    <cellStyle name="Currency 5 2 2 2 5 2 5" xfId="22018" xr:uid="{673DA62B-71AA-4D27-87E6-DE512B7EEBDA}"/>
    <cellStyle name="Currency 5 2 2 2 5 2 6" xfId="12721" xr:uid="{A5BF68C6-EDA0-476D-BED6-11F24B228348}"/>
    <cellStyle name="Currency 5 2 2 2 5 3" xfId="5467" xr:uid="{00000000-0005-0000-0000-0000B90B0000}"/>
    <cellStyle name="Currency 5 2 2 2 5 3 2" xfId="40985" xr:uid="{0D62262F-D449-4E43-A977-5BE313B9E7E7}"/>
    <cellStyle name="Currency 5 2 2 2 5 3 3" xfId="32538" xr:uid="{39C836FA-09D4-4461-8E20-F016C6AF5267}"/>
    <cellStyle name="Currency 5 2 2 2 5 3 4" xfId="24090" xr:uid="{48AA1CEB-175D-42A0-A034-E9B98EF8FD85}"/>
    <cellStyle name="Currency 5 2 2 2 5 3 5" xfId="14793" xr:uid="{CA2D6EDE-519F-4C6B-8FBE-39046B75BEAB}"/>
    <cellStyle name="Currency 5 2 2 2 5 4" xfId="36768" xr:uid="{588A9E67-4EDF-42E1-9EAC-325785FC486D}"/>
    <cellStyle name="Currency 5 2 2 2 5 5" xfId="28320" xr:uid="{69B82C97-F4BD-46EA-9EA4-6D726E4AA638}"/>
    <cellStyle name="Currency 5 2 2 2 5 6" xfId="19873" xr:uid="{DA8533F0-88ED-4184-8B64-48D9E147AA50}"/>
    <cellStyle name="Currency 5 2 2 2 5 7" xfId="10576" xr:uid="{120B38BD-D899-42ED-A1BE-690D6E0B3449}"/>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43543" xr:uid="{E03E09B5-EBE8-4513-AEAC-A4251259CE0F}"/>
    <cellStyle name="Currency 5 2 2 2 6 2 2 3" xfId="35096" xr:uid="{6E095D8E-DA67-417A-9072-A1D5216CF4FE}"/>
    <cellStyle name="Currency 5 2 2 2 6 2 2 4" xfId="26648" xr:uid="{BD20A604-9A39-40E6-8ABE-AC4E7D3A9994}"/>
    <cellStyle name="Currency 5 2 2 2 6 2 2 5" xfId="17351" xr:uid="{42778B53-77EB-45E0-AB8C-881D5D4DEB25}"/>
    <cellStyle name="Currency 5 2 2 2 6 2 3" xfId="39326" xr:uid="{5EAEA1DC-87EA-445F-9FDF-E483D081DA79}"/>
    <cellStyle name="Currency 5 2 2 2 6 2 4" xfId="30878" xr:uid="{4F6504CC-5A46-47A7-9A7B-6C4297CDDE26}"/>
    <cellStyle name="Currency 5 2 2 2 6 2 5" xfId="22431" xr:uid="{962DEBA8-A674-438F-B660-AD2550ABB1D6}"/>
    <cellStyle name="Currency 5 2 2 2 6 2 6" xfId="13134" xr:uid="{30156E5E-B297-47D2-8B55-09E066FF3C9D}"/>
    <cellStyle name="Currency 5 2 2 2 6 3" xfId="5880" xr:uid="{00000000-0005-0000-0000-0000BD0B0000}"/>
    <cellStyle name="Currency 5 2 2 2 6 3 2" xfId="41398" xr:uid="{569112B4-D723-41BB-B212-7E7986D2465F}"/>
    <cellStyle name="Currency 5 2 2 2 6 3 3" xfId="32951" xr:uid="{3E7654F3-827A-4CBF-90B5-B64C817EECC9}"/>
    <cellStyle name="Currency 5 2 2 2 6 3 4" xfId="24503" xr:uid="{7D5D5350-59C4-4FF1-AF30-A44F880C3595}"/>
    <cellStyle name="Currency 5 2 2 2 6 3 5" xfId="15206" xr:uid="{A540802C-5E43-4B97-9CFB-477CAD6D1283}"/>
    <cellStyle name="Currency 5 2 2 2 6 4" xfId="37181" xr:uid="{B22C4E9F-06B1-48F0-9F50-AAA35E4558FB}"/>
    <cellStyle name="Currency 5 2 2 2 6 5" xfId="28733" xr:uid="{1CE114D5-5620-41D9-BBA3-EAD5916964E5}"/>
    <cellStyle name="Currency 5 2 2 2 6 6" xfId="20286" xr:uid="{5B707D30-2EDE-4F06-8EB7-A23C3DCFA8BE}"/>
    <cellStyle name="Currency 5 2 2 2 6 7" xfId="10989" xr:uid="{9F9D622E-340A-4133-B090-CBD3B2C948D1}"/>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43956" xr:uid="{F8FA088C-E24E-4B05-9D4B-52DBF2FF65F3}"/>
    <cellStyle name="Currency 5 2 2 2 7 2 2 3" xfId="35509" xr:uid="{386303E2-A4C8-4CAE-A42F-68F16DB0A351}"/>
    <cellStyle name="Currency 5 2 2 2 7 2 2 4" xfId="27061" xr:uid="{911D7BA2-5A27-405B-8FE0-8394BB4EC333}"/>
    <cellStyle name="Currency 5 2 2 2 7 2 2 5" xfId="17764" xr:uid="{8508F900-5CEE-406D-A3B3-67B74497F614}"/>
    <cellStyle name="Currency 5 2 2 2 7 2 3" xfId="39739" xr:uid="{914A4780-6A2A-4AEE-9AB8-8538047575FD}"/>
    <cellStyle name="Currency 5 2 2 2 7 2 4" xfId="31291" xr:uid="{5F088BB8-461B-4F5A-A9A6-E54628A30AE1}"/>
    <cellStyle name="Currency 5 2 2 2 7 2 5" xfId="22844" xr:uid="{B076B549-6407-4E20-8710-2F6B6066B698}"/>
    <cellStyle name="Currency 5 2 2 2 7 2 6" xfId="13547" xr:uid="{75567F53-7420-4A0E-924C-6A8EBC936D0A}"/>
    <cellStyle name="Currency 5 2 2 2 7 3" xfId="6293" xr:uid="{00000000-0005-0000-0000-0000C10B0000}"/>
    <cellStyle name="Currency 5 2 2 2 7 3 2" xfId="41811" xr:uid="{C911E02B-F187-42A5-8CDA-3024E1AEB5E2}"/>
    <cellStyle name="Currency 5 2 2 2 7 3 3" xfId="33364" xr:uid="{1BD412BB-C043-405E-9542-3C4C4D70EF99}"/>
    <cellStyle name="Currency 5 2 2 2 7 3 4" xfId="24916" xr:uid="{FFAEEE88-A05B-4718-BAAB-13837E8AD9E1}"/>
    <cellStyle name="Currency 5 2 2 2 7 3 5" xfId="15619" xr:uid="{F798DDA9-B828-4D7B-8215-E959EC5F99EB}"/>
    <cellStyle name="Currency 5 2 2 2 7 4" xfId="37594" xr:uid="{50C1911E-9235-4A61-8C54-65F24C3B50C9}"/>
    <cellStyle name="Currency 5 2 2 2 7 5" xfId="29146" xr:uid="{A6AAA966-302D-4578-A941-6C37618D12E1}"/>
    <cellStyle name="Currency 5 2 2 2 7 6" xfId="20699" xr:uid="{1DE38CBA-0B67-43EE-B935-5C7C13AAB563}"/>
    <cellStyle name="Currency 5 2 2 2 7 7" xfId="11402" xr:uid="{724BA121-71AB-4AF5-BAB0-BB3FC785D4C4}"/>
    <cellStyle name="Currency 5 2 2 2 8" xfId="2422" xr:uid="{00000000-0005-0000-0000-0000C20B0000}"/>
    <cellStyle name="Currency 5 2 2 2 8 2" xfId="6706" xr:uid="{00000000-0005-0000-0000-0000C30B0000}"/>
    <cellStyle name="Currency 5 2 2 2 8 2 2" xfId="42224" xr:uid="{9BDD49D8-3951-4016-AF07-1D17354D60EA}"/>
    <cellStyle name="Currency 5 2 2 2 8 2 3" xfId="33777" xr:uid="{F0490EAA-0715-4EDD-BF12-ACFD667FC3E4}"/>
    <cellStyle name="Currency 5 2 2 2 8 2 4" xfId="25329" xr:uid="{D47792EC-F59B-4EDE-8AB2-504E4B489B81}"/>
    <cellStyle name="Currency 5 2 2 2 8 2 5" xfId="16032" xr:uid="{9E93B147-6ABA-4E5A-BB62-600D7CB6EA71}"/>
    <cellStyle name="Currency 5 2 2 2 8 3" xfId="38007" xr:uid="{58EA64F8-65A3-4CDA-BA17-13649EC03FBD}"/>
    <cellStyle name="Currency 5 2 2 2 8 4" xfId="29559" xr:uid="{880D24AE-45FF-4157-AF7A-C2EA8CAA5864}"/>
    <cellStyle name="Currency 5 2 2 2 8 5" xfId="21112" xr:uid="{41979CF0-9EEF-4F2F-A364-CEB81AFEDFCE}"/>
    <cellStyle name="Currency 5 2 2 2 8 6" xfId="11815" xr:uid="{830AFF95-F451-42F5-ABDC-EC2294602CD0}"/>
    <cellStyle name="Currency 5 2 2 2 9" xfId="2719" xr:uid="{00000000-0005-0000-0000-0000C40B0000}"/>
    <cellStyle name="Currency 5 2 2 3" xfId="200" xr:uid="{00000000-0005-0000-0000-0000C50B0000}"/>
    <cellStyle name="Currency 5 2 2 3 10" xfId="4644" xr:uid="{00000000-0005-0000-0000-0000C60B0000}"/>
    <cellStyle name="Currency 5 2 2 3 10 2" xfId="40162" xr:uid="{95435619-8101-48FA-A139-82E8B2F656DA}"/>
    <cellStyle name="Currency 5 2 2 3 10 3" xfId="31715" xr:uid="{DFFD3E07-DA27-4FB8-850C-AB5AF4A1154A}"/>
    <cellStyle name="Currency 5 2 2 3 10 4" xfId="23267" xr:uid="{2D9381F5-0449-4D5C-B4CD-BDB4ED88A20A}"/>
    <cellStyle name="Currency 5 2 2 3 10 5" xfId="13970" xr:uid="{6EF03794-909A-4227-B010-09EEA026A935}"/>
    <cellStyle name="Currency 5 2 2 3 11" xfId="8890" xr:uid="{F313D4EC-7666-4BAA-9452-39176957C213}"/>
    <cellStyle name="Currency 5 2 2 3 11 2" xfId="35945" xr:uid="{6D64977E-E8AF-4633-8E0D-882B1BE54742}"/>
    <cellStyle name="Currency 5 2 2 3 11 3" xfId="18213" xr:uid="{3F941A87-4154-47E3-9B4A-0532E6910740}"/>
    <cellStyle name="Currency 5 2 2 3 12" xfId="27497" xr:uid="{D2077ECE-EDA9-457E-9EC1-F4609C2C4FB7}"/>
    <cellStyle name="Currency 5 2 2 3 13" xfId="19050" xr:uid="{48F3CE8C-B60C-4E51-979C-B1B484E2642B}"/>
    <cellStyle name="Currency 5 2 2 3 14" xfId="9753" xr:uid="{92E195A6-854C-4486-AE24-05041A0368FC}"/>
    <cellStyle name="Currency 5 2 2 3 2" xfId="201" xr:uid="{00000000-0005-0000-0000-0000C70B0000}"/>
    <cellStyle name="Currency 5 2 2 3 2 10" xfId="9097" xr:uid="{74199D2F-F17A-42DD-AC8B-D958FBFFCA8B}"/>
    <cellStyle name="Currency 5 2 2 3 2 10 2" xfId="35946" xr:uid="{E90A9858-5CBD-4529-A55E-CBD7059785CD}"/>
    <cellStyle name="Currency 5 2 2 3 2 10 3" xfId="18420" xr:uid="{0036368B-F669-4E35-87BC-2F3AF95E94C0}"/>
    <cellStyle name="Currency 5 2 2 3 2 11" xfId="27498" xr:uid="{7AFD5FD2-30C2-476A-A0C1-0FA169792E2A}"/>
    <cellStyle name="Currency 5 2 2 3 2 12" xfId="19051" xr:uid="{A7C10A9C-877E-481B-B3E1-F7ECEE40818C}"/>
    <cellStyle name="Currency 5 2 2 3 2 13" xfId="9754" xr:uid="{22D36AE8-47EF-4EDB-B544-A6AFF92D9D0D}"/>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42722" xr:uid="{5F50FD79-6E3D-48EE-815F-63D1A2ABEFA3}"/>
    <cellStyle name="Currency 5 2 2 3 2 2 2 2 3" xfId="34275" xr:uid="{53B6184F-8D10-4A2C-A77C-A22B2C56D628}"/>
    <cellStyle name="Currency 5 2 2 3 2 2 2 2 4" xfId="25827" xr:uid="{7C77ED79-3B55-4ED4-AC2D-EAEB82459EA1}"/>
    <cellStyle name="Currency 5 2 2 3 2 2 2 2 5" xfId="16530" xr:uid="{E438A54F-532D-4708-8FBD-2EA817FD97FD}"/>
    <cellStyle name="Currency 5 2 2 3 2 2 2 3" xfId="38505" xr:uid="{9B0A6FDD-B569-4DF0-BBD8-0F7255F2B898}"/>
    <cellStyle name="Currency 5 2 2 3 2 2 2 4" xfId="30057" xr:uid="{BD3FAD3E-B097-4348-80AF-6C30AFBAAFFE}"/>
    <cellStyle name="Currency 5 2 2 3 2 2 2 5" xfId="21610" xr:uid="{59CBE7B2-2356-4CE7-B7A2-CC1C4D14517A}"/>
    <cellStyle name="Currency 5 2 2 3 2 2 2 6" xfId="12313" xr:uid="{6D4DEF02-C93D-45DE-8CF0-0EADE1E8C4A0}"/>
    <cellStyle name="Currency 5 2 2 3 2 2 3" xfId="5059" xr:uid="{00000000-0005-0000-0000-0000CB0B0000}"/>
    <cellStyle name="Currency 5 2 2 3 2 2 3 2" xfId="40577" xr:uid="{4BBEF12F-E12A-46B8-B0BB-D8AB26FD11C4}"/>
    <cellStyle name="Currency 5 2 2 3 2 2 3 3" xfId="32130" xr:uid="{136C5998-641D-43A5-9C82-082B81E8A416}"/>
    <cellStyle name="Currency 5 2 2 3 2 2 3 4" xfId="23682" xr:uid="{787CDF26-4ED7-4BA3-9502-FEAA52F9B7C1}"/>
    <cellStyle name="Currency 5 2 2 3 2 2 3 5" xfId="14385" xr:uid="{ACB89099-2E92-4251-B5B9-7495DE7EA71E}"/>
    <cellStyle name="Currency 5 2 2 3 2 2 4" xfId="9522" xr:uid="{58EAFCD4-DA5B-47CB-A637-29DA003AA3FD}"/>
    <cellStyle name="Currency 5 2 2 3 2 2 4 2" xfId="36360" xr:uid="{CA21CE44-5D40-4823-962E-6C67A72DC5CE}"/>
    <cellStyle name="Currency 5 2 2 3 2 2 4 3" xfId="18835" xr:uid="{3D2E0249-2571-40EB-A0E3-8DF9ED04C412}"/>
    <cellStyle name="Currency 5 2 2 3 2 2 5" xfId="27912" xr:uid="{B879C711-CDEC-47D3-8BAB-B408EC7EE179}"/>
    <cellStyle name="Currency 5 2 2 3 2 2 6" xfId="19465" xr:uid="{3D929884-AE70-4F51-A97A-CC420666D0B4}"/>
    <cellStyle name="Currency 5 2 2 3 2 2 7" xfId="10168" xr:uid="{EBCE73D5-427D-4F7C-A662-BBCA8DC98835}"/>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43135" xr:uid="{194DF74B-F048-4C61-AC18-D93955FB9EE0}"/>
    <cellStyle name="Currency 5 2 2 3 2 3 2 2 3" xfId="34688" xr:uid="{81017D5C-127D-4D4C-9525-2B34F9A444CD}"/>
    <cellStyle name="Currency 5 2 2 3 2 3 2 2 4" xfId="26240" xr:uid="{BC615368-3E84-408E-ACED-035EF0DE63E2}"/>
    <cellStyle name="Currency 5 2 2 3 2 3 2 2 5" xfId="16943" xr:uid="{D34421B7-455B-445E-8209-7B63852921D1}"/>
    <cellStyle name="Currency 5 2 2 3 2 3 2 3" xfId="38918" xr:uid="{800D5182-13F1-4839-BE05-716C8EE18D07}"/>
    <cellStyle name="Currency 5 2 2 3 2 3 2 4" xfId="30470" xr:uid="{B6B99590-F800-40D0-8C4C-0AF8CE94A6DB}"/>
    <cellStyle name="Currency 5 2 2 3 2 3 2 5" xfId="22023" xr:uid="{BA17510C-A5D3-4AB9-93E0-A413336784C6}"/>
    <cellStyle name="Currency 5 2 2 3 2 3 2 6" xfId="12726" xr:uid="{735B0D14-C11A-4DB3-B63D-A82871C4701E}"/>
    <cellStyle name="Currency 5 2 2 3 2 3 3" xfId="5472" xr:uid="{00000000-0005-0000-0000-0000CF0B0000}"/>
    <cellStyle name="Currency 5 2 2 3 2 3 3 2" xfId="40990" xr:uid="{4E8711D3-A219-41EA-9068-B33F951922F3}"/>
    <cellStyle name="Currency 5 2 2 3 2 3 3 3" xfId="32543" xr:uid="{2A2C2544-D752-472F-92C5-5E97BA62F620}"/>
    <cellStyle name="Currency 5 2 2 3 2 3 3 4" xfId="24095" xr:uid="{462E449B-18ED-456A-8124-1A9B9173A06C}"/>
    <cellStyle name="Currency 5 2 2 3 2 3 3 5" xfId="14798" xr:uid="{FA16142D-2E13-4A0C-8DCA-979767FB2E67}"/>
    <cellStyle name="Currency 5 2 2 3 2 3 4" xfId="36773" xr:uid="{632CD6A3-9674-4053-AFDF-CC5C8A00E34B}"/>
    <cellStyle name="Currency 5 2 2 3 2 3 5" xfId="28325" xr:uid="{03298308-D16A-487F-8E12-DED871B3C448}"/>
    <cellStyle name="Currency 5 2 2 3 2 3 6" xfId="19878" xr:uid="{3497365E-AF24-4FAC-9BBD-1BD326988814}"/>
    <cellStyle name="Currency 5 2 2 3 2 3 7" xfId="10581" xr:uid="{BA35B6F9-5E89-4E78-9223-43E9B3B1F355}"/>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43548" xr:uid="{388E026B-BF65-489F-A623-C7B0C4F0241B}"/>
    <cellStyle name="Currency 5 2 2 3 2 4 2 2 3" xfId="35101" xr:uid="{9F994F7E-E0DF-4334-BF33-2773121F2CDB}"/>
    <cellStyle name="Currency 5 2 2 3 2 4 2 2 4" xfId="26653" xr:uid="{405C5259-BCFB-463C-9040-CB6FF4F70DC9}"/>
    <cellStyle name="Currency 5 2 2 3 2 4 2 2 5" xfId="17356" xr:uid="{33E7E947-8829-4998-A3B0-1E6DF09D5F07}"/>
    <cellStyle name="Currency 5 2 2 3 2 4 2 3" xfId="39331" xr:uid="{C885A1F7-B1E9-4396-BDB9-03E40EE7A2D3}"/>
    <cellStyle name="Currency 5 2 2 3 2 4 2 4" xfId="30883" xr:uid="{4EF3319B-6C13-411C-BF2B-C412978B7BD8}"/>
    <cellStyle name="Currency 5 2 2 3 2 4 2 5" xfId="22436" xr:uid="{755D60D7-2284-4F09-8C59-9A82D478AA5E}"/>
    <cellStyle name="Currency 5 2 2 3 2 4 2 6" xfId="13139" xr:uid="{55DE3105-AEB4-41CE-9AD5-7E92F283B534}"/>
    <cellStyle name="Currency 5 2 2 3 2 4 3" xfId="5885" xr:uid="{00000000-0005-0000-0000-0000D30B0000}"/>
    <cellStyle name="Currency 5 2 2 3 2 4 3 2" xfId="41403" xr:uid="{C0AC49DD-C967-422C-8C1E-88A68727F921}"/>
    <cellStyle name="Currency 5 2 2 3 2 4 3 3" xfId="32956" xr:uid="{B053ECBA-D4B8-431D-AD59-E0BEA503A110}"/>
    <cellStyle name="Currency 5 2 2 3 2 4 3 4" xfId="24508" xr:uid="{0EFE2496-A4AF-47A9-A28D-C8FAC627DFF1}"/>
    <cellStyle name="Currency 5 2 2 3 2 4 3 5" xfId="15211" xr:uid="{28AC422A-6F39-4F70-90C3-458F3B752A5D}"/>
    <cellStyle name="Currency 5 2 2 3 2 4 4" xfId="37186" xr:uid="{52ADD558-AC0C-40DA-B7EA-168BE6962807}"/>
    <cellStyle name="Currency 5 2 2 3 2 4 5" xfId="28738" xr:uid="{B8898B8A-5F8B-4951-95CE-58E09A935984}"/>
    <cellStyle name="Currency 5 2 2 3 2 4 6" xfId="20291" xr:uid="{FA5CDFEE-00FA-4A54-A28C-C90B43BE0734}"/>
    <cellStyle name="Currency 5 2 2 3 2 4 7" xfId="10994" xr:uid="{25BB0CA9-2DA8-4F69-9199-6CB24AB37A95}"/>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43961" xr:uid="{7D47B00B-FBD3-4BC2-A6E8-B47103B42BCD}"/>
    <cellStyle name="Currency 5 2 2 3 2 5 2 2 3" xfId="35514" xr:uid="{C673D51F-5C80-476D-9ABC-DF840D60A0CE}"/>
    <cellStyle name="Currency 5 2 2 3 2 5 2 2 4" xfId="27066" xr:uid="{12100F47-F4A9-4CF9-BA59-F4BE230948D8}"/>
    <cellStyle name="Currency 5 2 2 3 2 5 2 2 5" xfId="17769" xr:uid="{229ED489-B5B4-44CB-9830-21570B4EEE05}"/>
    <cellStyle name="Currency 5 2 2 3 2 5 2 3" xfId="39744" xr:uid="{6E816C3C-301A-4272-89C7-3BE538067F20}"/>
    <cellStyle name="Currency 5 2 2 3 2 5 2 4" xfId="31296" xr:uid="{715607AB-59C4-4BB6-974E-E0B453AF640B}"/>
    <cellStyle name="Currency 5 2 2 3 2 5 2 5" xfId="22849" xr:uid="{4E50320F-D688-4968-B68F-4054B0CD52AD}"/>
    <cellStyle name="Currency 5 2 2 3 2 5 2 6" xfId="13552" xr:uid="{FE839712-2930-4652-8A79-06A17C28D700}"/>
    <cellStyle name="Currency 5 2 2 3 2 5 3" xfId="6298" xr:uid="{00000000-0005-0000-0000-0000D70B0000}"/>
    <cellStyle name="Currency 5 2 2 3 2 5 3 2" xfId="41816" xr:uid="{8DB8EE1D-80A3-4F5F-863E-9F23207137F0}"/>
    <cellStyle name="Currency 5 2 2 3 2 5 3 3" xfId="33369" xr:uid="{1BBD696F-3D2E-471B-924F-06998548D366}"/>
    <cellStyle name="Currency 5 2 2 3 2 5 3 4" xfId="24921" xr:uid="{50D88E01-C492-4719-ADE4-51B47375E729}"/>
    <cellStyle name="Currency 5 2 2 3 2 5 3 5" xfId="15624" xr:uid="{AA478B49-EA7E-4C23-8E35-0D06FA5DC4EB}"/>
    <cellStyle name="Currency 5 2 2 3 2 5 4" xfId="37599" xr:uid="{CF187F41-E24C-46BA-8F1D-BCD54253D643}"/>
    <cellStyle name="Currency 5 2 2 3 2 5 5" xfId="29151" xr:uid="{45C81AF2-E439-41DE-A7C2-2A6A7D3AEEF2}"/>
    <cellStyle name="Currency 5 2 2 3 2 5 6" xfId="20704" xr:uid="{C0CDA5F2-ADCE-4CC4-ACE0-F71727461147}"/>
    <cellStyle name="Currency 5 2 2 3 2 5 7" xfId="11407" xr:uid="{507D1395-314B-4938-9A88-DC27B4144394}"/>
    <cellStyle name="Currency 5 2 2 3 2 6" xfId="2427" xr:uid="{00000000-0005-0000-0000-0000D80B0000}"/>
    <cellStyle name="Currency 5 2 2 3 2 6 2" xfId="6711" xr:uid="{00000000-0005-0000-0000-0000D90B0000}"/>
    <cellStyle name="Currency 5 2 2 3 2 6 2 2" xfId="42229" xr:uid="{1DFA6E0E-03B0-42FE-BDF4-6D69F640C5D5}"/>
    <cellStyle name="Currency 5 2 2 3 2 6 2 3" xfId="33782" xr:uid="{809284B1-0C11-4E12-A2D6-CEC42444EE60}"/>
    <cellStyle name="Currency 5 2 2 3 2 6 2 4" xfId="25334" xr:uid="{5A0235F5-C971-4125-8DB3-ABF2097D7FAE}"/>
    <cellStyle name="Currency 5 2 2 3 2 6 2 5" xfId="16037" xr:uid="{06AD84E8-0504-4BDA-9E2D-51559478C890}"/>
    <cellStyle name="Currency 5 2 2 3 2 6 3" xfId="38012" xr:uid="{D8EC4DF6-2745-479A-96A4-4BC5893CC854}"/>
    <cellStyle name="Currency 5 2 2 3 2 6 4" xfId="29564" xr:uid="{FC1B0DA7-3DEB-4B84-A573-0E906391B70C}"/>
    <cellStyle name="Currency 5 2 2 3 2 6 5" xfId="21117" xr:uid="{96E72CD3-7A15-45CD-8DDA-47B902B41B56}"/>
    <cellStyle name="Currency 5 2 2 3 2 6 6" xfId="11820" xr:uid="{20AC0EFB-C0CA-4D85-8870-DDE3B80C9923}"/>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42546" xr:uid="{BF955FE3-EE91-4540-9C46-0D10743A3D38}"/>
    <cellStyle name="Currency 5 2 2 3 2 8 2 3" xfId="34099" xr:uid="{F866BBAC-37EE-41ED-A464-C46FD4228E39}"/>
    <cellStyle name="Currency 5 2 2 3 2 8 2 4" xfId="25651" xr:uid="{FCEBC609-1482-4CBC-AA05-D4C4F5D7D6E3}"/>
    <cellStyle name="Currency 5 2 2 3 2 8 2 5" xfId="16354" xr:uid="{F75B355A-7F28-407F-ACB4-FA65B313E306}"/>
    <cellStyle name="Currency 5 2 2 3 2 8 3" xfId="38329" xr:uid="{81640BEA-BA93-4936-9068-988D5A52BFA5}"/>
    <cellStyle name="Currency 5 2 2 3 2 8 4" xfId="29881" xr:uid="{CF1A2D3A-7933-4026-85E2-0222C74A898D}"/>
    <cellStyle name="Currency 5 2 2 3 2 8 5" xfId="21434" xr:uid="{27560186-8D31-4092-A7B4-11E1D0FD38E9}"/>
    <cellStyle name="Currency 5 2 2 3 2 8 6" xfId="12137" xr:uid="{D063AE1C-0C8C-46CE-9097-E4CE5D09D89B}"/>
    <cellStyle name="Currency 5 2 2 3 2 9" xfId="4645" xr:uid="{00000000-0005-0000-0000-0000DD0B0000}"/>
    <cellStyle name="Currency 5 2 2 3 2 9 2" xfId="40163" xr:uid="{B5107A91-9E7B-4757-977A-68F2A35CB575}"/>
    <cellStyle name="Currency 5 2 2 3 2 9 3" xfId="31716" xr:uid="{CC192E8B-4FD7-4B33-9229-20C3391523B5}"/>
    <cellStyle name="Currency 5 2 2 3 2 9 4" xfId="23268" xr:uid="{9880F4F7-B7A1-4AF1-9B92-999856F395B2}"/>
    <cellStyle name="Currency 5 2 2 3 2 9 5" xfId="13971" xr:uid="{9983BEE6-2887-4319-AECF-B9DC0C32E7ED}"/>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42721" xr:uid="{4A0404DA-E741-4099-A419-7FA1238C84DE}"/>
    <cellStyle name="Currency 5 2 2 3 3 2 2 3" xfId="34274" xr:uid="{6D77B298-8D8C-46C0-85A7-7D73A327CE3D}"/>
    <cellStyle name="Currency 5 2 2 3 3 2 2 4" xfId="25826" xr:uid="{1265CB59-3179-403F-ACD5-1B18B78C33F2}"/>
    <cellStyle name="Currency 5 2 2 3 3 2 2 5" xfId="16529" xr:uid="{59789063-355A-49C1-ACED-777630A641AC}"/>
    <cellStyle name="Currency 5 2 2 3 3 2 3" xfId="38504" xr:uid="{761A7326-33F2-47AB-9B61-420711F3BBC3}"/>
    <cellStyle name="Currency 5 2 2 3 3 2 4" xfId="30056" xr:uid="{97614650-AF86-4226-BD01-DC7EA8637FA1}"/>
    <cellStyle name="Currency 5 2 2 3 3 2 5" xfId="21609" xr:uid="{2E5AD980-1FD7-401C-A7A5-9C76B3DA3554}"/>
    <cellStyle name="Currency 5 2 2 3 3 2 6" xfId="12312" xr:uid="{2C04FC8B-F9B6-4217-80BF-848C395E1D50}"/>
    <cellStyle name="Currency 5 2 2 3 3 3" xfId="5058" xr:uid="{00000000-0005-0000-0000-0000E10B0000}"/>
    <cellStyle name="Currency 5 2 2 3 3 3 2" xfId="40576" xr:uid="{3DC7117F-E3BE-42C1-93D0-3993E7FE6C91}"/>
    <cellStyle name="Currency 5 2 2 3 3 3 3" xfId="32129" xr:uid="{EE0820AD-CEF5-4F77-9926-3F17253B857D}"/>
    <cellStyle name="Currency 5 2 2 3 3 3 4" xfId="23681" xr:uid="{A8C96EA4-1140-44B3-995D-F33C1836BAAC}"/>
    <cellStyle name="Currency 5 2 2 3 3 3 5" xfId="14384" xr:uid="{EFB6C206-6AD4-41C3-8A92-38AB330785EA}"/>
    <cellStyle name="Currency 5 2 2 3 3 4" xfId="9315" xr:uid="{A76EC348-1CDB-41C1-B9B8-9215FF30C619}"/>
    <cellStyle name="Currency 5 2 2 3 3 4 2" xfId="36359" xr:uid="{2DFF91C1-61D9-4FB7-A6F5-57BA425A4793}"/>
    <cellStyle name="Currency 5 2 2 3 3 4 3" xfId="18628" xr:uid="{5EBAB58C-26C1-4298-A525-17E816F635A6}"/>
    <cellStyle name="Currency 5 2 2 3 3 5" xfId="27911" xr:uid="{A7A9FC99-2E33-434C-BEBE-762AC2853C8B}"/>
    <cellStyle name="Currency 5 2 2 3 3 6" xfId="19464" xr:uid="{F11420BE-336E-43C8-ADB0-E27AB3CBCDD7}"/>
    <cellStyle name="Currency 5 2 2 3 3 7" xfId="10167" xr:uid="{3FA267AA-4B5F-448E-9FA8-6A3E911D0B9A}"/>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43134" xr:uid="{E5CAA2DB-8469-4261-9BBD-65DB754500FE}"/>
    <cellStyle name="Currency 5 2 2 3 4 2 2 3" xfId="34687" xr:uid="{5AABCCB7-3542-47C1-9B8F-39A734DC7495}"/>
    <cellStyle name="Currency 5 2 2 3 4 2 2 4" xfId="26239" xr:uid="{B1C24381-536C-42D6-B96B-936F880C0F87}"/>
    <cellStyle name="Currency 5 2 2 3 4 2 2 5" xfId="16942" xr:uid="{1A6FE8CD-C748-4F75-AE93-6CAF999319BF}"/>
    <cellStyle name="Currency 5 2 2 3 4 2 3" xfId="38917" xr:uid="{693C53A7-E249-4ECA-B975-B27B0E9C6056}"/>
    <cellStyle name="Currency 5 2 2 3 4 2 4" xfId="30469" xr:uid="{CCBA5534-74C9-4E20-AE3B-36256C8FEE17}"/>
    <cellStyle name="Currency 5 2 2 3 4 2 5" xfId="22022" xr:uid="{EAF3393F-0052-48AC-99B0-5D2C6DB091A0}"/>
    <cellStyle name="Currency 5 2 2 3 4 2 6" xfId="12725" xr:uid="{047244BC-AF6E-4B1B-8ED7-1AC455A752C2}"/>
    <cellStyle name="Currency 5 2 2 3 4 3" xfId="5471" xr:uid="{00000000-0005-0000-0000-0000E50B0000}"/>
    <cellStyle name="Currency 5 2 2 3 4 3 2" xfId="40989" xr:uid="{48D14ABA-683D-490C-8E4C-4927F2C1AD4D}"/>
    <cellStyle name="Currency 5 2 2 3 4 3 3" xfId="32542" xr:uid="{BD7132FA-A857-4320-A0D6-9D22415204D3}"/>
    <cellStyle name="Currency 5 2 2 3 4 3 4" xfId="24094" xr:uid="{DBAE95A5-4E5A-470E-9CCE-C5C194EAAED8}"/>
    <cellStyle name="Currency 5 2 2 3 4 3 5" xfId="14797" xr:uid="{EEC9F8F2-3CBF-4504-A6A3-881E61E2831B}"/>
    <cellStyle name="Currency 5 2 2 3 4 4" xfId="36772" xr:uid="{BC04418D-6B47-48D0-A154-847AB793484E}"/>
    <cellStyle name="Currency 5 2 2 3 4 5" xfId="28324" xr:uid="{D5F57CD6-AC29-448B-94B4-C3C160109715}"/>
    <cellStyle name="Currency 5 2 2 3 4 6" xfId="19877" xr:uid="{C930A2E8-45D1-422F-83BB-35FD6205F82F}"/>
    <cellStyle name="Currency 5 2 2 3 4 7" xfId="10580" xr:uid="{88A0B23A-3DDF-436D-876E-55CCA5591F14}"/>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43547" xr:uid="{9F72E317-9BA0-47E5-A117-C0BD90FC52F2}"/>
    <cellStyle name="Currency 5 2 2 3 5 2 2 3" xfId="35100" xr:uid="{30928599-7E61-490A-8D86-C9D898686F9D}"/>
    <cellStyle name="Currency 5 2 2 3 5 2 2 4" xfId="26652" xr:uid="{13D7F39C-D598-4CE1-B003-AA3875D1B141}"/>
    <cellStyle name="Currency 5 2 2 3 5 2 2 5" xfId="17355" xr:uid="{A77DBB84-BB2E-40ED-BBB3-88A7B03BF992}"/>
    <cellStyle name="Currency 5 2 2 3 5 2 3" xfId="39330" xr:uid="{B9B6989D-9623-48EA-A60A-E747D0596881}"/>
    <cellStyle name="Currency 5 2 2 3 5 2 4" xfId="30882" xr:uid="{3143A3AB-C544-4BE5-89EC-92C23E31FD74}"/>
    <cellStyle name="Currency 5 2 2 3 5 2 5" xfId="22435" xr:uid="{BCC125C4-CA82-4CDA-AAB1-DB22E3FE8BD7}"/>
    <cellStyle name="Currency 5 2 2 3 5 2 6" xfId="13138" xr:uid="{CE0E5884-733D-400B-939C-E1797019AD32}"/>
    <cellStyle name="Currency 5 2 2 3 5 3" xfId="5884" xr:uid="{00000000-0005-0000-0000-0000E90B0000}"/>
    <cellStyle name="Currency 5 2 2 3 5 3 2" xfId="41402" xr:uid="{5ABA4C22-1DDB-4CB2-A8CE-AF98B3952F23}"/>
    <cellStyle name="Currency 5 2 2 3 5 3 3" xfId="32955" xr:uid="{263196B8-099E-4058-9C6D-7D61AA5BF04E}"/>
    <cellStyle name="Currency 5 2 2 3 5 3 4" xfId="24507" xr:uid="{A893AFA4-0C10-41FC-81FD-C4629CF994B5}"/>
    <cellStyle name="Currency 5 2 2 3 5 3 5" xfId="15210" xr:uid="{C8A01904-CE39-469E-AA03-29A92A60A1D5}"/>
    <cellStyle name="Currency 5 2 2 3 5 4" xfId="37185" xr:uid="{0B830E26-6130-4F3F-A952-8C53BBCBEC9D}"/>
    <cellStyle name="Currency 5 2 2 3 5 5" xfId="28737" xr:uid="{03D4D3FE-A1D0-4127-A1BD-465B8B474B60}"/>
    <cellStyle name="Currency 5 2 2 3 5 6" xfId="20290" xr:uid="{447491F4-3173-41BE-A9E8-57FC7A5660BF}"/>
    <cellStyle name="Currency 5 2 2 3 5 7" xfId="10993" xr:uid="{D2116568-7F3F-4C32-99BF-46728A5C29AA}"/>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43960" xr:uid="{80A9BED9-281D-41A9-A40B-2922CE3A15F2}"/>
    <cellStyle name="Currency 5 2 2 3 6 2 2 3" xfId="35513" xr:uid="{2CE93520-7FD3-4E57-8B0D-F89746BB5EBC}"/>
    <cellStyle name="Currency 5 2 2 3 6 2 2 4" xfId="27065" xr:uid="{6623DB33-DCCE-4CAE-9D3F-B2AE5FBB23F1}"/>
    <cellStyle name="Currency 5 2 2 3 6 2 2 5" xfId="17768" xr:uid="{8EF9D71C-9D11-42DC-9BBD-DF625C4A780C}"/>
    <cellStyle name="Currency 5 2 2 3 6 2 3" xfId="39743" xr:uid="{DBE27808-35A9-4874-8B08-06BA36C61208}"/>
    <cellStyle name="Currency 5 2 2 3 6 2 4" xfId="31295" xr:uid="{FC17DF7A-4169-4A8F-B04D-2C038417C5E7}"/>
    <cellStyle name="Currency 5 2 2 3 6 2 5" xfId="22848" xr:uid="{75DFE5AF-1A86-4302-9DBB-BD0C0D4C7341}"/>
    <cellStyle name="Currency 5 2 2 3 6 2 6" xfId="13551" xr:uid="{F11715E4-741D-4B55-B258-89BE9209C708}"/>
    <cellStyle name="Currency 5 2 2 3 6 3" xfId="6297" xr:uid="{00000000-0005-0000-0000-0000ED0B0000}"/>
    <cellStyle name="Currency 5 2 2 3 6 3 2" xfId="41815" xr:uid="{D2F7AF61-CE05-453E-B163-DFF6CFB93A1A}"/>
    <cellStyle name="Currency 5 2 2 3 6 3 3" xfId="33368" xr:uid="{5722FE3F-8FCD-4B50-9787-0117CF8DBAFA}"/>
    <cellStyle name="Currency 5 2 2 3 6 3 4" xfId="24920" xr:uid="{ED2A5983-31E6-4AD6-B9BE-AAA5B2F40F6D}"/>
    <cellStyle name="Currency 5 2 2 3 6 3 5" xfId="15623" xr:uid="{796E1E45-C8DD-4487-826D-A883F66424AB}"/>
    <cellStyle name="Currency 5 2 2 3 6 4" xfId="37598" xr:uid="{9E1DDE00-A2F9-4DE7-B272-1A88D6511379}"/>
    <cellStyle name="Currency 5 2 2 3 6 5" xfId="29150" xr:uid="{512EEF1D-24C4-4C7F-8183-E43BF4471512}"/>
    <cellStyle name="Currency 5 2 2 3 6 6" xfId="20703" xr:uid="{B8372091-070D-47EA-B756-5D7FABF87C5F}"/>
    <cellStyle name="Currency 5 2 2 3 6 7" xfId="11406" xr:uid="{877DD5FC-D1DA-4D47-BBB6-7D4802EA59D4}"/>
    <cellStyle name="Currency 5 2 2 3 7" xfId="2426" xr:uid="{00000000-0005-0000-0000-0000EE0B0000}"/>
    <cellStyle name="Currency 5 2 2 3 7 2" xfId="6710" xr:uid="{00000000-0005-0000-0000-0000EF0B0000}"/>
    <cellStyle name="Currency 5 2 2 3 7 2 2" xfId="42228" xr:uid="{5278CFF5-8985-4251-8DE3-CEE958267C40}"/>
    <cellStyle name="Currency 5 2 2 3 7 2 3" xfId="33781" xr:uid="{74D247A2-DD33-4B77-9356-2403C3CB8010}"/>
    <cellStyle name="Currency 5 2 2 3 7 2 4" xfId="25333" xr:uid="{1EC4FDEB-5EFA-4FCC-9688-70CC8652D561}"/>
    <cellStyle name="Currency 5 2 2 3 7 2 5" xfId="16036" xr:uid="{82CE0898-0C20-42A6-B4B5-5D1E3A68AE03}"/>
    <cellStyle name="Currency 5 2 2 3 7 3" xfId="38011" xr:uid="{63FC9332-1C26-481E-B09E-B127EAC7384F}"/>
    <cellStyle name="Currency 5 2 2 3 7 4" xfId="29563" xr:uid="{1CE08103-CAFF-46DA-A1C9-1ADE408F8BC0}"/>
    <cellStyle name="Currency 5 2 2 3 7 5" xfId="21116" xr:uid="{043EC9EC-3172-4072-B672-6138EF48EFD1}"/>
    <cellStyle name="Currency 5 2 2 3 7 6" xfId="11819" xr:uid="{82C812DE-4B88-4F58-959B-55820FAD73C9}"/>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42545" xr:uid="{6C4A3C9F-099A-4948-AC59-AD09DABC587C}"/>
    <cellStyle name="Currency 5 2 2 3 9 2 3" xfId="34098" xr:uid="{D17713FF-EA26-4A0D-BA47-F5F19526B626}"/>
    <cellStyle name="Currency 5 2 2 3 9 2 4" xfId="25650" xr:uid="{ED0DF807-BC76-4463-89E4-7BAD1DED022E}"/>
    <cellStyle name="Currency 5 2 2 3 9 2 5" xfId="16353" xr:uid="{7E654533-00FD-4808-95DC-3DAFDE75211F}"/>
    <cellStyle name="Currency 5 2 2 3 9 3" xfId="38328" xr:uid="{5B3AAC58-98A5-4DDA-BFE5-9593B8A43A80}"/>
    <cellStyle name="Currency 5 2 2 3 9 4" xfId="29880" xr:uid="{33BEE14B-7638-42CF-BC32-15EF752F333A}"/>
    <cellStyle name="Currency 5 2 2 3 9 5" xfId="21433" xr:uid="{0B18B42C-14AD-49C1-AE17-5C38DE8CC246}"/>
    <cellStyle name="Currency 5 2 2 3 9 6" xfId="12136" xr:uid="{0AE76143-3900-42C3-AF4A-A3D210E04F77}"/>
    <cellStyle name="Currency 5 2 2 4" xfId="202" xr:uid="{00000000-0005-0000-0000-0000F30B0000}"/>
    <cellStyle name="Currency 5 2 2 4 10" xfId="8994" xr:uid="{484CCE7A-1288-4C7F-ABD6-C45948DC4EC0}"/>
    <cellStyle name="Currency 5 2 2 4 10 2" xfId="35947" xr:uid="{45A2E94C-8131-48C3-9EB4-F3FA1A1D0F8F}"/>
    <cellStyle name="Currency 5 2 2 4 10 3" xfId="18317" xr:uid="{800564BF-C414-4307-BB86-A28FDBA1F64D}"/>
    <cellStyle name="Currency 5 2 2 4 11" xfId="27499" xr:uid="{1CEA9B79-E6E9-4D38-A8F0-8DEAB9BDC64E}"/>
    <cellStyle name="Currency 5 2 2 4 12" xfId="19052" xr:uid="{258D6058-0283-413E-9EFA-EB096826BDC6}"/>
    <cellStyle name="Currency 5 2 2 4 13" xfId="9755" xr:uid="{998B5D0D-483F-42DF-86F3-97630570BCD9}"/>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42723" xr:uid="{DE46C2B8-98EC-40C6-A4BD-91DD20CC10A5}"/>
    <cellStyle name="Currency 5 2 2 4 2 2 2 3" xfId="34276" xr:uid="{55C2197E-33A3-4234-B79F-061196ECC288}"/>
    <cellStyle name="Currency 5 2 2 4 2 2 2 4" xfId="25828" xr:uid="{3EE73914-C90C-4730-AC19-CA8164BA8F02}"/>
    <cellStyle name="Currency 5 2 2 4 2 2 2 5" xfId="16531" xr:uid="{5D2BB18F-B6A8-4EC1-B008-009C85F50D0D}"/>
    <cellStyle name="Currency 5 2 2 4 2 2 3" xfId="38506" xr:uid="{573E61A7-7DC5-4BA9-8472-EB9513488CAA}"/>
    <cellStyle name="Currency 5 2 2 4 2 2 4" xfId="30058" xr:uid="{CA31E932-461B-4673-BB2A-8DA69796F4C1}"/>
    <cellStyle name="Currency 5 2 2 4 2 2 5" xfId="21611" xr:uid="{FF969AC0-04A0-47E6-AF0C-F4CED8637E02}"/>
    <cellStyle name="Currency 5 2 2 4 2 2 6" xfId="12314" xr:uid="{9CF49901-DD06-4BAE-A03B-1CC4958B7BED}"/>
    <cellStyle name="Currency 5 2 2 4 2 3" xfId="5060" xr:uid="{00000000-0005-0000-0000-0000F70B0000}"/>
    <cellStyle name="Currency 5 2 2 4 2 3 2" xfId="40578" xr:uid="{DBC4B696-24A9-4BB5-BB1B-E89120908B4A}"/>
    <cellStyle name="Currency 5 2 2 4 2 3 3" xfId="32131" xr:uid="{4265FB53-EE6C-47C7-BDA5-B422740D06FF}"/>
    <cellStyle name="Currency 5 2 2 4 2 3 4" xfId="23683" xr:uid="{F208F811-3CEF-4FB5-9BF6-474876CF757A}"/>
    <cellStyle name="Currency 5 2 2 4 2 3 5" xfId="14386" xr:uid="{FD62DF2F-F7DE-4168-985A-B26D69989D59}"/>
    <cellStyle name="Currency 5 2 2 4 2 4" xfId="9419" xr:uid="{F03E4D2E-3BA9-4D5B-9C35-959DB128CBAE}"/>
    <cellStyle name="Currency 5 2 2 4 2 4 2" xfId="36361" xr:uid="{C4ED3F2C-0CC5-4653-8942-CB830AB44D64}"/>
    <cellStyle name="Currency 5 2 2 4 2 4 3" xfId="18732" xr:uid="{542A7FF2-A266-4864-9D99-D82AA1684D2B}"/>
    <cellStyle name="Currency 5 2 2 4 2 5" xfId="27913" xr:uid="{B8DF7782-2A29-48B3-B393-C8936EE1F251}"/>
    <cellStyle name="Currency 5 2 2 4 2 6" xfId="19466" xr:uid="{E7EAD27E-E1F4-4A85-A100-E5E8DD36A1D8}"/>
    <cellStyle name="Currency 5 2 2 4 2 7" xfId="10169" xr:uid="{E6833607-F0F4-44DE-905C-B42AA6FA8E1C}"/>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43136" xr:uid="{B2494BEB-75EC-4A9A-B303-EA59D07D483C}"/>
    <cellStyle name="Currency 5 2 2 4 3 2 2 3" xfId="34689" xr:uid="{DA3C492E-A52A-4F38-AD93-DC8FD0C99AA1}"/>
    <cellStyle name="Currency 5 2 2 4 3 2 2 4" xfId="26241" xr:uid="{35C1074A-9C7B-485B-A2A2-74AFC4DC7A1D}"/>
    <cellStyle name="Currency 5 2 2 4 3 2 2 5" xfId="16944" xr:uid="{354689D2-25A3-4AE1-959D-A8A407B06BC8}"/>
    <cellStyle name="Currency 5 2 2 4 3 2 3" xfId="38919" xr:uid="{CB220C6C-482D-4236-9E48-E2C6D73EE5CF}"/>
    <cellStyle name="Currency 5 2 2 4 3 2 4" xfId="30471" xr:uid="{AD9AAF3B-3F1B-4B7E-84C5-EA81685735D6}"/>
    <cellStyle name="Currency 5 2 2 4 3 2 5" xfId="22024" xr:uid="{7AD076DB-EE38-4EDD-8A47-E565E274A4AA}"/>
    <cellStyle name="Currency 5 2 2 4 3 2 6" xfId="12727" xr:uid="{98FC869C-916D-4C16-BBB1-44533A50320B}"/>
    <cellStyle name="Currency 5 2 2 4 3 3" xfId="5473" xr:uid="{00000000-0005-0000-0000-0000FB0B0000}"/>
    <cellStyle name="Currency 5 2 2 4 3 3 2" xfId="40991" xr:uid="{ADA844FC-A9D6-4706-A146-A1C674E6C5E5}"/>
    <cellStyle name="Currency 5 2 2 4 3 3 3" xfId="32544" xr:uid="{7DB99673-E98A-423B-A9FE-9C6806326C69}"/>
    <cellStyle name="Currency 5 2 2 4 3 3 4" xfId="24096" xr:uid="{9C0C30EF-AF29-4786-9CD9-9F552EA8CD0A}"/>
    <cellStyle name="Currency 5 2 2 4 3 3 5" xfId="14799" xr:uid="{AEC102BF-71D5-4BD9-A8A4-7F9A245185F0}"/>
    <cellStyle name="Currency 5 2 2 4 3 4" xfId="36774" xr:uid="{6EBAEC76-4438-405C-A464-44E1AA459D83}"/>
    <cellStyle name="Currency 5 2 2 4 3 5" xfId="28326" xr:uid="{7AC630A7-E679-46C8-881D-86E012BF9770}"/>
    <cellStyle name="Currency 5 2 2 4 3 6" xfId="19879" xr:uid="{E356C6E7-C9B2-474D-B9A9-B050F15EDC2E}"/>
    <cellStyle name="Currency 5 2 2 4 3 7" xfId="10582" xr:uid="{AE991A63-F380-4C06-A7A3-B5F3E5AD0D14}"/>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43549" xr:uid="{F2560FE9-464D-4028-B983-2ABEB05A3CB4}"/>
    <cellStyle name="Currency 5 2 2 4 4 2 2 3" xfId="35102" xr:uid="{AD764E2B-CCD8-4545-8130-5BFDC35D1DD2}"/>
    <cellStyle name="Currency 5 2 2 4 4 2 2 4" xfId="26654" xr:uid="{2738F28A-B357-430E-B905-710B3310166F}"/>
    <cellStyle name="Currency 5 2 2 4 4 2 2 5" xfId="17357" xr:uid="{F0E532B5-C3BD-4A28-8BA3-387BA7FDACC5}"/>
    <cellStyle name="Currency 5 2 2 4 4 2 3" xfId="39332" xr:uid="{3111AA75-E95B-488F-BA88-389C18DCF12E}"/>
    <cellStyle name="Currency 5 2 2 4 4 2 4" xfId="30884" xr:uid="{037D702D-9B56-40A2-9566-C33261368A3A}"/>
    <cellStyle name="Currency 5 2 2 4 4 2 5" xfId="22437" xr:uid="{7E8708AD-5DCF-44AA-952E-ECD3746717A7}"/>
    <cellStyle name="Currency 5 2 2 4 4 2 6" xfId="13140" xr:uid="{85B1F3A2-999D-4760-B389-CFE5BFB0ADCE}"/>
    <cellStyle name="Currency 5 2 2 4 4 3" xfId="5886" xr:uid="{00000000-0005-0000-0000-0000FF0B0000}"/>
    <cellStyle name="Currency 5 2 2 4 4 3 2" xfId="41404" xr:uid="{7108EB80-7756-40CF-9488-BEE1EA7C5D50}"/>
    <cellStyle name="Currency 5 2 2 4 4 3 3" xfId="32957" xr:uid="{741448E0-3B25-4A7E-BECB-22004CFA8A6F}"/>
    <cellStyle name="Currency 5 2 2 4 4 3 4" xfId="24509" xr:uid="{ECF319E7-22C0-48D3-B1AB-C5C02F5598F5}"/>
    <cellStyle name="Currency 5 2 2 4 4 3 5" xfId="15212" xr:uid="{5A997088-49C3-4915-8AF9-93852C9F0B5F}"/>
    <cellStyle name="Currency 5 2 2 4 4 4" xfId="37187" xr:uid="{3DEFB0FE-94D0-4166-864E-21671D1193DC}"/>
    <cellStyle name="Currency 5 2 2 4 4 5" xfId="28739" xr:uid="{6914734F-AAF4-431C-8BFC-2321401E0D42}"/>
    <cellStyle name="Currency 5 2 2 4 4 6" xfId="20292" xr:uid="{7C40B755-8CD3-4274-B82F-9A6E5D238F01}"/>
    <cellStyle name="Currency 5 2 2 4 4 7" xfId="10995" xr:uid="{44378920-5530-4C02-8197-D25A1760BFD1}"/>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43962" xr:uid="{24F80BC6-9B63-4FBF-9F92-9E909E4EDA44}"/>
    <cellStyle name="Currency 5 2 2 4 5 2 2 3" xfId="35515" xr:uid="{1768172F-6BED-4A4B-B0C8-4F718FF21264}"/>
    <cellStyle name="Currency 5 2 2 4 5 2 2 4" xfId="27067" xr:uid="{0A148EFF-1DA7-4ACC-9491-836639955866}"/>
    <cellStyle name="Currency 5 2 2 4 5 2 2 5" xfId="17770" xr:uid="{DF3FC2A6-8E83-4502-8A0D-41E1B70BEF8D}"/>
    <cellStyle name="Currency 5 2 2 4 5 2 3" xfId="39745" xr:uid="{D0AD874F-E35C-49EA-A699-1297159C7F5B}"/>
    <cellStyle name="Currency 5 2 2 4 5 2 4" xfId="31297" xr:uid="{06E067D1-262A-48B5-BD60-D198EF354253}"/>
    <cellStyle name="Currency 5 2 2 4 5 2 5" xfId="22850" xr:uid="{7DEEDC8E-02BF-4F36-AC07-77E19292D1B2}"/>
    <cellStyle name="Currency 5 2 2 4 5 2 6" xfId="13553" xr:uid="{4A04DC90-8CCF-4ABF-98BE-15236F1F873E}"/>
    <cellStyle name="Currency 5 2 2 4 5 3" xfId="6299" xr:uid="{00000000-0005-0000-0000-0000030C0000}"/>
    <cellStyle name="Currency 5 2 2 4 5 3 2" xfId="41817" xr:uid="{779F89E8-754B-4E8D-A26B-F4BE25171C7B}"/>
    <cellStyle name="Currency 5 2 2 4 5 3 3" xfId="33370" xr:uid="{C9C2E808-1726-4B66-83B8-DC1139DCECE1}"/>
    <cellStyle name="Currency 5 2 2 4 5 3 4" xfId="24922" xr:uid="{A5C031F2-EF7A-445C-8035-A40B911AD0FC}"/>
    <cellStyle name="Currency 5 2 2 4 5 3 5" xfId="15625" xr:uid="{E22FCD36-27F5-4211-9B7D-B6CE8313113F}"/>
    <cellStyle name="Currency 5 2 2 4 5 4" xfId="37600" xr:uid="{3536855E-2911-4C99-88C5-1D29E84054A3}"/>
    <cellStyle name="Currency 5 2 2 4 5 5" xfId="29152" xr:uid="{A304209B-F936-4E11-A0F5-825E610F3D96}"/>
    <cellStyle name="Currency 5 2 2 4 5 6" xfId="20705" xr:uid="{D6F41BB6-0D80-4EFC-A7DC-7C4749FD31F7}"/>
    <cellStyle name="Currency 5 2 2 4 5 7" xfId="11408" xr:uid="{625D55A5-E369-4111-B935-ACB497787003}"/>
    <cellStyle name="Currency 5 2 2 4 6" xfId="2428" xr:uid="{00000000-0005-0000-0000-0000040C0000}"/>
    <cellStyle name="Currency 5 2 2 4 6 2" xfId="6712" xr:uid="{00000000-0005-0000-0000-0000050C0000}"/>
    <cellStyle name="Currency 5 2 2 4 6 2 2" xfId="42230" xr:uid="{A87D29E3-09E4-42D0-87C6-46502B42F852}"/>
    <cellStyle name="Currency 5 2 2 4 6 2 3" xfId="33783" xr:uid="{09D5B092-F8E6-467F-8A25-933DEFA9753A}"/>
    <cellStyle name="Currency 5 2 2 4 6 2 4" xfId="25335" xr:uid="{1DDD8CAC-C2EE-4EED-8116-7F47B15D169A}"/>
    <cellStyle name="Currency 5 2 2 4 6 2 5" xfId="16038" xr:uid="{4E409852-93E7-4320-A9FE-6B6DFE3E6F5F}"/>
    <cellStyle name="Currency 5 2 2 4 6 3" xfId="38013" xr:uid="{F0EAC9A6-552A-4564-9C10-E8EB01DC4549}"/>
    <cellStyle name="Currency 5 2 2 4 6 4" xfId="29565" xr:uid="{2E53CC33-1CB8-45CE-A611-39DAC7DE474F}"/>
    <cellStyle name="Currency 5 2 2 4 6 5" xfId="21118" xr:uid="{4A9FD0EA-3F53-46C2-B8D1-C6B662668352}"/>
    <cellStyle name="Currency 5 2 2 4 6 6" xfId="11821" xr:uid="{EA39EF60-F209-4E6C-B355-4BB9549D5488}"/>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42547" xr:uid="{52290B7D-BC8D-4288-970F-07ED333CE3CF}"/>
    <cellStyle name="Currency 5 2 2 4 8 2 3" xfId="34100" xr:uid="{5F02010D-DD72-48BB-A594-E3F7A00C9035}"/>
    <cellStyle name="Currency 5 2 2 4 8 2 4" xfId="25652" xr:uid="{AE0DCC2B-FDBF-445B-B7F2-F45ADD0FB412}"/>
    <cellStyle name="Currency 5 2 2 4 8 2 5" xfId="16355" xr:uid="{606D567F-94BC-4489-B93C-CA10B98F5F5B}"/>
    <cellStyle name="Currency 5 2 2 4 8 3" xfId="38330" xr:uid="{7D370A0A-6AD7-494D-900D-0FDA000E9D40}"/>
    <cellStyle name="Currency 5 2 2 4 8 4" xfId="29882" xr:uid="{135E010D-7815-4B08-AB33-2ECCF1796742}"/>
    <cellStyle name="Currency 5 2 2 4 8 5" xfId="21435" xr:uid="{148986DD-A087-4C31-97F5-42FC77BB1D9C}"/>
    <cellStyle name="Currency 5 2 2 4 8 6" xfId="12138" xr:uid="{3075660C-52FF-4E6D-8032-6A4743BFA710}"/>
    <cellStyle name="Currency 5 2 2 4 9" xfId="4646" xr:uid="{00000000-0005-0000-0000-0000090C0000}"/>
    <cellStyle name="Currency 5 2 2 4 9 2" xfId="40164" xr:uid="{D926698A-9865-420E-A852-FBBCADF566D7}"/>
    <cellStyle name="Currency 5 2 2 4 9 3" xfId="31717" xr:uid="{272F65EE-C814-465D-BB56-CFB9CE79A808}"/>
    <cellStyle name="Currency 5 2 2 4 9 4" xfId="23269" xr:uid="{687FE11C-A139-42C6-BB20-E18E2438AE19}"/>
    <cellStyle name="Currency 5 2 2 4 9 5" xfId="13972" xr:uid="{C91C805A-E713-40CB-92CB-C6FD032ABF15}"/>
    <cellStyle name="Currency 5 2 2 5" xfId="203" xr:uid="{00000000-0005-0000-0000-00000A0C0000}"/>
    <cellStyle name="Currency 5 2 2 5 10" xfId="9211" xr:uid="{586E1D8D-A72F-44A2-BAB5-A0BAD4827F6D}"/>
    <cellStyle name="Currency 5 2 2 5 10 2" xfId="35948" xr:uid="{68F9B083-D8B7-4724-B897-CFE9328129D3}"/>
    <cellStyle name="Currency 5 2 2 5 10 3" xfId="18525" xr:uid="{FC3B2E8E-A18C-4079-9BDC-97786551B928}"/>
    <cellStyle name="Currency 5 2 2 5 11" xfId="27500" xr:uid="{1956E88D-1DA2-4DFE-B3C4-70165ED14500}"/>
    <cellStyle name="Currency 5 2 2 5 12" xfId="19053" xr:uid="{1F76ADF8-EBEF-42E3-A3D1-B77D68F685E1}"/>
    <cellStyle name="Currency 5 2 2 5 13" xfId="9756" xr:uid="{0741E07A-6622-4B3E-ADA5-269BFC899B66}"/>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42724" xr:uid="{0FEB5421-84BE-4CC3-A247-E6CEF743E5EE}"/>
    <cellStyle name="Currency 5 2 2 5 2 2 2 3" xfId="34277" xr:uid="{C785CBF4-9B2B-4CCF-BF34-D29772CD0A77}"/>
    <cellStyle name="Currency 5 2 2 5 2 2 2 4" xfId="25829" xr:uid="{C7AD8A20-7567-4A5A-85D0-A78DFBA78E6F}"/>
    <cellStyle name="Currency 5 2 2 5 2 2 2 5" xfId="16532" xr:uid="{1C473F3B-19CF-4510-B14E-F24E059ACF22}"/>
    <cellStyle name="Currency 5 2 2 5 2 2 3" xfId="38507" xr:uid="{F98FE587-6E1B-4C5A-A980-E98885CCD48C}"/>
    <cellStyle name="Currency 5 2 2 5 2 2 4" xfId="30059" xr:uid="{8C85F342-A95A-4266-B378-AB872BD53A1C}"/>
    <cellStyle name="Currency 5 2 2 5 2 2 5" xfId="21612" xr:uid="{8EBD2E9B-C1F3-4764-95B1-BF797BA2F38C}"/>
    <cellStyle name="Currency 5 2 2 5 2 2 6" xfId="12315" xr:uid="{88A0EA97-0528-4754-8A99-15AE7AE88DFB}"/>
    <cellStyle name="Currency 5 2 2 5 2 3" xfId="5061" xr:uid="{00000000-0005-0000-0000-00000E0C0000}"/>
    <cellStyle name="Currency 5 2 2 5 2 3 2" xfId="40579" xr:uid="{D9AC2B0F-22CC-40A4-A923-3E2956263E98}"/>
    <cellStyle name="Currency 5 2 2 5 2 3 3" xfId="32132" xr:uid="{38DF654A-AB14-4662-9362-F45489A0ADDC}"/>
    <cellStyle name="Currency 5 2 2 5 2 3 4" xfId="23684" xr:uid="{722E674E-451A-4CA4-AEE5-B78912B3681B}"/>
    <cellStyle name="Currency 5 2 2 5 2 3 5" xfId="14387" xr:uid="{98BD3FD2-A454-4379-8CED-BF646D245AD6}"/>
    <cellStyle name="Currency 5 2 2 5 2 4" xfId="9598" xr:uid="{EBD3270B-608E-49E1-8A20-C5ADF81FBC1B}"/>
    <cellStyle name="Currency 5 2 2 5 2 4 2" xfId="36362" xr:uid="{7E436BFC-853B-4030-9D4A-76B4ED643753}"/>
    <cellStyle name="Currency 5 2 2 5 2 4 3" xfId="18900" xr:uid="{ABA88240-C328-4781-9661-875A57DBE4B8}"/>
    <cellStyle name="Currency 5 2 2 5 2 5" xfId="27914" xr:uid="{FA77DB25-2A2F-4BBC-994F-72081D82DD67}"/>
    <cellStyle name="Currency 5 2 2 5 2 6" xfId="19467" xr:uid="{7FEA31DF-95C2-451B-903E-3B3FE04629FB}"/>
    <cellStyle name="Currency 5 2 2 5 2 7" xfId="10170" xr:uid="{D14071C3-140B-49CE-B649-ACECD8D6565D}"/>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43137" xr:uid="{E0405967-518A-470F-A448-56E1AFCB3D2E}"/>
    <cellStyle name="Currency 5 2 2 5 3 2 2 3" xfId="34690" xr:uid="{C76B0A66-AC10-4BD0-B13D-797B604C43F8}"/>
    <cellStyle name="Currency 5 2 2 5 3 2 2 4" xfId="26242" xr:uid="{582882C0-E0BD-4B55-8617-7B86E396EBD9}"/>
    <cellStyle name="Currency 5 2 2 5 3 2 2 5" xfId="16945" xr:uid="{28F4F843-3E4C-4F4B-BE33-6BA2D64F5DD5}"/>
    <cellStyle name="Currency 5 2 2 5 3 2 3" xfId="38920" xr:uid="{8BF514C4-E5AE-442E-926E-BF37357936F3}"/>
    <cellStyle name="Currency 5 2 2 5 3 2 4" xfId="30472" xr:uid="{00C16394-A827-4B93-B565-4B0009B70915}"/>
    <cellStyle name="Currency 5 2 2 5 3 2 5" xfId="22025" xr:uid="{97F26BDB-6FC4-4D3C-BC90-FD52D369664D}"/>
    <cellStyle name="Currency 5 2 2 5 3 2 6" xfId="12728" xr:uid="{E310C55F-DC38-40AA-A18F-A948EB1EC27D}"/>
    <cellStyle name="Currency 5 2 2 5 3 3" xfId="5474" xr:uid="{00000000-0005-0000-0000-0000120C0000}"/>
    <cellStyle name="Currency 5 2 2 5 3 3 2" xfId="40992" xr:uid="{9C2B180A-4F38-4B91-AD89-B8822D5DC26E}"/>
    <cellStyle name="Currency 5 2 2 5 3 3 3" xfId="32545" xr:uid="{323EA00A-C11C-40B0-B270-FF53BBFA92CF}"/>
    <cellStyle name="Currency 5 2 2 5 3 3 4" xfId="24097" xr:uid="{94C0300C-A179-4257-AC7A-3B9E70037229}"/>
    <cellStyle name="Currency 5 2 2 5 3 3 5" xfId="14800" xr:uid="{2109D67B-2E73-402F-B283-80814DB3E3D6}"/>
    <cellStyle name="Currency 5 2 2 5 3 4" xfId="36775" xr:uid="{CAEEE3B1-0F98-45DB-952D-3B1CD2487EA5}"/>
    <cellStyle name="Currency 5 2 2 5 3 5" xfId="28327" xr:uid="{E14C8B63-EEB7-41AB-9818-B03CF9413932}"/>
    <cellStyle name="Currency 5 2 2 5 3 6" xfId="19880" xr:uid="{71983C8E-0C13-472B-8D23-70625AFF5B19}"/>
    <cellStyle name="Currency 5 2 2 5 3 7" xfId="10583" xr:uid="{BB49854C-4411-4BFC-9E4D-ACF17ADABF44}"/>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43550" xr:uid="{CB9AE278-6531-4007-82D4-804FF916E4FF}"/>
    <cellStyle name="Currency 5 2 2 5 4 2 2 3" xfId="35103" xr:uid="{85A2C0CD-A969-47AC-ACE7-54B83A6C43E7}"/>
    <cellStyle name="Currency 5 2 2 5 4 2 2 4" xfId="26655" xr:uid="{813CED1B-CFBB-4F5A-B5AA-058021FAA7CD}"/>
    <cellStyle name="Currency 5 2 2 5 4 2 2 5" xfId="17358" xr:uid="{8A88F93D-49EF-4034-9BFF-E96C5AD03240}"/>
    <cellStyle name="Currency 5 2 2 5 4 2 3" xfId="39333" xr:uid="{8EBF74DD-E582-4CD5-B1AB-F8720EE762F7}"/>
    <cellStyle name="Currency 5 2 2 5 4 2 4" xfId="30885" xr:uid="{397E8F08-02AC-45B9-8757-5D34984897CC}"/>
    <cellStyle name="Currency 5 2 2 5 4 2 5" xfId="22438" xr:uid="{FB3EFEB6-74BD-470C-9973-17A0CC62E5C9}"/>
    <cellStyle name="Currency 5 2 2 5 4 2 6" xfId="13141" xr:uid="{5C953872-CA57-4924-ADDC-AF1439834F2D}"/>
    <cellStyle name="Currency 5 2 2 5 4 3" xfId="5887" xr:uid="{00000000-0005-0000-0000-0000160C0000}"/>
    <cellStyle name="Currency 5 2 2 5 4 3 2" xfId="41405" xr:uid="{0CD7EC83-8131-4B9E-8F4E-5AE9065CE6BA}"/>
    <cellStyle name="Currency 5 2 2 5 4 3 3" xfId="32958" xr:uid="{7C916F42-4FAA-4D53-A46B-FB635B5FC76F}"/>
    <cellStyle name="Currency 5 2 2 5 4 3 4" xfId="24510" xr:uid="{C4C5369C-B3E3-4098-B56A-71075D9127F4}"/>
    <cellStyle name="Currency 5 2 2 5 4 3 5" xfId="15213" xr:uid="{D7EBD864-85E4-440A-A77F-81930614172D}"/>
    <cellStyle name="Currency 5 2 2 5 4 4" xfId="37188" xr:uid="{04F12C89-6D6D-4B92-AABB-AF6BFE97A482}"/>
    <cellStyle name="Currency 5 2 2 5 4 5" xfId="28740" xr:uid="{E7B1B615-D12D-4BFB-B19B-10726502205E}"/>
    <cellStyle name="Currency 5 2 2 5 4 6" xfId="20293" xr:uid="{4B0FBEF2-10FE-40FE-9624-16BE980BFB7A}"/>
    <cellStyle name="Currency 5 2 2 5 4 7" xfId="10996" xr:uid="{39D23476-82D9-479E-8FA3-479985E6A5F8}"/>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43963" xr:uid="{7F25B434-3BDE-4122-841F-F6058CBE058C}"/>
    <cellStyle name="Currency 5 2 2 5 5 2 2 3" xfId="35516" xr:uid="{F9ED6F52-6BFF-4389-A670-068F982F3701}"/>
    <cellStyle name="Currency 5 2 2 5 5 2 2 4" xfId="27068" xr:uid="{2C49A633-53E7-43FE-95A4-6E33A8B549F0}"/>
    <cellStyle name="Currency 5 2 2 5 5 2 2 5" xfId="17771" xr:uid="{3EF60A30-B5E4-4ABF-B5D0-590C595F7780}"/>
    <cellStyle name="Currency 5 2 2 5 5 2 3" xfId="39746" xr:uid="{C4C55E9C-FBCE-40F3-A95C-A8BF9A1BC6A5}"/>
    <cellStyle name="Currency 5 2 2 5 5 2 4" xfId="31298" xr:uid="{DB2AC208-8B19-4DF2-968F-4CC8E486EAD9}"/>
    <cellStyle name="Currency 5 2 2 5 5 2 5" xfId="22851" xr:uid="{75C6ADC7-AE9D-4A44-8672-7CFB0155FBDE}"/>
    <cellStyle name="Currency 5 2 2 5 5 2 6" xfId="13554" xr:uid="{2B1E54FF-C7D1-4D76-8815-0AC5FD3313EC}"/>
    <cellStyle name="Currency 5 2 2 5 5 3" xfId="6300" xr:uid="{00000000-0005-0000-0000-00001A0C0000}"/>
    <cellStyle name="Currency 5 2 2 5 5 3 2" xfId="41818" xr:uid="{6D6ED251-11AE-47E2-8E8E-625C24780A49}"/>
    <cellStyle name="Currency 5 2 2 5 5 3 3" xfId="33371" xr:uid="{66859212-71FE-4C08-9D47-31E13DDA8299}"/>
    <cellStyle name="Currency 5 2 2 5 5 3 4" xfId="24923" xr:uid="{880E02A6-060A-4567-84C1-5C7376300628}"/>
    <cellStyle name="Currency 5 2 2 5 5 3 5" xfId="15626" xr:uid="{BCF583A8-20DB-4004-8C8F-528620FA5DDC}"/>
    <cellStyle name="Currency 5 2 2 5 5 4" xfId="37601" xr:uid="{8866DCC0-47FE-4A2C-B717-AC8FCD932B3D}"/>
    <cellStyle name="Currency 5 2 2 5 5 5" xfId="29153" xr:uid="{70BAEA92-1223-4169-9E73-BCA886EDDCB4}"/>
    <cellStyle name="Currency 5 2 2 5 5 6" xfId="20706" xr:uid="{ADD05BD7-F18B-44ED-B60E-27BC69241725}"/>
    <cellStyle name="Currency 5 2 2 5 5 7" xfId="11409" xr:uid="{1D909CF0-85FC-419B-9B32-F8639EA5DD82}"/>
    <cellStyle name="Currency 5 2 2 5 6" xfId="2429" xr:uid="{00000000-0005-0000-0000-00001B0C0000}"/>
    <cellStyle name="Currency 5 2 2 5 6 2" xfId="6713" xr:uid="{00000000-0005-0000-0000-00001C0C0000}"/>
    <cellStyle name="Currency 5 2 2 5 6 2 2" xfId="42231" xr:uid="{F9779313-31F5-4016-B0D8-388128AF02AA}"/>
    <cellStyle name="Currency 5 2 2 5 6 2 3" xfId="33784" xr:uid="{B1075FC6-EAC1-4EEE-898C-5F8505906E78}"/>
    <cellStyle name="Currency 5 2 2 5 6 2 4" xfId="25336" xr:uid="{74BD7D71-5FA0-4529-8ABB-AACC647FEF9B}"/>
    <cellStyle name="Currency 5 2 2 5 6 2 5" xfId="16039" xr:uid="{B368679F-730F-47DD-AB0A-CCD6846DD9AA}"/>
    <cellStyle name="Currency 5 2 2 5 6 3" xfId="38014" xr:uid="{BFF1B25D-8D2F-4C67-8F79-D333D5D3820F}"/>
    <cellStyle name="Currency 5 2 2 5 6 4" xfId="29566" xr:uid="{CB62F6F1-C461-484B-96A4-BF1A02738EA1}"/>
    <cellStyle name="Currency 5 2 2 5 6 5" xfId="21119" xr:uid="{07F14D74-BE7D-49FC-AC2E-0C0B00751535}"/>
    <cellStyle name="Currency 5 2 2 5 6 6" xfId="11822" xr:uid="{4CDF83B5-4873-415D-88F7-495DD52319C3}"/>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42548" xr:uid="{3D40A79D-3AF4-46B8-AAF2-B67F7128A985}"/>
    <cellStyle name="Currency 5 2 2 5 8 2 3" xfId="34101" xr:uid="{827A3A52-DD9E-4D64-AF39-959B1534A29E}"/>
    <cellStyle name="Currency 5 2 2 5 8 2 4" xfId="25653" xr:uid="{1A930A39-DB09-4082-B18F-E72293A0C080}"/>
    <cellStyle name="Currency 5 2 2 5 8 2 5" xfId="16356" xr:uid="{CA6D1001-4401-4476-8340-AB19E795B929}"/>
    <cellStyle name="Currency 5 2 2 5 8 3" xfId="38331" xr:uid="{E5A64273-67F9-4532-B733-F2993B639356}"/>
    <cellStyle name="Currency 5 2 2 5 8 4" xfId="29883" xr:uid="{EC0A90E7-5E17-47D6-B377-ECD470918AD6}"/>
    <cellStyle name="Currency 5 2 2 5 8 5" xfId="21436" xr:uid="{083241CA-F0DC-41A7-BA2C-29A0B44A02C4}"/>
    <cellStyle name="Currency 5 2 2 5 8 6" xfId="12139" xr:uid="{1FE3992D-6238-471D-859F-B7BF7826C4C0}"/>
    <cellStyle name="Currency 5 2 2 5 9" xfId="4647" xr:uid="{00000000-0005-0000-0000-0000200C0000}"/>
    <cellStyle name="Currency 5 2 2 5 9 2" xfId="40165" xr:uid="{B03C1305-3167-4D81-97AF-4F5FDA2AFC32}"/>
    <cellStyle name="Currency 5 2 2 5 9 3" xfId="31718" xr:uid="{FE8EDDCA-A87C-4C98-9986-FDD219E40776}"/>
    <cellStyle name="Currency 5 2 2 5 9 4" xfId="23270" xr:uid="{52668E01-80AA-4ADF-8BB8-DC6FAC1A568D}"/>
    <cellStyle name="Currency 5 2 2 5 9 5" xfId="13973" xr:uid="{289BD57F-81D0-48A7-9FA9-4D0D5B0369F9}"/>
    <cellStyle name="Currency 5 2 2 6" xfId="9584" xr:uid="{DC5749FB-A314-4F8C-B61F-309C27A570F5}"/>
    <cellStyle name="Currency 5 2 2 7" xfId="8787" xr:uid="{822EE7D8-70A6-49D7-843D-E84C848DC397}"/>
    <cellStyle name="Currency 5 2 2 7 2" xfId="18110" xr:uid="{B69AE413-A9D9-408F-952E-AD6156C3854F}"/>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40166" xr:uid="{D79EB14A-4189-432D-9559-A62321992E47}"/>
    <cellStyle name="Currency 5 2 4 10 3" xfId="31719" xr:uid="{A06791FF-D15D-4F43-A3C5-7D5FDD9A2DFF}"/>
    <cellStyle name="Currency 5 2 4 10 4" xfId="23271" xr:uid="{0762B663-5483-45C0-8D3E-20CD0A2F79C4}"/>
    <cellStyle name="Currency 5 2 4 10 5" xfId="13974" xr:uid="{9161BB0F-830E-4D4A-8E22-A3F4B9F5050D}"/>
    <cellStyle name="Currency 5 2 4 11" xfId="8859" xr:uid="{D3A5F8AD-5F4E-4BEA-A9B4-9A705A015524}"/>
    <cellStyle name="Currency 5 2 4 11 2" xfId="35949" xr:uid="{DF2B7BFC-F48C-473E-AE36-825FB6C2E476}"/>
    <cellStyle name="Currency 5 2 4 11 3" xfId="18182" xr:uid="{211EB082-5D23-492D-819D-720EA84FDCCB}"/>
    <cellStyle name="Currency 5 2 4 12" xfId="27501" xr:uid="{C474BEF0-5CF4-4649-98F4-4353EF878185}"/>
    <cellStyle name="Currency 5 2 4 13" xfId="19054" xr:uid="{ADC407DC-F2D3-4E4F-94E9-976FE899D95E}"/>
    <cellStyle name="Currency 5 2 4 14" xfId="9757" xr:uid="{F5A9254A-2FD4-42E3-946C-2EB465F1DC85}"/>
    <cellStyle name="Currency 5 2 4 2" xfId="206" xr:uid="{00000000-0005-0000-0000-0000250C0000}"/>
    <cellStyle name="Currency 5 2 4 2 10" xfId="9066" xr:uid="{2F7A28AF-2120-4AAF-A58B-33C2E07F597D}"/>
    <cellStyle name="Currency 5 2 4 2 10 2" xfId="35950" xr:uid="{2260910B-3FD2-4E8B-AECD-45D803CF5F3D}"/>
    <cellStyle name="Currency 5 2 4 2 10 3" xfId="18389" xr:uid="{08246975-00C6-4F23-BB8A-B29FC7C94DB9}"/>
    <cellStyle name="Currency 5 2 4 2 11" xfId="27502" xr:uid="{881B221A-D220-4575-AD18-C89CAD238CF3}"/>
    <cellStyle name="Currency 5 2 4 2 12" xfId="19055" xr:uid="{D7E76213-30A4-4970-9719-3841E3D55842}"/>
    <cellStyle name="Currency 5 2 4 2 13" xfId="9758" xr:uid="{58C1BB8B-22FD-48AC-AB83-6D16F3189F82}"/>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42726" xr:uid="{D51FF98E-D1C2-4BBA-8F1B-70CCEB80BEF4}"/>
    <cellStyle name="Currency 5 2 4 2 2 2 2 3" xfId="34279" xr:uid="{BAEA12EE-6282-45AA-93D9-07F2A64C24CE}"/>
    <cellStyle name="Currency 5 2 4 2 2 2 2 4" xfId="25831" xr:uid="{09237E00-AFEF-4485-B1FB-4E4FB16BA116}"/>
    <cellStyle name="Currency 5 2 4 2 2 2 2 5" xfId="16534" xr:uid="{CD9ED1E9-B0D9-49C2-B1FD-58CAC6AE7570}"/>
    <cellStyle name="Currency 5 2 4 2 2 2 3" xfId="38509" xr:uid="{F529B17E-D1FE-4C7E-B178-125BFDA6E295}"/>
    <cellStyle name="Currency 5 2 4 2 2 2 4" xfId="30061" xr:uid="{B4DEBE81-25BD-4963-BC70-1388AB3E87C9}"/>
    <cellStyle name="Currency 5 2 4 2 2 2 5" xfId="21614" xr:uid="{5BC03057-5D99-4C9E-B1A5-51DD15E2A4C2}"/>
    <cellStyle name="Currency 5 2 4 2 2 2 6" xfId="12317" xr:uid="{5C591110-4C9C-40C0-9A7E-15DCC0E23F22}"/>
    <cellStyle name="Currency 5 2 4 2 2 3" xfId="5063" xr:uid="{00000000-0005-0000-0000-0000290C0000}"/>
    <cellStyle name="Currency 5 2 4 2 2 3 2" xfId="40581" xr:uid="{84001FB9-1CF3-4D63-95BD-017E4FEE3145}"/>
    <cellStyle name="Currency 5 2 4 2 2 3 3" xfId="32134" xr:uid="{3CE1283C-78BB-49F5-8440-0A58C2AA1183}"/>
    <cellStyle name="Currency 5 2 4 2 2 3 4" xfId="23686" xr:uid="{20281A7C-B377-4773-811B-B21E7E861608}"/>
    <cellStyle name="Currency 5 2 4 2 2 3 5" xfId="14389" xr:uid="{88605ECB-F911-42FB-BE80-64D7DA2E4CF8}"/>
    <cellStyle name="Currency 5 2 4 2 2 4" xfId="9491" xr:uid="{64B868C7-9024-4970-9E74-7DF82417BD7A}"/>
    <cellStyle name="Currency 5 2 4 2 2 4 2" xfId="36364" xr:uid="{4BB03F1C-9C3F-4847-A45C-84BD8EBB3E98}"/>
    <cellStyle name="Currency 5 2 4 2 2 4 3" xfId="18804" xr:uid="{A447BE86-0E0C-412E-88A2-9CD79FE48007}"/>
    <cellStyle name="Currency 5 2 4 2 2 5" xfId="27916" xr:uid="{D2E5A81E-1FA5-4AF8-9BA4-F850EE187957}"/>
    <cellStyle name="Currency 5 2 4 2 2 6" xfId="19469" xr:uid="{5EEC5B25-DCBF-4806-9230-D2F41271070B}"/>
    <cellStyle name="Currency 5 2 4 2 2 7" xfId="10172" xr:uid="{375F52FE-7573-49C2-9040-3B1AA67EF7D6}"/>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43139" xr:uid="{BC33EFE9-4BBC-4832-AB1A-84BBC10E59F0}"/>
    <cellStyle name="Currency 5 2 4 2 3 2 2 3" xfId="34692" xr:uid="{5FF6A943-705C-4705-9AE3-17B6C1CA48EB}"/>
    <cellStyle name="Currency 5 2 4 2 3 2 2 4" xfId="26244" xr:uid="{860E6702-053F-49D1-9CD4-55FCD64579D5}"/>
    <cellStyle name="Currency 5 2 4 2 3 2 2 5" xfId="16947" xr:uid="{FE67946E-9696-45AF-BC6A-18121578D48A}"/>
    <cellStyle name="Currency 5 2 4 2 3 2 3" xfId="38922" xr:uid="{4DE03500-8762-40E3-AA10-469569A8D3D4}"/>
    <cellStyle name="Currency 5 2 4 2 3 2 4" xfId="30474" xr:uid="{197557DC-A4E1-488F-AD62-DFC25093A05B}"/>
    <cellStyle name="Currency 5 2 4 2 3 2 5" xfId="22027" xr:uid="{32BDA8C0-D87D-4170-B329-CC170F657675}"/>
    <cellStyle name="Currency 5 2 4 2 3 2 6" xfId="12730" xr:uid="{F7DA9898-CAC0-42A2-B996-F4DFB67E026A}"/>
    <cellStyle name="Currency 5 2 4 2 3 3" xfId="5476" xr:uid="{00000000-0005-0000-0000-00002D0C0000}"/>
    <cellStyle name="Currency 5 2 4 2 3 3 2" xfId="40994" xr:uid="{758A1628-4BAB-43F2-8D12-EFCEFE7B7CFF}"/>
    <cellStyle name="Currency 5 2 4 2 3 3 3" xfId="32547" xr:uid="{8BEAD803-5E40-4F09-BD1F-467467E66C88}"/>
    <cellStyle name="Currency 5 2 4 2 3 3 4" xfId="24099" xr:uid="{DC7C6884-E42B-4C35-BA15-7285E111BBDA}"/>
    <cellStyle name="Currency 5 2 4 2 3 3 5" xfId="14802" xr:uid="{908DCF2D-4BF9-48D4-AA59-17461AA04A2D}"/>
    <cellStyle name="Currency 5 2 4 2 3 4" xfId="36777" xr:uid="{C2DF5C1F-4BFB-4171-8CCD-20C0105F163C}"/>
    <cellStyle name="Currency 5 2 4 2 3 5" xfId="28329" xr:uid="{1947BF67-34FF-4914-8D5E-E72B37BA0E37}"/>
    <cellStyle name="Currency 5 2 4 2 3 6" xfId="19882" xr:uid="{72D8D9CA-F82D-4F09-BA62-412221E1C30B}"/>
    <cellStyle name="Currency 5 2 4 2 3 7" xfId="10585" xr:uid="{E2E94E51-5754-4ED0-8389-0F4EED308E7C}"/>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43552" xr:uid="{61FEFD92-5D64-4242-BCAA-8BADE264FBB0}"/>
    <cellStyle name="Currency 5 2 4 2 4 2 2 3" xfId="35105" xr:uid="{C418901C-18B5-47DC-8258-5C7475297235}"/>
    <cellStyle name="Currency 5 2 4 2 4 2 2 4" xfId="26657" xr:uid="{78142820-4AD8-44BA-AF37-622A2C833BA6}"/>
    <cellStyle name="Currency 5 2 4 2 4 2 2 5" xfId="17360" xr:uid="{F0EE6AE7-00B2-48EB-BFF2-1846A66E4B8D}"/>
    <cellStyle name="Currency 5 2 4 2 4 2 3" xfId="39335" xr:uid="{51C6E525-E4A5-4E65-A7F1-1625A4F1E237}"/>
    <cellStyle name="Currency 5 2 4 2 4 2 4" xfId="30887" xr:uid="{83D8FAFF-9FB4-4102-B940-B96B744DAC12}"/>
    <cellStyle name="Currency 5 2 4 2 4 2 5" xfId="22440" xr:uid="{A4350D2E-4F96-45F2-9EBB-3150D34BF0DE}"/>
    <cellStyle name="Currency 5 2 4 2 4 2 6" xfId="13143" xr:uid="{7ECA197D-160E-45A5-9B17-CA40AFD0490D}"/>
    <cellStyle name="Currency 5 2 4 2 4 3" xfId="5889" xr:uid="{00000000-0005-0000-0000-0000310C0000}"/>
    <cellStyle name="Currency 5 2 4 2 4 3 2" xfId="41407" xr:uid="{2739A13C-33ED-4947-8648-EF52B2F87DBD}"/>
    <cellStyle name="Currency 5 2 4 2 4 3 3" xfId="32960" xr:uid="{E222A14A-9F18-4BA8-BB7C-CA187C921C08}"/>
    <cellStyle name="Currency 5 2 4 2 4 3 4" xfId="24512" xr:uid="{8BF9407E-0CD4-4E07-87E7-F47D67003599}"/>
    <cellStyle name="Currency 5 2 4 2 4 3 5" xfId="15215" xr:uid="{A5A75660-6F4C-4966-8A15-9F6636CBF4AA}"/>
    <cellStyle name="Currency 5 2 4 2 4 4" xfId="37190" xr:uid="{69619974-A143-4ED8-B855-4A493D37B4D6}"/>
    <cellStyle name="Currency 5 2 4 2 4 5" xfId="28742" xr:uid="{6794606E-2E52-43C6-B523-C166BDA56396}"/>
    <cellStyle name="Currency 5 2 4 2 4 6" xfId="20295" xr:uid="{A124F23F-96B4-4634-8918-1B7B77013313}"/>
    <cellStyle name="Currency 5 2 4 2 4 7" xfId="10998" xr:uid="{E28F0C2C-886A-41C3-83A0-C320DA8AF23E}"/>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43965" xr:uid="{091B9270-90BE-400D-B069-B483A6A49F93}"/>
    <cellStyle name="Currency 5 2 4 2 5 2 2 3" xfId="35518" xr:uid="{3B874656-BD6B-4A86-999B-7AE034E2E01A}"/>
    <cellStyle name="Currency 5 2 4 2 5 2 2 4" xfId="27070" xr:uid="{43FB368B-92DA-4FE0-9BDC-8444D4C8C244}"/>
    <cellStyle name="Currency 5 2 4 2 5 2 2 5" xfId="17773" xr:uid="{B2E05137-F038-4D41-A493-47193F59941D}"/>
    <cellStyle name="Currency 5 2 4 2 5 2 3" xfId="39748" xr:uid="{EC76FD87-3441-420C-9DA3-D056A15239F3}"/>
    <cellStyle name="Currency 5 2 4 2 5 2 4" xfId="31300" xr:uid="{4DB44BA5-A10D-4B3A-89F5-55FA322EF25B}"/>
    <cellStyle name="Currency 5 2 4 2 5 2 5" xfId="22853" xr:uid="{6ED5A1B4-F7E1-4D34-A909-B112AEB72CF9}"/>
    <cellStyle name="Currency 5 2 4 2 5 2 6" xfId="13556" xr:uid="{8FC267A9-D6D9-4F49-8F57-1452FDA14243}"/>
    <cellStyle name="Currency 5 2 4 2 5 3" xfId="6302" xr:uid="{00000000-0005-0000-0000-0000350C0000}"/>
    <cellStyle name="Currency 5 2 4 2 5 3 2" xfId="41820" xr:uid="{F51B0FDE-BBDC-41F5-AF3D-E3D07D2F6801}"/>
    <cellStyle name="Currency 5 2 4 2 5 3 3" xfId="33373" xr:uid="{D27B150D-5B30-49B1-B207-22EB3D43A00F}"/>
    <cellStyle name="Currency 5 2 4 2 5 3 4" xfId="24925" xr:uid="{4905747C-F418-41D2-94DD-562ADB551344}"/>
    <cellStyle name="Currency 5 2 4 2 5 3 5" xfId="15628" xr:uid="{4466EFA9-66CC-408F-B3AC-7CE7F7E98A7A}"/>
    <cellStyle name="Currency 5 2 4 2 5 4" xfId="37603" xr:uid="{F30BDF44-1FF2-4FDD-892A-C5711AD71B66}"/>
    <cellStyle name="Currency 5 2 4 2 5 5" xfId="29155" xr:uid="{9A50FBE9-773B-4ED1-880B-120C9B630A24}"/>
    <cellStyle name="Currency 5 2 4 2 5 6" xfId="20708" xr:uid="{F6E673E5-3466-4F9F-8DDD-834336B6E2EA}"/>
    <cellStyle name="Currency 5 2 4 2 5 7" xfId="11411" xr:uid="{0C106030-431D-4FB7-96C3-EADFDC6AB16C}"/>
    <cellStyle name="Currency 5 2 4 2 6" xfId="2431" xr:uid="{00000000-0005-0000-0000-0000360C0000}"/>
    <cellStyle name="Currency 5 2 4 2 6 2" xfId="6715" xr:uid="{00000000-0005-0000-0000-0000370C0000}"/>
    <cellStyle name="Currency 5 2 4 2 6 2 2" xfId="42233" xr:uid="{315C05D5-38E8-486E-A22D-EA5683E9624E}"/>
    <cellStyle name="Currency 5 2 4 2 6 2 3" xfId="33786" xr:uid="{1B827050-278E-49D6-A520-01B011B58089}"/>
    <cellStyle name="Currency 5 2 4 2 6 2 4" xfId="25338" xr:uid="{76A08FAD-C1B4-4278-A4A3-B8E3916D5A9B}"/>
    <cellStyle name="Currency 5 2 4 2 6 2 5" xfId="16041" xr:uid="{9530E581-F66E-4381-8ED8-ADC2173BD42A}"/>
    <cellStyle name="Currency 5 2 4 2 6 3" xfId="38016" xr:uid="{C88F5B19-5AC0-4428-A39D-62D97F6B51CB}"/>
    <cellStyle name="Currency 5 2 4 2 6 4" xfId="29568" xr:uid="{70546ABB-9315-4D81-B68E-44FE18505D3D}"/>
    <cellStyle name="Currency 5 2 4 2 6 5" xfId="21121" xr:uid="{C06982AC-19EB-4397-8D65-63153DFE35E6}"/>
    <cellStyle name="Currency 5 2 4 2 6 6" xfId="11824" xr:uid="{9A7DAADB-93A3-4AC2-B638-D6F909FB0905}"/>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42550" xr:uid="{96AD1233-18D7-4320-8EBA-F8394C552C31}"/>
    <cellStyle name="Currency 5 2 4 2 8 2 3" xfId="34103" xr:uid="{14ADA7AC-4D7D-4300-A436-F2740E9DACA2}"/>
    <cellStyle name="Currency 5 2 4 2 8 2 4" xfId="25655" xr:uid="{437904C7-0C2A-41A5-866E-6D85A00299B6}"/>
    <cellStyle name="Currency 5 2 4 2 8 2 5" xfId="16358" xr:uid="{164343C9-7675-4B64-9409-F37602F530C2}"/>
    <cellStyle name="Currency 5 2 4 2 8 3" xfId="38333" xr:uid="{1B9F1723-9F9F-4417-AD3A-A3433D1882CB}"/>
    <cellStyle name="Currency 5 2 4 2 8 4" xfId="29885" xr:uid="{CE5C9ED0-879D-45E4-9903-AE58D60A9105}"/>
    <cellStyle name="Currency 5 2 4 2 8 5" xfId="21438" xr:uid="{7A821772-2EB5-478B-AD4F-0E727ACC484F}"/>
    <cellStyle name="Currency 5 2 4 2 8 6" xfId="12141" xr:uid="{D7DA236E-2A96-4BC6-9A74-8DBB92A59196}"/>
    <cellStyle name="Currency 5 2 4 2 9" xfId="4649" xr:uid="{00000000-0005-0000-0000-00003B0C0000}"/>
    <cellStyle name="Currency 5 2 4 2 9 2" xfId="40167" xr:uid="{2CB31A40-F260-4C8E-841C-B37EC765268C}"/>
    <cellStyle name="Currency 5 2 4 2 9 3" xfId="31720" xr:uid="{DB5E7C24-38A9-46E9-A92F-5E853915ADC7}"/>
    <cellStyle name="Currency 5 2 4 2 9 4" xfId="23272" xr:uid="{1C3B569D-3958-4252-B47F-74D64450990D}"/>
    <cellStyle name="Currency 5 2 4 2 9 5" xfId="13975" xr:uid="{496303B2-E583-4308-AACC-ADCC44F9B2F3}"/>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42725" xr:uid="{40B1653A-8380-476F-91D2-43E28B9BBE09}"/>
    <cellStyle name="Currency 5 2 4 3 2 2 3" xfId="34278" xr:uid="{5F0AB8ED-C8F3-4995-A409-2112366B91DB}"/>
    <cellStyle name="Currency 5 2 4 3 2 2 4" xfId="25830" xr:uid="{27D22759-AF13-4E54-9561-3610A791747C}"/>
    <cellStyle name="Currency 5 2 4 3 2 2 5" xfId="16533" xr:uid="{07BF7856-CA44-49B9-8554-64557C094DA9}"/>
    <cellStyle name="Currency 5 2 4 3 2 3" xfId="38508" xr:uid="{3595215B-EF08-40CB-A7C3-4CD9CAE49C4A}"/>
    <cellStyle name="Currency 5 2 4 3 2 4" xfId="30060" xr:uid="{2336F7BB-566E-424C-83B5-452E8E864218}"/>
    <cellStyle name="Currency 5 2 4 3 2 5" xfId="21613" xr:uid="{4981D4F0-7795-4B76-B7EA-3EC18E06D14A}"/>
    <cellStyle name="Currency 5 2 4 3 2 6" xfId="12316" xr:uid="{AC9605D6-F402-4255-A922-A2965AA00E8E}"/>
    <cellStyle name="Currency 5 2 4 3 3" xfId="5062" xr:uid="{00000000-0005-0000-0000-00003F0C0000}"/>
    <cellStyle name="Currency 5 2 4 3 3 2" xfId="40580" xr:uid="{071FB84C-635B-4EA9-BE69-E7080FE0ED93}"/>
    <cellStyle name="Currency 5 2 4 3 3 3" xfId="32133" xr:uid="{991C5BD0-CA18-493D-AD79-2EA4E0F7425A}"/>
    <cellStyle name="Currency 5 2 4 3 3 4" xfId="23685" xr:uid="{D7C22C08-70FA-4AE4-A5C1-256D865AC6B7}"/>
    <cellStyle name="Currency 5 2 4 3 3 5" xfId="14388" xr:uid="{82BC1BAA-B842-4DB9-9D7C-CB53C900800C}"/>
    <cellStyle name="Currency 5 2 4 3 4" xfId="9284" xr:uid="{1D0B72AC-AFAC-428F-8BF0-6DFF9565613D}"/>
    <cellStyle name="Currency 5 2 4 3 4 2" xfId="36363" xr:uid="{756364E5-584D-417A-BBFE-47704BC9FF44}"/>
    <cellStyle name="Currency 5 2 4 3 4 3" xfId="18597" xr:uid="{E65BA7B3-7A77-48BC-8C73-845E3CBE422D}"/>
    <cellStyle name="Currency 5 2 4 3 5" xfId="27915" xr:uid="{882C8741-9545-470B-B034-08F00D675EC9}"/>
    <cellStyle name="Currency 5 2 4 3 6" xfId="19468" xr:uid="{328E325C-9DB2-44EF-A376-C647316C37F7}"/>
    <cellStyle name="Currency 5 2 4 3 7" xfId="10171" xr:uid="{D09D9A6E-755B-4AC7-B4C2-D0E5279585AE}"/>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43138" xr:uid="{60AB04D2-7FBA-4FB4-8348-B797AC4635EB}"/>
    <cellStyle name="Currency 5 2 4 4 2 2 3" xfId="34691" xr:uid="{A2DEC42D-BE42-4C4C-B9CF-3017A3387DC2}"/>
    <cellStyle name="Currency 5 2 4 4 2 2 4" xfId="26243" xr:uid="{048A5C57-F458-4C5E-B6FF-55EB4AC6BC85}"/>
    <cellStyle name="Currency 5 2 4 4 2 2 5" xfId="16946" xr:uid="{69F4A71A-A2B2-47FE-A9F7-B486BE8CB632}"/>
    <cellStyle name="Currency 5 2 4 4 2 3" xfId="38921" xr:uid="{C488ED17-B062-435D-8DB7-DE4520F99DB1}"/>
    <cellStyle name="Currency 5 2 4 4 2 4" xfId="30473" xr:uid="{00133747-3082-4544-A018-70AAD4637781}"/>
    <cellStyle name="Currency 5 2 4 4 2 5" xfId="22026" xr:uid="{DD621BB6-50C3-4821-996B-0DDF828A413E}"/>
    <cellStyle name="Currency 5 2 4 4 2 6" xfId="12729" xr:uid="{1459686D-DACB-4F1C-A513-8E72C172B7DF}"/>
    <cellStyle name="Currency 5 2 4 4 3" xfId="5475" xr:uid="{00000000-0005-0000-0000-0000430C0000}"/>
    <cellStyle name="Currency 5 2 4 4 3 2" xfId="40993" xr:uid="{984A795D-9E85-40B0-95A4-38CB54D4A587}"/>
    <cellStyle name="Currency 5 2 4 4 3 3" xfId="32546" xr:uid="{484C832F-567F-425E-8EDA-EBB3FD4994CD}"/>
    <cellStyle name="Currency 5 2 4 4 3 4" xfId="24098" xr:uid="{7878416C-D32A-42C4-A252-798797522815}"/>
    <cellStyle name="Currency 5 2 4 4 3 5" xfId="14801" xr:uid="{57543CAD-D095-4776-BF4A-E16B84BBB12F}"/>
    <cellStyle name="Currency 5 2 4 4 4" xfId="36776" xr:uid="{29EB82FF-6DD4-4165-A412-445134C337CA}"/>
    <cellStyle name="Currency 5 2 4 4 5" xfId="28328" xr:uid="{BA5DE5E6-13D8-4770-8A8C-10CA7991BC4F}"/>
    <cellStyle name="Currency 5 2 4 4 6" xfId="19881" xr:uid="{43228CFC-194F-49C2-8D64-8D82C1E0910F}"/>
    <cellStyle name="Currency 5 2 4 4 7" xfId="10584" xr:uid="{C87E9D87-6111-4951-8EB7-CE38E5F91AD4}"/>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43551" xr:uid="{061AC142-2935-412E-BE74-07E505190E92}"/>
    <cellStyle name="Currency 5 2 4 5 2 2 3" xfId="35104" xr:uid="{8F4708A1-3040-4C7C-AD4D-34C2CF78CA35}"/>
    <cellStyle name="Currency 5 2 4 5 2 2 4" xfId="26656" xr:uid="{3F48CC68-E1F3-4495-B666-264DD039A961}"/>
    <cellStyle name="Currency 5 2 4 5 2 2 5" xfId="17359" xr:uid="{C8D6240A-9969-4E80-8420-D9D5EDD1E523}"/>
    <cellStyle name="Currency 5 2 4 5 2 3" xfId="39334" xr:uid="{948326F3-2719-4CA1-8D8A-DB15E0927A08}"/>
    <cellStyle name="Currency 5 2 4 5 2 4" xfId="30886" xr:uid="{E0CE21B0-5EAD-4A95-A432-4C3149C43061}"/>
    <cellStyle name="Currency 5 2 4 5 2 5" xfId="22439" xr:uid="{48A30B52-03F1-416E-B42A-7C9F917FF36C}"/>
    <cellStyle name="Currency 5 2 4 5 2 6" xfId="13142" xr:uid="{FD69DEDB-DE90-40EF-B17D-017165E62501}"/>
    <cellStyle name="Currency 5 2 4 5 3" xfId="5888" xr:uid="{00000000-0005-0000-0000-0000470C0000}"/>
    <cellStyle name="Currency 5 2 4 5 3 2" xfId="41406" xr:uid="{B134EC44-55AA-4688-A354-E3FAFE8A18D6}"/>
    <cellStyle name="Currency 5 2 4 5 3 3" xfId="32959" xr:uid="{BC00B88F-CDE0-4F1E-9E48-895841A1BE3C}"/>
    <cellStyle name="Currency 5 2 4 5 3 4" xfId="24511" xr:uid="{8CDA8C5B-E9EB-4846-BA74-CF9D9FDEBADA}"/>
    <cellStyle name="Currency 5 2 4 5 3 5" xfId="15214" xr:uid="{3036353A-D677-486F-B221-8F45289F2C45}"/>
    <cellStyle name="Currency 5 2 4 5 4" xfId="37189" xr:uid="{E775809F-F7EA-42F9-A912-6A85CFEA09A5}"/>
    <cellStyle name="Currency 5 2 4 5 5" xfId="28741" xr:uid="{91E84FD9-4E88-4B98-B3F7-F21EE942D778}"/>
    <cellStyle name="Currency 5 2 4 5 6" xfId="20294" xr:uid="{BA98356D-6F98-4B4E-A5C4-A7E9C66CF909}"/>
    <cellStyle name="Currency 5 2 4 5 7" xfId="10997" xr:uid="{EEDB2B05-DAFF-4CCA-BE6A-2AE8AA220705}"/>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43964" xr:uid="{136846A6-B5DD-44FE-839B-55B22EC6B9CD}"/>
    <cellStyle name="Currency 5 2 4 6 2 2 3" xfId="35517" xr:uid="{51CE3B65-7D63-4CA8-86F3-725DBED09455}"/>
    <cellStyle name="Currency 5 2 4 6 2 2 4" xfId="27069" xr:uid="{C0FEB0F3-BA27-4704-9DF3-90B6FD036AA4}"/>
    <cellStyle name="Currency 5 2 4 6 2 2 5" xfId="17772" xr:uid="{6AC04070-B1EA-45F5-B391-395AD8BE8337}"/>
    <cellStyle name="Currency 5 2 4 6 2 3" xfId="39747" xr:uid="{13468675-A080-406A-ADE1-4741A5587C89}"/>
    <cellStyle name="Currency 5 2 4 6 2 4" xfId="31299" xr:uid="{D5607B15-752B-4223-AC01-B5CA32616403}"/>
    <cellStyle name="Currency 5 2 4 6 2 5" xfId="22852" xr:uid="{52D78DE1-5441-488F-A0AB-901AF5D7EC45}"/>
    <cellStyle name="Currency 5 2 4 6 2 6" xfId="13555" xr:uid="{83846392-5734-4F70-BD31-23414DDB06FC}"/>
    <cellStyle name="Currency 5 2 4 6 3" xfId="6301" xr:uid="{00000000-0005-0000-0000-00004B0C0000}"/>
    <cellStyle name="Currency 5 2 4 6 3 2" xfId="41819" xr:uid="{272951C8-BC4B-4B40-B447-C929FFE7DFF5}"/>
    <cellStyle name="Currency 5 2 4 6 3 3" xfId="33372" xr:uid="{3FAB8BA6-A0B8-4FF8-B0F0-B403114601EE}"/>
    <cellStyle name="Currency 5 2 4 6 3 4" xfId="24924" xr:uid="{600AFC25-BCA0-4DDE-BF25-724A98BFF38C}"/>
    <cellStyle name="Currency 5 2 4 6 3 5" xfId="15627" xr:uid="{A50348C2-0774-4428-9074-CDA30C0213B4}"/>
    <cellStyle name="Currency 5 2 4 6 4" xfId="37602" xr:uid="{144F9D10-4AFF-495E-B4FC-919DB8A101FB}"/>
    <cellStyle name="Currency 5 2 4 6 5" xfId="29154" xr:uid="{1B94F61D-EAB3-4A08-8E98-58E004C32A4C}"/>
    <cellStyle name="Currency 5 2 4 6 6" xfId="20707" xr:uid="{325947BD-32D3-4D09-9A34-9FEE343B5347}"/>
    <cellStyle name="Currency 5 2 4 6 7" xfId="11410" xr:uid="{133C2225-6C64-4108-909D-607C36A65E66}"/>
    <cellStyle name="Currency 5 2 4 7" xfId="2430" xr:uid="{00000000-0005-0000-0000-00004C0C0000}"/>
    <cellStyle name="Currency 5 2 4 7 2" xfId="6714" xr:uid="{00000000-0005-0000-0000-00004D0C0000}"/>
    <cellStyle name="Currency 5 2 4 7 2 2" xfId="42232" xr:uid="{68151485-19FD-4534-9A25-8ECFC78E6C2E}"/>
    <cellStyle name="Currency 5 2 4 7 2 3" xfId="33785" xr:uid="{F2A6266C-5D6B-4519-8CB6-FFDD2C461C66}"/>
    <cellStyle name="Currency 5 2 4 7 2 4" xfId="25337" xr:uid="{419B00DE-9CE7-46DA-8493-E221C785EF1A}"/>
    <cellStyle name="Currency 5 2 4 7 2 5" xfId="16040" xr:uid="{382827EA-11B3-4396-815D-98C304D94E22}"/>
    <cellStyle name="Currency 5 2 4 7 3" xfId="38015" xr:uid="{84F567B7-7291-4025-8B5B-123ED66CCB56}"/>
    <cellStyle name="Currency 5 2 4 7 4" xfId="29567" xr:uid="{C5C3D911-E885-40F8-8921-758FD9C1461D}"/>
    <cellStyle name="Currency 5 2 4 7 5" xfId="21120" xr:uid="{CE2609A6-71EC-4B13-A103-C7C97DBFAAB1}"/>
    <cellStyle name="Currency 5 2 4 7 6" xfId="11823" xr:uid="{204B7131-C2D4-4175-9DC8-CA469EBD40BF}"/>
    <cellStyle name="Currency 5 2 4 8" xfId="2727" xr:uid="{00000000-0005-0000-0000-00004E0C0000}"/>
    <cellStyle name="Currency 5 2 4 9" xfId="2808" xr:uid="{00000000-0005-0000-0000-00004F0C0000}"/>
    <cellStyle name="Currency 5 2 4 9 2" xfId="7031" xr:uid="{00000000-0005-0000-0000-0000500C0000}"/>
    <cellStyle name="Currency 5 2 4 9 2 2" xfId="42549" xr:uid="{2A781915-5561-43AC-8BF6-BF7A31B04169}"/>
    <cellStyle name="Currency 5 2 4 9 2 3" xfId="34102" xr:uid="{A70A6BBF-092B-481B-9F2F-C33AFBB8674A}"/>
    <cellStyle name="Currency 5 2 4 9 2 4" xfId="25654" xr:uid="{B21019D2-5324-44D0-A1A9-F54050F715BB}"/>
    <cellStyle name="Currency 5 2 4 9 2 5" xfId="16357" xr:uid="{83F81B12-3BCA-43ED-AA27-A3D3B571617E}"/>
    <cellStyle name="Currency 5 2 4 9 3" xfId="38332" xr:uid="{C98F5345-C6F9-447E-BCA3-116A5075E450}"/>
    <cellStyle name="Currency 5 2 4 9 4" xfId="29884" xr:uid="{308C6DC4-D35A-4AE0-9758-1842363B3C99}"/>
    <cellStyle name="Currency 5 2 4 9 5" xfId="21437" xr:uid="{55872688-1848-4C29-BBF5-8869CD0CB26A}"/>
    <cellStyle name="Currency 5 2 4 9 6" xfId="12140" xr:uid="{57BE086F-F218-4A85-B34C-151431AED149}"/>
    <cellStyle name="Currency 5 2 5" xfId="207" xr:uid="{00000000-0005-0000-0000-0000510C0000}"/>
    <cellStyle name="Currency 5 2 5 10" xfId="8975" xr:uid="{3422EC31-C47F-46E0-A50C-FE05B1979387}"/>
    <cellStyle name="Currency 5 2 5 10 2" xfId="35951" xr:uid="{33EA88B5-AAFA-4EE7-8061-620669D6FFB0}"/>
    <cellStyle name="Currency 5 2 5 10 3" xfId="18298" xr:uid="{BDD4B17E-455D-46AA-B8B6-605454B5F14A}"/>
    <cellStyle name="Currency 5 2 5 11" xfId="27503" xr:uid="{C14AB968-860C-4B0F-A8DB-B4E5FACCC5A8}"/>
    <cellStyle name="Currency 5 2 5 12" xfId="19056" xr:uid="{07EC3659-DC59-47C0-AC0C-F0CC6E54454D}"/>
    <cellStyle name="Currency 5 2 5 13" xfId="9759" xr:uid="{B4D82FA9-1F6F-4AB8-B7C7-DB363A65C7C6}"/>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42727" xr:uid="{D1673809-5413-48F8-8DFF-2D6370FC326D}"/>
    <cellStyle name="Currency 5 2 5 2 2 2 3" xfId="34280" xr:uid="{9E0D1F45-D606-490D-8DDD-27416A93E246}"/>
    <cellStyle name="Currency 5 2 5 2 2 2 4" xfId="25832" xr:uid="{B7EFEB23-9636-4E2C-BCAB-D4C346BD0545}"/>
    <cellStyle name="Currency 5 2 5 2 2 2 5" xfId="16535" xr:uid="{72DC1226-BEB8-4DB1-A90E-8C4F1DE84B62}"/>
    <cellStyle name="Currency 5 2 5 2 2 3" xfId="38510" xr:uid="{F86632DD-8E42-4177-8457-A03290460DA2}"/>
    <cellStyle name="Currency 5 2 5 2 2 4" xfId="30062" xr:uid="{852E815D-EFE1-4947-A3D0-C7E51FA1BF97}"/>
    <cellStyle name="Currency 5 2 5 2 2 5" xfId="21615" xr:uid="{D990F648-8D99-415E-BBA2-FC55862C44B9}"/>
    <cellStyle name="Currency 5 2 5 2 2 6" xfId="12318" xr:uid="{A7A97F4C-6B71-443B-B419-9A3B5E644F4D}"/>
    <cellStyle name="Currency 5 2 5 2 3" xfId="5064" xr:uid="{00000000-0005-0000-0000-0000550C0000}"/>
    <cellStyle name="Currency 5 2 5 2 3 2" xfId="40582" xr:uid="{CF1D389E-AADC-488A-959E-489ACD25E89C}"/>
    <cellStyle name="Currency 5 2 5 2 3 3" xfId="32135" xr:uid="{A76DCBDC-C95F-4690-A98D-2EA5A486F2D5}"/>
    <cellStyle name="Currency 5 2 5 2 3 4" xfId="23687" xr:uid="{249260D7-AD6B-4838-A28F-99D15E838C4A}"/>
    <cellStyle name="Currency 5 2 5 2 3 5" xfId="14390" xr:uid="{DFDDBFE0-A451-4C3F-9BB1-BA4BDFBC1E6B}"/>
    <cellStyle name="Currency 5 2 5 2 4" xfId="9400" xr:uid="{6620DDCD-05C0-4AFD-8A83-F1190101CCB3}"/>
    <cellStyle name="Currency 5 2 5 2 4 2" xfId="36365" xr:uid="{1856EA41-B301-4AE4-BD5E-02C0B9CBDD9B}"/>
    <cellStyle name="Currency 5 2 5 2 4 3" xfId="18713" xr:uid="{7B248B9E-4D9D-48A2-ADB8-008299838D00}"/>
    <cellStyle name="Currency 5 2 5 2 5" xfId="27917" xr:uid="{E838641D-B7ED-455C-8150-AF7BC30A4462}"/>
    <cellStyle name="Currency 5 2 5 2 6" xfId="19470" xr:uid="{692123E5-8244-41DE-A19E-BEDB0097B776}"/>
    <cellStyle name="Currency 5 2 5 2 7" xfId="10173" xr:uid="{85E8C92B-1EEB-4528-BFCA-1940A8E696C0}"/>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43140" xr:uid="{5A012104-61BB-47E3-9BB5-B4D3819CD601}"/>
    <cellStyle name="Currency 5 2 5 3 2 2 3" xfId="34693" xr:uid="{FA4B782F-D4E0-4DD7-93F9-D053717816AC}"/>
    <cellStyle name="Currency 5 2 5 3 2 2 4" xfId="26245" xr:uid="{05961320-4BEC-452A-B6DB-CD49E9393CAC}"/>
    <cellStyle name="Currency 5 2 5 3 2 2 5" xfId="16948" xr:uid="{CF1EAC24-7050-4198-BD06-DCC0C3A51D7E}"/>
    <cellStyle name="Currency 5 2 5 3 2 3" xfId="38923" xr:uid="{5388E111-2733-486E-8E39-C8BBAEBE4E21}"/>
    <cellStyle name="Currency 5 2 5 3 2 4" xfId="30475" xr:uid="{D77A194C-B1AC-4EDF-9ABA-ED036A58055A}"/>
    <cellStyle name="Currency 5 2 5 3 2 5" xfId="22028" xr:uid="{0501E5A7-E306-4B51-BA3D-89A6B46FD99B}"/>
    <cellStyle name="Currency 5 2 5 3 2 6" xfId="12731" xr:uid="{C9353B38-03E9-4E48-A7F8-46557D576167}"/>
    <cellStyle name="Currency 5 2 5 3 3" xfId="5477" xr:uid="{00000000-0005-0000-0000-0000590C0000}"/>
    <cellStyle name="Currency 5 2 5 3 3 2" xfId="40995" xr:uid="{A650405D-7CAB-4729-85CC-3C4306C7884C}"/>
    <cellStyle name="Currency 5 2 5 3 3 3" xfId="32548" xr:uid="{E6084EDB-8C43-46A1-8327-52D3B4BEF330}"/>
    <cellStyle name="Currency 5 2 5 3 3 4" xfId="24100" xr:uid="{1605284C-95A3-4593-B7B9-4D75421379D0}"/>
    <cellStyle name="Currency 5 2 5 3 3 5" xfId="14803" xr:uid="{6F1233FE-5EC8-4CCB-A86B-24800890AA45}"/>
    <cellStyle name="Currency 5 2 5 3 4" xfId="36778" xr:uid="{62DCB42C-E2C7-4296-AC49-DB7FC86A67D1}"/>
    <cellStyle name="Currency 5 2 5 3 5" xfId="28330" xr:uid="{399902BB-80AE-450E-BD5D-C490B18BE0B8}"/>
    <cellStyle name="Currency 5 2 5 3 6" xfId="19883" xr:uid="{03C668E9-2938-48EF-80A2-788B3974E543}"/>
    <cellStyle name="Currency 5 2 5 3 7" xfId="10586" xr:uid="{592D0369-9E31-4A17-A563-D8C122F0DDE3}"/>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43553" xr:uid="{E277A834-CA52-4360-9DE1-7834466AF886}"/>
    <cellStyle name="Currency 5 2 5 4 2 2 3" xfId="35106" xr:uid="{EB5321B6-2BBA-4B68-9647-2E3C523DAF05}"/>
    <cellStyle name="Currency 5 2 5 4 2 2 4" xfId="26658" xr:uid="{EF6105C5-273D-4B05-B3B4-DA5D65295262}"/>
    <cellStyle name="Currency 5 2 5 4 2 2 5" xfId="17361" xr:uid="{87BD0DED-6323-4A62-B4A7-B48B012E8175}"/>
    <cellStyle name="Currency 5 2 5 4 2 3" xfId="39336" xr:uid="{0012A529-4AB2-45B9-ABA9-96772D4DF9B6}"/>
    <cellStyle name="Currency 5 2 5 4 2 4" xfId="30888" xr:uid="{25F8A888-7212-47DC-B51C-95F4439A4308}"/>
    <cellStyle name="Currency 5 2 5 4 2 5" xfId="22441" xr:uid="{089E0BB9-C47B-4CDA-8A12-829BA9C5E045}"/>
    <cellStyle name="Currency 5 2 5 4 2 6" xfId="13144" xr:uid="{066085B5-D356-44F9-A7D5-84F77918B000}"/>
    <cellStyle name="Currency 5 2 5 4 3" xfId="5890" xr:uid="{00000000-0005-0000-0000-00005D0C0000}"/>
    <cellStyle name="Currency 5 2 5 4 3 2" xfId="41408" xr:uid="{7073C904-9191-4D24-87A7-A9E52A9EF6F9}"/>
    <cellStyle name="Currency 5 2 5 4 3 3" xfId="32961" xr:uid="{0F729736-186A-4CFB-B149-35CCE5E3035C}"/>
    <cellStyle name="Currency 5 2 5 4 3 4" xfId="24513" xr:uid="{68FAFB70-AF3E-45B3-AA0E-B932D9D0D549}"/>
    <cellStyle name="Currency 5 2 5 4 3 5" xfId="15216" xr:uid="{5AA17F07-E374-4E18-A3FA-082102438D58}"/>
    <cellStyle name="Currency 5 2 5 4 4" xfId="37191" xr:uid="{DA324A57-4BAB-4718-9552-558D40C1A519}"/>
    <cellStyle name="Currency 5 2 5 4 5" xfId="28743" xr:uid="{352002AF-211C-41C4-A78D-02CA45399B13}"/>
    <cellStyle name="Currency 5 2 5 4 6" xfId="20296" xr:uid="{3146EC51-ACFE-403D-8448-C790FAF21D1B}"/>
    <cellStyle name="Currency 5 2 5 4 7" xfId="10999" xr:uid="{0FA83504-1619-4AEC-A17A-FBB53577BC6D}"/>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43966" xr:uid="{AE9C020F-5868-410C-A45E-E68E341ACED5}"/>
    <cellStyle name="Currency 5 2 5 5 2 2 3" xfId="35519" xr:uid="{3BA8AE2C-D201-4D10-9B19-0602CFF668F3}"/>
    <cellStyle name="Currency 5 2 5 5 2 2 4" xfId="27071" xr:uid="{DB6B0CF7-C155-46EA-A46B-BCB6B6E27640}"/>
    <cellStyle name="Currency 5 2 5 5 2 2 5" xfId="17774" xr:uid="{28CE1E60-65F0-4427-A6D5-025AA59DCC01}"/>
    <cellStyle name="Currency 5 2 5 5 2 3" xfId="39749" xr:uid="{9B6A8575-69E1-4F08-8AB5-33757D1092CB}"/>
    <cellStyle name="Currency 5 2 5 5 2 4" xfId="31301" xr:uid="{A2BA22B2-8AC2-4C55-9130-6428D959D920}"/>
    <cellStyle name="Currency 5 2 5 5 2 5" xfId="22854" xr:uid="{E2427498-68F1-48C6-A03D-A02FA773382B}"/>
    <cellStyle name="Currency 5 2 5 5 2 6" xfId="13557" xr:uid="{5A6ADD7C-2BA1-46B0-B2C6-64AAC0CB08E1}"/>
    <cellStyle name="Currency 5 2 5 5 3" xfId="6303" xr:uid="{00000000-0005-0000-0000-0000610C0000}"/>
    <cellStyle name="Currency 5 2 5 5 3 2" xfId="41821" xr:uid="{D4BB16EA-A784-4E0A-894F-53405C363705}"/>
    <cellStyle name="Currency 5 2 5 5 3 3" xfId="33374" xr:uid="{D3DD8FAB-C7BF-45AB-A56B-E58DA6B5C9BF}"/>
    <cellStyle name="Currency 5 2 5 5 3 4" xfId="24926" xr:uid="{27D8D4A0-210E-42C0-9E9B-42E9E64CC8E2}"/>
    <cellStyle name="Currency 5 2 5 5 3 5" xfId="15629" xr:uid="{62798720-6F9C-40F7-AF8E-89F1322ACCBA}"/>
    <cellStyle name="Currency 5 2 5 5 4" xfId="37604" xr:uid="{997EC0F1-673A-4287-98A9-AE4790A59347}"/>
    <cellStyle name="Currency 5 2 5 5 5" xfId="29156" xr:uid="{850A6B27-0C9B-45EC-9DE2-5633336C4473}"/>
    <cellStyle name="Currency 5 2 5 5 6" xfId="20709" xr:uid="{6AFDC906-628C-4230-9FE8-03B5B52F91FF}"/>
    <cellStyle name="Currency 5 2 5 5 7" xfId="11412" xr:uid="{0FA64BA1-1185-4446-B763-F437CCF85145}"/>
    <cellStyle name="Currency 5 2 5 6" xfId="2432" xr:uid="{00000000-0005-0000-0000-0000620C0000}"/>
    <cellStyle name="Currency 5 2 5 6 2" xfId="6716" xr:uid="{00000000-0005-0000-0000-0000630C0000}"/>
    <cellStyle name="Currency 5 2 5 6 2 2" xfId="42234" xr:uid="{45AD9724-359A-499F-8C31-FDB164C6FAF9}"/>
    <cellStyle name="Currency 5 2 5 6 2 3" xfId="33787" xr:uid="{98D94D90-A368-48DF-A939-7FCD6C4BF8BB}"/>
    <cellStyle name="Currency 5 2 5 6 2 4" xfId="25339" xr:uid="{C4F23C76-C13A-4A65-8824-11F56305B052}"/>
    <cellStyle name="Currency 5 2 5 6 2 5" xfId="16042" xr:uid="{9F1A4844-1828-4C9C-9F42-F1E97ECF4E1F}"/>
    <cellStyle name="Currency 5 2 5 6 3" xfId="38017" xr:uid="{E529E95B-6BB3-48DE-82FF-925715351CD2}"/>
    <cellStyle name="Currency 5 2 5 6 4" xfId="29569" xr:uid="{9B603844-C9C7-4FD5-9533-1595B902AC51}"/>
    <cellStyle name="Currency 5 2 5 6 5" xfId="21122" xr:uid="{78877DD3-4FE8-4699-B18B-2BB143E905D1}"/>
    <cellStyle name="Currency 5 2 5 6 6" xfId="11825" xr:uid="{6030B2D7-6C74-4D6E-86CC-188A06C02DA0}"/>
    <cellStyle name="Currency 5 2 5 7" xfId="2729" xr:uid="{00000000-0005-0000-0000-0000640C0000}"/>
    <cellStyle name="Currency 5 2 5 8" xfId="2810" xr:uid="{00000000-0005-0000-0000-0000650C0000}"/>
    <cellStyle name="Currency 5 2 5 8 2" xfId="7033" xr:uid="{00000000-0005-0000-0000-0000660C0000}"/>
    <cellStyle name="Currency 5 2 5 8 2 2" xfId="42551" xr:uid="{F897DBB9-AF95-4E3A-8CEE-F66F08607FA3}"/>
    <cellStyle name="Currency 5 2 5 8 2 3" xfId="34104" xr:uid="{DDBB5FB5-5E55-48A1-A75A-A103C02CEE6F}"/>
    <cellStyle name="Currency 5 2 5 8 2 4" xfId="25656" xr:uid="{4D659227-DEAF-4B30-AB50-E2BA437E33A9}"/>
    <cellStyle name="Currency 5 2 5 8 2 5" xfId="16359" xr:uid="{E1FBB329-07F2-4F77-B673-EDAEE860E637}"/>
    <cellStyle name="Currency 5 2 5 8 3" xfId="38334" xr:uid="{6F2E89AA-BD11-4CA4-B520-41E95E183BD4}"/>
    <cellStyle name="Currency 5 2 5 8 4" xfId="29886" xr:uid="{B59386C3-B3B6-47DF-83AD-5BC8443068C2}"/>
    <cellStyle name="Currency 5 2 5 8 5" xfId="21439" xr:uid="{4F2E67BC-FC37-470A-9273-A6AFE7A34E51}"/>
    <cellStyle name="Currency 5 2 5 8 6" xfId="12142" xr:uid="{70C0E95E-1D1A-4CF5-9D53-8DF08083ACDA}"/>
    <cellStyle name="Currency 5 2 5 9" xfId="4650" xr:uid="{00000000-0005-0000-0000-0000670C0000}"/>
    <cellStyle name="Currency 5 2 5 9 2" xfId="40168" xr:uid="{64BCED10-5319-4D1C-9126-23BA4DAA0678}"/>
    <cellStyle name="Currency 5 2 5 9 3" xfId="31721" xr:uid="{DE4D393D-6F86-4BF1-8584-817FD18B7E56}"/>
    <cellStyle name="Currency 5 2 5 9 4" xfId="23273" xr:uid="{7FC338CC-8816-43B6-AAAA-1822894420FD}"/>
    <cellStyle name="Currency 5 2 5 9 5" xfId="13976" xr:uid="{A3BC6247-CB7F-42BC-8365-1A1DB82C9900}"/>
    <cellStyle name="Currency 5 2 6" xfId="208" xr:uid="{00000000-0005-0000-0000-0000680C0000}"/>
    <cellStyle name="Currency 5 2 6 10" xfId="9178" xr:uid="{19F6D70E-88E4-4E39-A1A9-3FF3D840E2F9}"/>
    <cellStyle name="Currency 5 2 6 10 2" xfId="35952" xr:uid="{02CC84CE-D413-47CC-ABE9-D29A65432737}"/>
    <cellStyle name="Currency 5 2 6 10 3" xfId="18494" xr:uid="{503F01B2-A3BD-4E12-BBD0-044A9337B529}"/>
    <cellStyle name="Currency 5 2 6 11" xfId="27504" xr:uid="{FF6A85D2-E5C1-4070-AB95-817EEEA9B4A1}"/>
    <cellStyle name="Currency 5 2 6 12" xfId="19057" xr:uid="{06439E90-3AEC-423F-A3F2-07383359D740}"/>
    <cellStyle name="Currency 5 2 6 13" xfId="9760" xr:uid="{B3FF93BB-D566-44EA-B95F-8706FD66C4C2}"/>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42728" xr:uid="{5EA477D7-21A9-4ABD-B630-45E61AA38035}"/>
    <cellStyle name="Currency 5 2 6 2 2 2 3" xfId="34281" xr:uid="{A963F94B-BBC4-46DF-8B26-FA6A38F8E5E3}"/>
    <cellStyle name="Currency 5 2 6 2 2 2 4" xfId="25833" xr:uid="{0F909C74-DC28-4342-9B2C-7C9A67C8DA7F}"/>
    <cellStyle name="Currency 5 2 6 2 2 2 5" xfId="16536" xr:uid="{E98441ED-2282-4862-BF56-EE37CB8EA693}"/>
    <cellStyle name="Currency 5 2 6 2 2 3" xfId="38511" xr:uid="{81A56005-5B58-42AB-A58A-99DAE57EB5DB}"/>
    <cellStyle name="Currency 5 2 6 2 2 4" xfId="30063" xr:uid="{E8382204-8CD7-4FE4-A49A-DE70A634FD7C}"/>
    <cellStyle name="Currency 5 2 6 2 2 5" xfId="21616" xr:uid="{0A619B7D-6270-4FB8-BD75-611188AA9D38}"/>
    <cellStyle name="Currency 5 2 6 2 2 6" xfId="12319" xr:uid="{BB69F37C-6FE8-45A9-BF84-F5CCE80310FA}"/>
    <cellStyle name="Currency 5 2 6 2 3" xfId="5065" xr:uid="{00000000-0005-0000-0000-00006C0C0000}"/>
    <cellStyle name="Currency 5 2 6 2 3 2" xfId="40583" xr:uid="{2DB8C4BB-6824-449A-963A-397503B25E0E}"/>
    <cellStyle name="Currency 5 2 6 2 3 3" xfId="32136" xr:uid="{0DEFCAC7-929D-4DD5-BE25-70AF5DD34485}"/>
    <cellStyle name="Currency 5 2 6 2 3 4" xfId="23688" xr:uid="{E5076C83-7CA8-483B-BA80-12EB832AD1C9}"/>
    <cellStyle name="Currency 5 2 6 2 3 5" xfId="14391" xr:uid="{8D568025-39EC-43E4-87D2-09F233ADC016}"/>
    <cellStyle name="Currency 5 2 6 2 4" xfId="9599" xr:uid="{C2EE182C-D73D-4E6C-9671-0484CB4E8D68}"/>
    <cellStyle name="Currency 5 2 6 2 4 2" xfId="36366" xr:uid="{FDF63846-13A9-4C66-8B14-773611ACE0EA}"/>
    <cellStyle name="Currency 5 2 6 2 4 3" xfId="18901" xr:uid="{AB42C547-4DE3-45C6-8B02-CCC07A29AEA6}"/>
    <cellStyle name="Currency 5 2 6 2 5" xfId="27918" xr:uid="{AD65ECD3-CF42-414D-B125-22082540C916}"/>
    <cellStyle name="Currency 5 2 6 2 6" xfId="19471" xr:uid="{310223EB-EB2D-44FB-9832-BC84FBED5F43}"/>
    <cellStyle name="Currency 5 2 6 2 7" xfId="10174" xr:uid="{D3B4BCE7-A987-41BB-ABF2-840D78C97C3A}"/>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43141" xr:uid="{0D9B8A71-FFEE-4762-A7DE-13E13828C7C4}"/>
    <cellStyle name="Currency 5 2 6 3 2 2 3" xfId="34694" xr:uid="{E550B06D-E33B-4092-96A7-63E061C40400}"/>
    <cellStyle name="Currency 5 2 6 3 2 2 4" xfId="26246" xr:uid="{D27B2E20-BCC1-4171-827F-4E8871504C41}"/>
    <cellStyle name="Currency 5 2 6 3 2 2 5" xfId="16949" xr:uid="{67A06EF0-9582-4DEA-ADEE-BD6C17EAF084}"/>
    <cellStyle name="Currency 5 2 6 3 2 3" xfId="38924" xr:uid="{83713085-DAE2-4DBE-98DA-F6061656BA88}"/>
    <cellStyle name="Currency 5 2 6 3 2 4" xfId="30476" xr:uid="{3857527E-6705-4B2E-B5F2-56BB7581F913}"/>
    <cellStyle name="Currency 5 2 6 3 2 5" xfId="22029" xr:uid="{9BB36250-4CFC-4F25-9C27-2DE6286E89AF}"/>
    <cellStyle name="Currency 5 2 6 3 2 6" xfId="12732" xr:uid="{6EE94E7A-A3A5-4768-9F3A-9E0C2E8DF371}"/>
    <cellStyle name="Currency 5 2 6 3 3" xfId="5478" xr:uid="{00000000-0005-0000-0000-0000700C0000}"/>
    <cellStyle name="Currency 5 2 6 3 3 2" xfId="40996" xr:uid="{99667860-463E-44F3-9D1D-9868412A3006}"/>
    <cellStyle name="Currency 5 2 6 3 3 3" xfId="32549" xr:uid="{4AF92C16-D418-47F5-A7DC-DF45FC7DEC0D}"/>
    <cellStyle name="Currency 5 2 6 3 3 4" xfId="24101" xr:uid="{D1FDAC91-7EEE-4779-8AD2-C475148F59B2}"/>
    <cellStyle name="Currency 5 2 6 3 3 5" xfId="14804" xr:uid="{2E4F4BD5-76F6-462F-9AEB-EBE1E198EAA9}"/>
    <cellStyle name="Currency 5 2 6 3 4" xfId="36779" xr:uid="{254F6ECE-BFAB-493F-95B9-7C30C6E1A76E}"/>
    <cellStyle name="Currency 5 2 6 3 5" xfId="28331" xr:uid="{4E5CC7D3-161A-41C2-BD99-283B60FB3732}"/>
    <cellStyle name="Currency 5 2 6 3 6" xfId="19884" xr:uid="{65A541CA-D4E6-47A9-8C6F-9E6A9789524D}"/>
    <cellStyle name="Currency 5 2 6 3 7" xfId="10587" xr:uid="{24743396-DB45-4024-985A-5746ADB559DD}"/>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43554" xr:uid="{D92C8501-627D-4B32-AF32-A20FF6E2AA5E}"/>
    <cellStyle name="Currency 5 2 6 4 2 2 3" xfId="35107" xr:uid="{1CDCC4A3-C87C-4890-8C77-1541FFA0A55F}"/>
    <cellStyle name="Currency 5 2 6 4 2 2 4" xfId="26659" xr:uid="{2D568FB6-D728-4F55-AC85-7AA9985DB0AC}"/>
    <cellStyle name="Currency 5 2 6 4 2 2 5" xfId="17362" xr:uid="{23035C89-0368-4DA5-8EDC-A0BE9492F681}"/>
    <cellStyle name="Currency 5 2 6 4 2 3" xfId="39337" xr:uid="{990F8069-6AA9-4351-8049-CD1CAC60F8A1}"/>
    <cellStyle name="Currency 5 2 6 4 2 4" xfId="30889" xr:uid="{D3F3748E-2DAC-42D2-BB8E-135C7504FBA1}"/>
    <cellStyle name="Currency 5 2 6 4 2 5" xfId="22442" xr:uid="{E13CE7CF-0238-4C7D-9566-F1A4E4637AD6}"/>
    <cellStyle name="Currency 5 2 6 4 2 6" xfId="13145" xr:uid="{CC194C23-60F8-4A8D-9677-0B592E0A440E}"/>
    <cellStyle name="Currency 5 2 6 4 3" xfId="5891" xr:uid="{00000000-0005-0000-0000-0000740C0000}"/>
    <cellStyle name="Currency 5 2 6 4 3 2" xfId="41409" xr:uid="{47137188-52C8-4074-920E-6B96BBD22F26}"/>
    <cellStyle name="Currency 5 2 6 4 3 3" xfId="32962" xr:uid="{EB350BC4-0504-4F43-9781-85CBC4DE991D}"/>
    <cellStyle name="Currency 5 2 6 4 3 4" xfId="24514" xr:uid="{2D7EDAED-9D2B-418F-9514-2D3B3A5CFA9E}"/>
    <cellStyle name="Currency 5 2 6 4 3 5" xfId="15217" xr:uid="{F4FB166E-B680-4A75-B428-604996E87573}"/>
    <cellStyle name="Currency 5 2 6 4 4" xfId="37192" xr:uid="{5AFDB978-3526-4084-A4A9-49CD6CECA529}"/>
    <cellStyle name="Currency 5 2 6 4 5" xfId="28744" xr:uid="{5D512EFF-BC8D-4457-8442-38EEB1E46B41}"/>
    <cellStyle name="Currency 5 2 6 4 6" xfId="20297" xr:uid="{E51F90BE-3C5F-4A8A-9487-1107F5E3EE2A}"/>
    <cellStyle name="Currency 5 2 6 4 7" xfId="11000" xr:uid="{E33937A0-3571-4962-AC58-32E16A1BCEA4}"/>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43967" xr:uid="{866B3210-C10B-4BAC-8B36-C4B4FA94EC91}"/>
    <cellStyle name="Currency 5 2 6 5 2 2 3" xfId="35520" xr:uid="{806B5255-72F0-406A-89A8-D2970D544889}"/>
    <cellStyle name="Currency 5 2 6 5 2 2 4" xfId="27072" xr:uid="{367652B4-D971-4383-9167-30E002BEE48A}"/>
    <cellStyle name="Currency 5 2 6 5 2 2 5" xfId="17775" xr:uid="{A7885157-0C72-4A71-8FE8-7494FB57EC17}"/>
    <cellStyle name="Currency 5 2 6 5 2 3" xfId="39750" xr:uid="{6503E41A-50DC-4267-950A-97EA9CC4D3F5}"/>
    <cellStyle name="Currency 5 2 6 5 2 4" xfId="31302" xr:uid="{E3B4303B-DC53-46B3-8472-9AAB42903203}"/>
    <cellStyle name="Currency 5 2 6 5 2 5" xfId="22855" xr:uid="{B504CD43-23CC-4BC7-9E4A-0AA7A2F3FC4C}"/>
    <cellStyle name="Currency 5 2 6 5 2 6" xfId="13558" xr:uid="{C11224D0-5669-4ED0-B7C1-B6BF2884892A}"/>
    <cellStyle name="Currency 5 2 6 5 3" xfId="6304" xr:uid="{00000000-0005-0000-0000-0000780C0000}"/>
    <cellStyle name="Currency 5 2 6 5 3 2" xfId="41822" xr:uid="{8FCD1FF2-7EBF-40A3-A897-3C4D458CE611}"/>
    <cellStyle name="Currency 5 2 6 5 3 3" xfId="33375" xr:uid="{EE85495D-2D47-46DA-A161-F4EE023CD42D}"/>
    <cellStyle name="Currency 5 2 6 5 3 4" xfId="24927" xr:uid="{60BA9B81-9FE7-4B30-995A-FEC824C9F6CD}"/>
    <cellStyle name="Currency 5 2 6 5 3 5" xfId="15630" xr:uid="{D09D5782-54F9-4867-AAC7-B4CF8CD5E655}"/>
    <cellStyle name="Currency 5 2 6 5 4" xfId="37605" xr:uid="{8ECC1C86-B36E-4A06-9DA0-79D8B86F9B76}"/>
    <cellStyle name="Currency 5 2 6 5 5" xfId="29157" xr:uid="{CA152049-9021-417A-8BB4-271DC2A24C3A}"/>
    <cellStyle name="Currency 5 2 6 5 6" xfId="20710" xr:uid="{010913B0-2C14-4DF4-BAA8-39F1937B1130}"/>
    <cellStyle name="Currency 5 2 6 5 7" xfId="11413" xr:uid="{0246B8D5-C164-433E-991F-56B7EF146895}"/>
    <cellStyle name="Currency 5 2 6 6" xfId="2433" xr:uid="{00000000-0005-0000-0000-0000790C0000}"/>
    <cellStyle name="Currency 5 2 6 6 2" xfId="6717" xr:uid="{00000000-0005-0000-0000-00007A0C0000}"/>
    <cellStyle name="Currency 5 2 6 6 2 2" xfId="42235" xr:uid="{914360AC-97DC-4947-BC85-81CA312C6177}"/>
    <cellStyle name="Currency 5 2 6 6 2 3" xfId="33788" xr:uid="{310F4675-8FD4-4C8F-B315-9AD0F596A660}"/>
    <cellStyle name="Currency 5 2 6 6 2 4" xfId="25340" xr:uid="{BD7E9A7D-0610-4AA1-9EA9-7F9B2E95D673}"/>
    <cellStyle name="Currency 5 2 6 6 2 5" xfId="16043" xr:uid="{45EA7CC7-ECD0-4712-9C59-AF175D59A08B}"/>
    <cellStyle name="Currency 5 2 6 6 3" xfId="38018" xr:uid="{B08EA6C3-4FB3-4A4B-B36E-118C3FAE9F46}"/>
    <cellStyle name="Currency 5 2 6 6 4" xfId="29570" xr:uid="{7FDA0642-9A32-4453-8A64-0FFF3BD36647}"/>
    <cellStyle name="Currency 5 2 6 6 5" xfId="21123" xr:uid="{5035BE13-F764-476B-99F5-3BD76B5A312E}"/>
    <cellStyle name="Currency 5 2 6 6 6" xfId="11826" xr:uid="{4003F31B-B469-4C75-9D3B-ED0C1F3518BF}"/>
    <cellStyle name="Currency 5 2 6 7" xfId="2730" xr:uid="{00000000-0005-0000-0000-00007B0C0000}"/>
    <cellStyle name="Currency 5 2 6 8" xfId="2811" xr:uid="{00000000-0005-0000-0000-00007C0C0000}"/>
    <cellStyle name="Currency 5 2 6 8 2" xfId="7034" xr:uid="{00000000-0005-0000-0000-00007D0C0000}"/>
    <cellStyle name="Currency 5 2 6 8 2 2" xfId="42552" xr:uid="{16A9ADDC-1474-442E-A043-8640D8BB943E}"/>
    <cellStyle name="Currency 5 2 6 8 2 3" xfId="34105" xr:uid="{26D30FA1-F2DE-4122-B5BC-7A04377EF6A7}"/>
    <cellStyle name="Currency 5 2 6 8 2 4" xfId="25657" xr:uid="{29FD1241-BD3F-4D25-98CA-2775EADB6964}"/>
    <cellStyle name="Currency 5 2 6 8 2 5" xfId="16360" xr:uid="{C8470747-A769-4FC1-9506-D9542519516C}"/>
    <cellStyle name="Currency 5 2 6 8 3" xfId="38335" xr:uid="{4DC76C83-9D63-4023-9722-5DB54062129F}"/>
    <cellStyle name="Currency 5 2 6 8 4" xfId="29887" xr:uid="{84F82D86-7435-425D-9F2B-7D9A3BAF032F}"/>
    <cellStyle name="Currency 5 2 6 8 5" xfId="21440" xr:uid="{E5323A67-391E-406D-AFC1-98341EEA5951}"/>
    <cellStyle name="Currency 5 2 6 8 6" xfId="12143" xr:uid="{82C22268-7598-48E3-8249-224D770BAC5C}"/>
    <cellStyle name="Currency 5 2 6 9" xfId="4651" xr:uid="{00000000-0005-0000-0000-00007E0C0000}"/>
    <cellStyle name="Currency 5 2 6 9 2" xfId="40169" xr:uid="{D1349BF3-1DBE-440B-B7B0-31140ABF8D35}"/>
    <cellStyle name="Currency 5 2 6 9 3" xfId="31722" xr:uid="{57012866-EDF0-41E1-8A3C-3FC231E3166E}"/>
    <cellStyle name="Currency 5 2 6 9 4" xfId="23274" xr:uid="{0342E41A-5CBD-4BD7-B224-3441D5DF31AB}"/>
    <cellStyle name="Currency 5 2 6 9 5" xfId="13977" xr:uid="{A4CBCA27-58B8-4697-8C33-2043C4CDC9CE}"/>
    <cellStyle name="Currency 5 2 7" xfId="722" xr:uid="{00000000-0005-0000-0000-00007F0C0000}"/>
    <cellStyle name="Currency 5 2 8" xfId="8756" xr:uid="{D16196A2-D0A3-46A2-9B14-6B017B4CC82F}"/>
    <cellStyle name="Currency 5 2 8 2" xfId="18079" xr:uid="{A28F0C3D-3219-4ED5-8395-A55F2725074E}"/>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42553" xr:uid="{75B37C56-A270-4584-921B-62820EE23CAF}"/>
    <cellStyle name="Currency 5 3 2 10 2 3" xfId="34106" xr:uid="{4D960DE2-87B0-476D-AAB3-A5CA436599AB}"/>
    <cellStyle name="Currency 5 3 2 10 2 4" xfId="25658" xr:uid="{8B0AA0F0-B525-4CC8-BB46-339B033EABAD}"/>
    <cellStyle name="Currency 5 3 2 10 2 5" xfId="16361" xr:uid="{B6D184CA-A304-444B-9F1A-D2E7CDC7F5F8}"/>
    <cellStyle name="Currency 5 3 2 10 3" xfId="38336" xr:uid="{46973FCB-A6FC-44BE-BA7D-691A0FBC462D}"/>
    <cellStyle name="Currency 5 3 2 10 4" xfId="29888" xr:uid="{CC42C377-8D0D-4934-81B6-B49D261E7D56}"/>
    <cellStyle name="Currency 5 3 2 10 5" xfId="21441" xr:uid="{7AE2B5A4-DAE1-42D2-9310-D74353CB202D}"/>
    <cellStyle name="Currency 5 3 2 10 6" xfId="12144" xr:uid="{B9FE5297-483C-41BC-B231-0A99DEA66E55}"/>
    <cellStyle name="Currency 5 3 2 11" xfId="4652" xr:uid="{00000000-0005-0000-0000-0000840C0000}"/>
    <cellStyle name="Currency 5 3 2 11 2" xfId="40170" xr:uid="{2296A8B1-17C6-4C7C-83B8-F7FC641B60AF}"/>
    <cellStyle name="Currency 5 3 2 11 3" xfId="31723" xr:uid="{840480AE-9C43-4010-A224-C728B21A2BB1}"/>
    <cellStyle name="Currency 5 3 2 11 4" xfId="23275" xr:uid="{6A215DA6-ED1E-4459-9613-472ADF22A0D4}"/>
    <cellStyle name="Currency 5 3 2 11 5" xfId="13978" xr:uid="{7A84BCE4-E9B4-492B-A0B0-0995A30A3055}"/>
    <cellStyle name="Currency 5 3 2 12" xfId="8810" xr:uid="{C5234FF9-D509-4CD8-ADA1-D3604CCF3D1F}"/>
    <cellStyle name="Currency 5 3 2 12 2" xfId="35953" xr:uid="{50F6911E-6FD9-435E-96DB-F24ED78B2654}"/>
    <cellStyle name="Currency 5 3 2 12 3" xfId="18133" xr:uid="{1A92717F-A701-4C01-989A-AC368F841FCD}"/>
    <cellStyle name="Currency 5 3 2 13" xfId="27505" xr:uid="{E0BCFA82-D634-4961-8578-8BD99C9C4FEE}"/>
    <cellStyle name="Currency 5 3 2 14" xfId="19058" xr:uid="{5117E436-96FF-4AD2-B0A2-AB2D03EA6741}"/>
    <cellStyle name="Currency 5 3 2 15" xfId="9761" xr:uid="{A347E3D8-2C50-45A8-A6EE-CAAB65CC4402}"/>
    <cellStyle name="Currency 5 3 2 2" xfId="211" xr:uid="{00000000-0005-0000-0000-0000850C0000}"/>
    <cellStyle name="Currency 5 3 2 2 10" xfId="4653" xr:uid="{00000000-0005-0000-0000-0000860C0000}"/>
    <cellStyle name="Currency 5 3 2 2 10 2" xfId="40171" xr:uid="{AED73B18-08E4-4425-AE95-D5E92E6A54EF}"/>
    <cellStyle name="Currency 5 3 2 2 10 3" xfId="31724" xr:uid="{980B4DF8-1CF8-4038-81B1-5036BC9F28E1}"/>
    <cellStyle name="Currency 5 3 2 2 10 4" xfId="23276" xr:uid="{4799857E-8B84-4B87-8519-C74C4CA280BB}"/>
    <cellStyle name="Currency 5 3 2 2 10 5" xfId="13979" xr:uid="{1148E08D-BC54-4FB2-96D2-6011111C0D9A}"/>
    <cellStyle name="Currency 5 3 2 2 11" xfId="8913" xr:uid="{FE033F82-2F16-4925-9899-F927AB9AA612}"/>
    <cellStyle name="Currency 5 3 2 2 11 2" xfId="35954" xr:uid="{3C853A18-01F3-4278-B002-F890286B5A3B}"/>
    <cellStyle name="Currency 5 3 2 2 11 3" xfId="18236" xr:uid="{51A3E8B9-F072-437C-A312-403DE4551C90}"/>
    <cellStyle name="Currency 5 3 2 2 12" xfId="27506" xr:uid="{EC76E875-07F2-401E-955C-63C1D39F8D19}"/>
    <cellStyle name="Currency 5 3 2 2 13" xfId="19059" xr:uid="{7A5916BB-7864-4803-A99D-EBA2FB0A7A0D}"/>
    <cellStyle name="Currency 5 3 2 2 14" xfId="9762" xr:uid="{6FAE2DE8-FA0D-42DF-BE6F-5ECEDB832558}"/>
    <cellStyle name="Currency 5 3 2 2 2" xfId="212" xr:uid="{00000000-0005-0000-0000-0000870C0000}"/>
    <cellStyle name="Currency 5 3 2 2 2 10" xfId="9120" xr:uid="{D5536A1F-8418-4CB5-B1E0-470AD716374A}"/>
    <cellStyle name="Currency 5 3 2 2 2 10 2" xfId="35955" xr:uid="{A35F856C-23C5-430C-970A-ECA341071F05}"/>
    <cellStyle name="Currency 5 3 2 2 2 10 3" xfId="18443" xr:uid="{7DD3280B-EE8B-4F74-9FB6-8EEFFB2BD212}"/>
    <cellStyle name="Currency 5 3 2 2 2 11" xfId="27507" xr:uid="{3781BB0F-F2D9-42C7-BBC1-97AC7627334C}"/>
    <cellStyle name="Currency 5 3 2 2 2 12" xfId="19060" xr:uid="{E3F6A27D-9F21-4AF0-884E-B24D75452EE6}"/>
    <cellStyle name="Currency 5 3 2 2 2 13" xfId="9763" xr:uid="{3CA6720B-E2DA-40B7-AD3E-162B6A3A34C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42731" xr:uid="{A2FEDE8B-AFF0-4680-8173-681D238D6ED6}"/>
    <cellStyle name="Currency 5 3 2 2 2 2 2 2 3" xfId="34284" xr:uid="{2149B41E-2B49-4DDC-9FEA-4A33DEC884E0}"/>
    <cellStyle name="Currency 5 3 2 2 2 2 2 2 4" xfId="25836" xr:uid="{311DC5F7-0CE9-47D6-8D0D-7883F239014D}"/>
    <cellStyle name="Currency 5 3 2 2 2 2 2 2 5" xfId="16539" xr:uid="{2681D938-E06F-4BC4-8886-1F09D1E8D239}"/>
    <cellStyle name="Currency 5 3 2 2 2 2 2 3" xfId="38514" xr:uid="{B33B4F4A-A482-4146-AB84-AF3342AA6D7B}"/>
    <cellStyle name="Currency 5 3 2 2 2 2 2 4" xfId="30066" xr:uid="{1025082A-2D93-47D4-AE3C-6FA659CAF5B1}"/>
    <cellStyle name="Currency 5 3 2 2 2 2 2 5" xfId="21619" xr:uid="{42BFA135-5ABC-4A56-A0D7-70C742BC18EC}"/>
    <cellStyle name="Currency 5 3 2 2 2 2 2 6" xfId="12322" xr:uid="{AB12697B-A11F-45F6-8EAD-8FB2A4A2FE14}"/>
    <cellStyle name="Currency 5 3 2 2 2 2 3" xfId="5068" xr:uid="{00000000-0005-0000-0000-00008B0C0000}"/>
    <cellStyle name="Currency 5 3 2 2 2 2 3 2" xfId="40586" xr:uid="{361FB9AB-B0F7-448F-B155-6A4BDA32FA2B}"/>
    <cellStyle name="Currency 5 3 2 2 2 2 3 3" xfId="32139" xr:uid="{5A5A7CE5-E7EB-41ED-8304-BC5A24A52C3C}"/>
    <cellStyle name="Currency 5 3 2 2 2 2 3 4" xfId="23691" xr:uid="{C6772CAB-6C94-4969-B9C6-0D0FF91D388C}"/>
    <cellStyle name="Currency 5 3 2 2 2 2 3 5" xfId="14394" xr:uid="{587F4C9D-EC6A-410A-AB16-C364AF501D31}"/>
    <cellStyle name="Currency 5 3 2 2 2 2 4" xfId="9545" xr:uid="{F6C268D6-0334-42F7-AE4F-535ADD09B625}"/>
    <cellStyle name="Currency 5 3 2 2 2 2 4 2" xfId="36369" xr:uid="{3B35E59D-036F-4EAA-9E29-B9401E7AB4B2}"/>
    <cellStyle name="Currency 5 3 2 2 2 2 4 3" xfId="18858" xr:uid="{3C621AFC-E2DB-4B13-AE73-5E22854E5452}"/>
    <cellStyle name="Currency 5 3 2 2 2 2 5" xfId="27921" xr:uid="{7DCF7B52-2707-4C66-A925-26FB395219E6}"/>
    <cellStyle name="Currency 5 3 2 2 2 2 6" xfId="19474" xr:uid="{D9352224-2BF0-4F5D-88EB-8ECDDB63BF40}"/>
    <cellStyle name="Currency 5 3 2 2 2 2 7" xfId="10177" xr:uid="{E656BCFD-E707-42A5-A2EE-04262BE9BBA4}"/>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43144" xr:uid="{B204CEB9-E7B3-4400-9AA8-2D16A38D5782}"/>
    <cellStyle name="Currency 5 3 2 2 2 3 2 2 3" xfId="34697" xr:uid="{069C051A-9DE4-4473-B2E9-2DB40A01B88F}"/>
    <cellStyle name="Currency 5 3 2 2 2 3 2 2 4" xfId="26249" xr:uid="{ECCAEA15-5A32-4594-8B3A-CE1C438CB2D3}"/>
    <cellStyle name="Currency 5 3 2 2 2 3 2 2 5" xfId="16952" xr:uid="{54DAA7AB-122B-443F-903A-33B8F7269351}"/>
    <cellStyle name="Currency 5 3 2 2 2 3 2 3" xfId="38927" xr:uid="{B49460F1-54FE-41E6-9817-D322310BB938}"/>
    <cellStyle name="Currency 5 3 2 2 2 3 2 4" xfId="30479" xr:uid="{CC4FB98A-DE1B-459A-B428-A5DB77A04692}"/>
    <cellStyle name="Currency 5 3 2 2 2 3 2 5" xfId="22032" xr:uid="{41654E05-4ED1-458E-A7BE-27C6855DC057}"/>
    <cellStyle name="Currency 5 3 2 2 2 3 2 6" xfId="12735" xr:uid="{FE6AC13D-6F54-4781-B891-12346764FE21}"/>
    <cellStyle name="Currency 5 3 2 2 2 3 3" xfId="5481" xr:uid="{00000000-0005-0000-0000-00008F0C0000}"/>
    <cellStyle name="Currency 5 3 2 2 2 3 3 2" xfId="40999" xr:uid="{E5425952-B054-4CC9-82AA-9ACA0C6CE80A}"/>
    <cellStyle name="Currency 5 3 2 2 2 3 3 3" xfId="32552" xr:uid="{C509C205-250C-4112-878E-D3C6B5DCE204}"/>
    <cellStyle name="Currency 5 3 2 2 2 3 3 4" xfId="24104" xr:uid="{98964AB3-E477-4D83-85EB-B9151441E0B2}"/>
    <cellStyle name="Currency 5 3 2 2 2 3 3 5" xfId="14807" xr:uid="{13583D77-9932-4B37-A0BE-0116394A38BF}"/>
    <cellStyle name="Currency 5 3 2 2 2 3 4" xfId="36782" xr:uid="{A299C583-58F1-4576-A277-C9F3E2AAAD3A}"/>
    <cellStyle name="Currency 5 3 2 2 2 3 5" xfId="28334" xr:uid="{7896E37F-00BE-41F2-92EC-FF00AACB9AD9}"/>
    <cellStyle name="Currency 5 3 2 2 2 3 6" xfId="19887" xr:uid="{AD30C380-206C-468C-8D55-2B13F6179326}"/>
    <cellStyle name="Currency 5 3 2 2 2 3 7" xfId="10590" xr:uid="{16176F56-8112-405A-9DB2-40AA6FC016E9}"/>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43557" xr:uid="{330A32FD-924B-4560-9A0D-A1F50A447473}"/>
    <cellStyle name="Currency 5 3 2 2 2 4 2 2 3" xfId="35110" xr:uid="{CD7ECCD9-E43A-4DBC-9731-7D189AAC0A1C}"/>
    <cellStyle name="Currency 5 3 2 2 2 4 2 2 4" xfId="26662" xr:uid="{56F21FC1-EBFF-4DA9-8318-8726CA4CC32D}"/>
    <cellStyle name="Currency 5 3 2 2 2 4 2 2 5" xfId="17365" xr:uid="{C0F7A426-257A-4569-A4C3-8B98DCA1909B}"/>
    <cellStyle name="Currency 5 3 2 2 2 4 2 3" xfId="39340" xr:uid="{91F4C7B1-41D2-4433-BEF8-9A1149BE7D1C}"/>
    <cellStyle name="Currency 5 3 2 2 2 4 2 4" xfId="30892" xr:uid="{F63E0475-85AA-4367-8FCE-97A43ABB6740}"/>
    <cellStyle name="Currency 5 3 2 2 2 4 2 5" xfId="22445" xr:uid="{029BA0D1-D75B-4891-BE1C-650D462D625E}"/>
    <cellStyle name="Currency 5 3 2 2 2 4 2 6" xfId="13148" xr:uid="{44FAA664-67AE-49BC-ADE8-B55F27FE7403}"/>
    <cellStyle name="Currency 5 3 2 2 2 4 3" xfId="5894" xr:uid="{00000000-0005-0000-0000-0000930C0000}"/>
    <cellStyle name="Currency 5 3 2 2 2 4 3 2" xfId="41412" xr:uid="{11DEB3F6-76F7-4D29-9311-C0AEB913BC90}"/>
    <cellStyle name="Currency 5 3 2 2 2 4 3 3" xfId="32965" xr:uid="{474B9523-BB61-415B-84EF-E4EF13EFEA5D}"/>
    <cellStyle name="Currency 5 3 2 2 2 4 3 4" xfId="24517" xr:uid="{A3542BA6-BA19-4433-8CA7-278B6C57B4A7}"/>
    <cellStyle name="Currency 5 3 2 2 2 4 3 5" xfId="15220" xr:uid="{EEC0727D-5BBC-4D9B-B583-ED95FB89D49F}"/>
    <cellStyle name="Currency 5 3 2 2 2 4 4" xfId="37195" xr:uid="{996E61B8-B4B2-4831-8586-2DFF56E2E3DF}"/>
    <cellStyle name="Currency 5 3 2 2 2 4 5" xfId="28747" xr:uid="{1101330E-8D87-4F13-9518-A62915E9FE52}"/>
    <cellStyle name="Currency 5 3 2 2 2 4 6" xfId="20300" xr:uid="{6736CA7A-C4B2-4970-B791-72D7CF72DDE5}"/>
    <cellStyle name="Currency 5 3 2 2 2 4 7" xfId="11003" xr:uid="{B6ECAAAB-8DCF-4AA3-8651-C33439CB9419}"/>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43970" xr:uid="{C042A016-1B4F-490C-BCC1-925817C8F97B}"/>
    <cellStyle name="Currency 5 3 2 2 2 5 2 2 3" xfId="35523" xr:uid="{96D64384-6BC1-4CFA-A10D-4D2E5094143F}"/>
    <cellStyle name="Currency 5 3 2 2 2 5 2 2 4" xfId="27075" xr:uid="{424A8BEA-268D-4EDF-9BC0-AAC62DAC9436}"/>
    <cellStyle name="Currency 5 3 2 2 2 5 2 2 5" xfId="17778" xr:uid="{55316BB9-0DBE-4289-8C42-6D9C06C9299D}"/>
    <cellStyle name="Currency 5 3 2 2 2 5 2 3" xfId="39753" xr:uid="{DE257AE8-FD0F-4DFF-A414-C4621BA24B39}"/>
    <cellStyle name="Currency 5 3 2 2 2 5 2 4" xfId="31305" xr:uid="{E0A581B0-6C23-497C-8082-289CF895C847}"/>
    <cellStyle name="Currency 5 3 2 2 2 5 2 5" xfId="22858" xr:uid="{57EDDE37-B629-4DD8-94C2-DC3392271E65}"/>
    <cellStyle name="Currency 5 3 2 2 2 5 2 6" xfId="13561" xr:uid="{A114DE2B-BEB1-4961-B5FC-1F42CA87814D}"/>
    <cellStyle name="Currency 5 3 2 2 2 5 3" xfId="6307" xr:uid="{00000000-0005-0000-0000-0000970C0000}"/>
    <cellStyle name="Currency 5 3 2 2 2 5 3 2" xfId="41825" xr:uid="{D469C062-6CEF-4F9C-BA3A-937A7E04FADB}"/>
    <cellStyle name="Currency 5 3 2 2 2 5 3 3" xfId="33378" xr:uid="{410118C6-01A0-4D73-8D56-EC3F89B004FF}"/>
    <cellStyle name="Currency 5 3 2 2 2 5 3 4" xfId="24930" xr:uid="{DADE20E3-8547-4BEA-BD68-988FB8879216}"/>
    <cellStyle name="Currency 5 3 2 2 2 5 3 5" xfId="15633" xr:uid="{395B24C4-EA17-42B7-9047-D7148FD8EC36}"/>
    <cellStyle name="Currency 5 3 2 2 2 5 4" xfId="37608" xr:uid="{36A23F26-A624-4BFC-B35F-A3565A1CE69A}"/>
    <cellStyle name="Currency 5 3 2 2 2 5 5" xfId="29160" xr:uid="{0828690E-458A-49D6-AAE7-D44EB9116E06}"/>
    <cellStyle name="Currency 5 3 2 2 2 5 6" xfId="20713" xr:uid="{D1400225-D5F4-434D-B09B-0AF1340A0AE5}"/>
    <cellStyle name="Currency 5 3 2 2 2 5 7" xfId="11416" xr:uid="{67971AF3-9237-41C8-A569-6969E49A84CB}"/>
    <cellStyle name="Currency 5 3 2 2 2 6" xfId="2436" xr:uid="{00000000-0005-0000-0000-0000980C0000}"/>
    <cellStyle name="Currency 5 3 2 2 2 6 2" xfId="6720" xr:uid="{00000000-0005-0000-0000-0000990C0000}"/>
    <cellStyle name="Currency 5 3 2 2 2 6 2 2" xfId="42238" xr:uid="{AC79CE68-5E12-42D5-94D8-3CB4868F0CC3}"/>
    <cellStyle name="Currency 5 3 2 2 2 6 2 3" xfId="33791" xr:uid="{2C381BA4-A7D6-46C3-AE52-F6855A2D86E9}"/>
    <cellStyle name="Currency 5 3 2 2 2 6 2 4" xfId="25343" xr:uid="{74F51CCB-B3B7-493B-9AFD-83587498B614}"/>
    <cellStyle name="Currency 5 3 2 2 2 6 2 5" xfId="16046" xr:uid="{811A1EEB-767E-4408-9AF1-3657415CBB5D}"/>
    <cellStyle name="Currency 5 3 2 2 2 6 3" xfId="38021" xr:uid="{9706B745-5560-46A3-A143-42F250E8DC17}"/>
    <cellStyle name="Currency 5 3 2 2 2 6 4" xfId="29573" xr:uid="{C1F4DC85-B20D-4F9C-884D-348A4202831B}"/>
    <cellStyle name="Currency 5 3 2 2 2 6 5" xfId="21126" xr:uid="{7079434E-1F53-45A0-BCEF-CE92599CC202}"/>
    <cellStyle name="Currency 5 3 2 2 2 6 6" xfId="11829" xr:uid="{A71E21FE-D863-4D75-8954-56CE3B78315E}"/>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42555" xr:uid="{D8C9E939-6D5E-4980-B1B8-3B9001A5EC60}"/>
    <cellStyle name="Currency 5 3 2 2 2 8 2 3" xfId="34108" xr:uid="{CDC8E8F8-99FE-45E2-88A0-D7741D49E9D2}"/>
    <cellStyle name="Currency 5 3 2 2 2 8 2 4" xfId="25660" xr:uid="{BDAD7828-AC9C-4B71-92C3-51B4ACE1243C}"/>
    <cellStyle name="Currency 5 3 2 2 2 8 2 5" xfId="16363" xr:uid="{91DB736B-74EC-4889-A363-006668A3D97E}"/>
    <cellStyle name="Currency 5 3 2 2 2 8 3" xfId="38338" xr:uid="{8D59EE0D-F530-4731-A9BA-1447CD70B67F}"/>
    <cellStyle name="Currency 5 3 2 2 2 8 4" xfId="29890" xr:uid="{F4360061-540F-4BC3-9B91-3692E7BCD523}"/>
    <cellStyle name="Currency 5 3 2 2 2 8 5" xfId="21443" xr:uid="{9CB6746E-4383-4300-85C3-777F14FA9568}"/>
    <cellStyle name="Currency 5 3 2 2 2 8 6" xfId="12146" xr:uid="{D6FF4A47-8211-476A-B619-CF8AEC4A8870}"/>
    <cellStyle name="Currency 5 3 2 2 2 9" xfId="4654" xr:uid="{00000000-0005-0000-0000-00009D0C0000}"/>
    <cellStyle name="Currency 5 3 2 2 2 9 2" xfId="40172" xr:uid="{D188187D-E930-464A-A2D6-C8FCAA622CEB}"/>
    <cellStyle name="Currency 5 3 2 2 2 9 3" xfId="31725" xr:uid="{387DFC85-8A9C-4FF4-B255-555B36414802}"/>
    <cellStyle name="Currency 5 3 2 2 2 9 4" xfId="23277" xr:uid="{FBCD84A5-C100-46C3-A0AD-797E6A97564B}"/>
    <cellStyle name="Currency 5 3 2 2 2 9 5" xfId="13980" xr:uid="{09C51BEA-680B-4143-9136-F3CCAA15BCBF}"/>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42730" xr:uid="{560310A8-CA42-46D4-B7AA-DDC198CDA9F4}"/>
    <cellStyle name="Currency 5 3 2 2 3 2 2 3" xfId="34283" xr:uid="{D35234D0-9B77-48BB-A188-8FAB4068D0A3}"/>
    <cellStyle name="Currency 5 3 2 2 3 2 2 4" xfId="25835" xr:uid="{29D86ECF-7A10-408A-9D1C-886533B87732}"/>
    <cellStyle name="Currency 5 3 2 2 3 2 2 5" xfId="16538" xr:uid="{23E447D0-E69A-4B9B-9563-3B9CC78F5399}"/>
    <cellStyle name="Currency 5 3 2 2 3 2 3" xfId="38513" xr:uid="{CD9056A9-3C12-4500-B564-004840878CE5}"/>
    <cellStyle name="Currency 5 3 2 2 3 2 4" xfId="30065" xr:uid="{8D1969E0-9EEC-4D9E-B0E9-BB1ED4AE2042}"/>
    <cellStyle name="Currency 5 3 2 2 3 2 5" xfId="21618" xr:uid="{A6899C18-F7C0-4A38-9594-9548F757B52E}"/>
    <cellStyle name="Currency 5 3 2 2 3 2 6" xfId="12321" xr:uid="{D43EDE4D-EA8A-409D-90E6-38D9D71BCD71}"/>
    <cellStyle name="Currency 5 3 2 2 3 3" xfId="5067" xr:uid="{00000000-0005-0000-0000-0000A10C0000}"/>
    <cellStyle name="Currency 5 3 2 2 3 3 2" xfId="40585" xr:uid="{759E69E5-E06C-4028-8A2A-5D05C35E92E6}"/>
    <cellStyle name="Currency 5 3 2 2 3 3 3" xfId="32138" xr:uid="{7483AC97-E52E-41DD-A772-1A68678EEDDC}"/>
    <cellStyle name="Currency 5 3 2 2 3 3 4" xfId="23690" xr:uid="{65BA37AB-A8F3-4369-82D3-1AE001C86523}"/>
    <cellStyle name="Currency 5 3 2 2 3 3 5" xfId="14393" xr:uid="{35A98828-21DF-4FAE-9681-D90CE79E050E}"/>
    <cellStyle name="Currency 5 3 2 2 3 4" xfId="9338" xr:uid="{E79296CA-9516-4DDA-84B2-A3B13AAA9D9D}"/>
    <cellStyle name="Currency 5 3 2 2 3 4 2" xfId="36368" xr:uid="{86CD0A73-E2BD-4457-A43D-FF841C849F45}"/>
    <cellStyle name="Currency 5 3 2 2 3 4 3" xfId="18651" xr:uid="{C8B6DBE9-ECFA-4C88-A8CE-824D9C224485}"/>
    <cellStyle name="Currency 5 3 2 2 3 5" xfId="27920" xr:uid="{5AA7C6F7-01C2-45C0-BFBE-C50CDF18985C}"/>
    <cellStyle name="Currency 5 3 2 2 3 6" xfId="19473" xr:uid="{EFF03C37-9751-4AA1-9C60-ECA4DB9DE62D}"/>
    <cellStyle name="Currency 5 3 2 2 3 7" xfId="10176" xr:uid="{87242660-CAEE-4BD4-8A60-869687A4D2AF}"/>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43143" xr:uid="{39F79405-EC08-4A5A-B274-911BF6828BF8}"/>
    <cellStyle name="Currency 5 3 2 2 4 2 2 3" xfId="34696" xr:uid="{BECE4946-5D62-473A-9112-F5A5535DCD01}"/>
    <cellStyle name="Currency 5 3 2 2 4 2 2 4" xfId="26248" xr:uid="{E60A7477-11D5-4294-B107-5DC9A38A5DAD}"/>
    <cellStyle name="Currency 5 3 2 2 4 2 2 5" xfId="16951" xr:uid="{9B606067-3D54-4E59-ADF9-3AC268AA509B}"/>
    <cellStyle name="Currency 5 3 2 2 4 2 3" xfId="38926" xr:uid="{B4B00992-B011-441F-AA76-1DC7A5A7EC7C}"/>
    <cellStyle name="Currency 5 3 2 2 4 2 4" xfId="30478" xr:uid="{0CFEFE52-031D-4AEB-B7A5-0FE6BA70BEEC}"/>
    <cellStyle name="Currency 5 3 2 2 4 2 5" xfId="22031" xr:uid="{C0F483AD-CADA-49B9-8B8C-C692D8FE9D73}"/>
    <cellStyle name="Currency 5 3 2 2 4 2 6" xfId="12734" xr:uid="{87B5BF32-DDB6-421C-8550-B058C0773D55}"/>
    <cellStyle name="Currency 5 3 2 2 4 3" xfId="5480" xr:uid="{00000000-0005-0000-0000-0000A50C0000}"/>
    <cellStyle name="Currency 5 3 2 2 4 3 2" xfId="40998" xr:uid="{579A9747-AAA2-4EAD-B026-A095636ADAA9}"/>
    <cellStyle name="Currency 5 3 2 2 4 3 3" xfId="32551" xr:uid="{1451C555-97D8-40FC-98A3-7CB625828CEA}"/>
    <cellStyle name="Currency 5 3 2 2 4 3 4" xfId="24103" xr:uid="{17988503-5F69-4133-8216-B5A8743A92C7}"/>
    <cellStyle name="Currency 5 3 2 2 4 3 5" xfId="14806" xr:uid="{480B038B-B5F3-4428-A904-48075AE6E720}"/>
    <cellStyle name="Currency 5 3 2 2 4 4" xfId="36781" xr:uid="{97C85C43-54AD-4C2C-AF0C-68DF8B89A33D}"/>
    <cellStyle name="Currency 5 3 2 2 4 5" xfId="28333" xr:uid="{842A44BF-BA14-4BF4-99C2-1EA20ABC3E24}"/>
    <cellStyle name="Currency 5 3 2 2 4 6" xfId="19886" xr:uid="{E026A2A9-0FE6-4D21-8878-2E16F5A51DB7}"/>
    <cellStyle name="Currency 5 3 2 2 4 7" xfId="10589" xr:uid="{5C357C53-BE57-4C5D-B0E2-83D39122E54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43556" xr:uid="{2DBD7B83-EF16-4E59-AE28-308E95A03CF5}"/>
    <cellStyle name="Currency 5 3 2 2 5 2 2 3" xfId="35109" xr:uid="{2E25AED6-E0A8-440F-B4AD-48126A6063CF}"/>
    <cellStyle name="Currency 5 3 2 2 5 2 2 4" xfId="26661" xr:uid="{3D6CCD11-0651-4EA5-A909-F86F6AD73D0E}"/>
    <cellStyle name="Currency 5 3 2 2 5 2 2 5" xfId="17364" xr:uid="{B2612AD8-81E3-4D95-9635-A3BDF905A0C6}"/>
    <cellStyle name="Currency 5 3 2 2 5 2 3" xfId="39339" xr:uid="{2D30C191-9DA2-433B-B10B-9F810462B284}"/>
    <cellStyle name="Currency 5 3 2 2 5 2 4" xfId="30891" xr:uid="{91184556-A05A-4910-9BB3-EAD0DB74E2E2}"/>
    <cellStyle name="Currency 5 3 2 2 5 2 5" xfId="22444" xr:uid="{D7AAC530-F65F-42F1-8EA7-49C59F9DF3E5}"/>
    <cellStyle name="Currency 5 3 2 2 5 2 6" xfId="13147" xr:uid="{879B3704-6365-40E4-861D-10B0204DE238}"/>
    <cellStyle name="Currency 5 3 2 2 5 3" xfId="5893" xr:uid="{00000000-0005-0000-0000-0000A90C0000}"/>
    <cellStyle name="Currency 5 3 2 2 5 3 2" xfId="41411" xr:uid="{6FE3699C-E7AC-43BB-A1C1-8A2E8F4C617E}"/>
    <cellStyle name="Currency 5 3 2 2 5 3 3" xfId="32964" xr:uid="{01B58D97-13CB-4949-A74D-314D4990BE57}"/>
    <cellStyle name="Currency 5 3 2 2 5 3 4" xfId="24516" xr:uid="{40948586-38A2-438B-ACAF-FF90E5629E50}"/>
    <cellStyle name="Currency 5 3 2 2 5 3 5" xfId="15219" xr:uid="{CF643845-EAD5-4634-8F60-D283A7ECD543}"/>
    <cellStyle name="Currency 5 3 2 2 5 4" xfId="37194" xr:uid="{F14EB3EC-BCDB-4C78-BDA1-F31AE7C04C7B}"/>
    <cellStyle name="Currency 5 3 2 2 5 5" xfId="28746" xr:uid="{F751461A-0C3A-4C59-88E8-DEB14B8EB548}"/>
    <cellStyle name="Currency 5 3 2 2 5 6" xfId="20299" xr:uid="{61836F44-39AD-4AB0-AD76-26D045D259DE}"/>
    <cellStyle name="Currency 5 3 2 2 5 7" xfId="11002" xr:uid="{8D5F9C93-3C85-4643-9D5A-941D9CCB30FC}"/>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43969" xr:uid="{5E87F327-6449-4CC8-B752-C93F5CBC207F}"/>
    <cellStyle name="Currency 5 3 2 2 6 2 2 3" xfId="35522" xr:uid="{964FF205-D7C2-4274-A946-A71B5F55983E}"/>
    <cellStyle name="Currency 5 3 2 2 6 2 2 4" xfId="27074" xr:uid="{05354950-358A-4D7F-98F4-4C095BF9B35A}"/>
    <cellStyle name="Currency 5 3 2 2 6 2 2 5" xfId="17777" xr:uid="{3C209DD3-5752-4585-8D5C-861FE29C5D20}"/>
    <cellStyle name="Currency 5 3 2 2 6 2 3" xfId="39752" xr:uid="{42BEA6B2-89FF-4E53-B40B-C1A3A0B7E157}"/>
    <cellStyle name="Currency 5 3 2 2 6 2 4" xfId="31304" xr:uid="{22AB6560-13F6-4B2C-BCF9-9BAE72CE2753}"/>
    <cellStyle name="Currency 5 3 2 2 6 2 5" xfId="22857" xr:uid="{62F0712D-2388-4543-9164-B0E137EAF9AE}"/>
    <cellStyle name="Currency 5 3 2 2 6 2 6" xfId="13560" xr:uid="{52589579-5BC7-41BE-A46B-5A50E1871A22}"/>
    <cellStyle name="Currency 5 3 2 2 6 3" xfId="6306" xr:uid="{00000000-0005-0000-0000-0000AD0C0000}"/>
    <cellStyle name="Currency 5 3 2 2 6 3 2" xfId="41824" xr:uid="{11D44D63-DE08-4A89-8F90-57356CDAF49B}"/>
    <cellStyle name="Currency 5 3 2 2 6 3 3" xfId="33377" xr:uid="{9A5F8A82-A6DA-42AC-A622-05D5BF2192D0}"/>
    <cellStyle name="Currency 5 3 2 2 6 3 4" xfId="24929" xr:uid="{98B791EA-EC70-4BA3-9854-E70B83CE1BCA}"/>
    <cellStyle name="Currency 5 3 2 2 6 3 5" xfId="15632" xr:uid="{CD65C523-FF75-4B5B-90FD-94B25BA397EE}"/>
    <cellStyle name="Currency 5 3 2 2 6 4" xfId="37607" xr:uid="{2EC730C0-4AFE-4D35-982F-A5B47F48372F}"/>
    <cellStyle name="Currency 5 3 2 2 6 5" xfId="29159" xr:uid="{75D2DE40-A969-49AE-8541-1B0EABE81CE0}"/>
    <cellStyle name="Currency 5 3 2 2 6 6" xfId="20712" xr:uid="{5F01DDCA-6C0E-4BDB-8FDC-51598DD4B603}"/>
    <cellStyle name="Currency 5 3 2 2 6 7" xfId="11415" xr:uid="{CD4CAF38-EE63-4848-8BC9-72C55FEEEAC4}"/>
    <cellStyle name="Currency 5 3 2 2 7" xfId="2435" xr:uid="{00000000-0005-0000-0000-0000AE0C0000}"/>
    <cellStyle name="Currency 5 3 2 2 7 2" xfId="6719" xr:uid="{00000000-0005-0000-0000-0000AF0C0000}"/>
    <cellStyle name="Currency 5 3 2 2 7 2 2" xfId="42237" xr:uid="{87F2F027-9703-4058-9CB5-D64C2976F118}"/>
    <cellStyle name="Currency 5 3 2 2 7 2 3" xfId="33790" xr:uid="{1403CFCA-53C7-4FBD-AF4A-1EE50F86235F}"/>
    <cellStyle name="Currency 5 3 2 2 7 2 4" xfId="25342" xr:uid="{8AD3C2FD-9171-4F11-B83A-21ED14204C98}"/>
    <cellStyle name="Currency 5 3 2 2 7 2 5" xfId="16045" xr:uid="{0797A71C-C9C4-4572-8E36-951C1BBE9FF8}"/>
    <cellStyle name="Currency 5 3 2 2 7 3" xfId="38020" xr:uid="{FA5A7A87-A853-445A-BC4C-EF51CE86077E}"/>
    <cellStyle name="Currency 5 3 2 2 7 4" xfId="29572" xr:uid="{0DEC2DDA-6FA7-49A8-ACB6-D5B5343D3082}"/>
    <cellStyle name="Currency 5 3 2 2 7 5" xfId="21125" xr:uid="{C21AE3C0-6B41-470D-B821-FC6393F14909}"/>
    <cellStyle name="Currency 5 3 2 2 7 6" xfId="11828" xr:uid="{FF3B8FDA-2C41-40D3-8F4A-66BB868FB9A3}"/>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42554" xr:uid="{C2518D5E-6425-4E09-8B0C-F1C9ABFE8D15}"/>
    <cellStyle name="Currency 5 3 2 2 9 2 3" xfId="34107" xr:uid="{964D7A49-88AC-4479-B52C-FE6E01C09BF3}"/>
    <cellStyle name="Currency 5 3 2 2 9 2 4" xfId="25659" xr:uid="{CD0B97D1-66C7-4EF9-A260-5DBE7ABF4B1D}"/>
    <cellStyle name="Currency 5 3 2 2 9 2 5" xfId="16362" xr:uid="{3240414A-3019-4408-8EA0-067B632E0B22}"/>
    <cellStyle name="Currency 5 3 2 2 9 3" xfId="38337" xr:uid="{667E2607-A981-4E05-A38B-9DEE41251946}"/>
    <cellStyle name="Currency 5 3 2 2 9 4" xfId="29889" xr:uid="{852F6C19-08E2-4B59-BDC7-D6F8AD3101F1}"/>
    <cellStyle name="Currency 5 3 2 2 9 5" xfId="21442" xr:uid="{2B5BECE4-077B-4939-BAB9-32E092A93045}"/>
    <cellStyle name="Currency 5 3 2 2 9 6" xfId="12145" xr:uid="{B0C163BD-3444-4ADF-AFB8-1FF429D0A3B1}"/>
    <cellStyle name="Currency 5 3 2 3" xfId="213" xr:uid="{00000000-0005-0000-0000-0000B30C0000}"/>
    <cellStyle name="Currency 5 3 2 3 10" xfId="9017" xr:uid="{A6213F8D-EE09-4095-B9BE-99C55DEE210F}"/>
    <cellStyle name="Currency 5 3 2 3 10 2" xfId="35956" xr:uid="{10FE1CC1-3A52-45E0-BBC5-4CAD8277F496}"/>
    <cellStyle name="Currency 5 3 2 3 10 3" xfId="18340" xr:uid="{B3AF55F6-3913-4AD7-8845-C8B3D9E8DB7B}"/>
    <cellStyle name="Currency 5 3 2 3 11" xfId="27508" xr:uid="{FF3BF847-A31B-4606-AD1B-0C5A7C1C1DC3}"/>
    <cellStyle name="Currency 5 3 2 3 12" xfId="19061" xr:uid="{9A9CAAB1-6EDD-4705-A3C3-5CCE204D1CB7}"/>
    <cellStyle name="Currency 5 3 2 3 13" xfId="9764" xr:uid="{D8919BFB-49F0-4649-958B-93FE910D5342}"/>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42732" xr:uid="{C6B7397C-4322-465F-B4CE-4542D116FA0C}"/>
    <cellStyle name="Currency 5 3 2 3 2 2 2 3" xfId="34285" xr:uid="{E302F239-D913-4F0F-8993-8E6EC9F26CD6}"/>
    <cellStyle name="Currency 5 3 2 3 2 2 2 4" xfId="25837" xr:uid="{F2800E72-E8F8-4322-8C93-7E5CC873D811}"/>
    <cellStyle name="Currency 5 3 2 3 2 2 2 5" xfId="16540" xr:uid="{87E286CC-5A28-45DC-A657-761F1E6023D6}"/>
    <cellStyle name="Currency 5 3 2 3 2 2 3" xfId="38515" xr:uid="{0D604868-166F-4543-8668-D8CE42F598F2}"/>
    <cellStyle name="Currency 5 3 2 3 2 2 4" xfId="30067" xr:uid="{93675CD7-9CE0-4416-B6C3-AE2287808AA3}"/>
    <cellStyle name="Currency 5 3 2 3 2 2 5" xfId="21620" xr:uid="{2470A5F8-524B-4953-8BC3-70C77950BB04}"/>
    <cellStyle name="Currency 5 3 2 3 2 2 6" xfId="12323" xr:uid="{3D3A475B-6049-473A-A39E-929D77F96A2B}"/>
    <cellStyle name="Currency 5 3 2 3 2 3" xfId="5069" xr:uid="{00000000-0005-0000-0000-0000B70C0000}"/>
    <cellStyle name="Currency 5 3 2 3 2 3 2" xfId="40587" xr:uid="{BF0CEA2C-FCCE-4C46-BF1E-B970F9DB5D5B}"/>
    <cellStyle name="Currency 5 3 2 3 2 3 3" xfId="32140" xr:uid="{878EDA2A-E6BA-438F-98AA-E669AD6E5F3E}"/>
    <cellStyle name="Currency 5 3 2 3 2 3 4" xfId="23692" xr:uid="{50693007-B46F-4944-B166-391126B8B502}"/>
    <cellStyle name="Currency 5 3 2 3 2 3 5" xfId="14395" xr:uid="{1D93E964-E101-4B68-89D7-671B6D0F8B1F}"/>
    <cellStyle name="Currency 5 3 2 3 2 4" xfId="9442" xr:uid="{AE48BD1F-B5DA-4007-BBEE-128FE2FE74D7}"/>
    <cellStyle name="Currency 5 3 2 3 2 4 2" xfId="36370" xr:uid="{F5E807F9-C7C4-456C-B182-2F47DE02CE4D}"/>
    <cellStyle name="Currency 5 3 2 3 2 4 3" xfId="18755" xr:uid="{F25D91CE-F756-47AD-9769-CAE789DC4C1F}"/>
    <cellStyle name="Currency 5 3 2 3 2 5" xfId="27922" xr:uid="{CCE16159-430F-4C58-9553-E5EDAFB1F78D}"/>
    <cellStyle name="Currency 5 3 2 3 2 6" xfId="19475" xr:uid="{685D3CB4-56EF-434C-AA30-3020CA24202E}"/>
    <cellStyle name="Currency 5 3 2 3 2 7" xfId="10178" xr:uid="{181E5AAB-EAAF-4510-9F14-2B3EF96F003F}"/>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43145" xr:uid="{B92717F0-27DC-4FD0-AE17-276268176D9F}"/>
    <cellStyle name="Currency 5 3 2 3 3 2 2 3" xfId="34698" xr:uid="{29D319B5-CC79-48AE-9896-6E9F4B7E2E8B}"/>
    <cellStyle name="Currency 5 3 2 3 3 2 2 4" xfId="26250" xr:uid="{623E879E-7F78-427B-95D3-0AA8AFB56ABB}"/>
    <cellStyle name="Currency 5 3 2 3 3 2 2 5" xfId="16953" xr:uid="{AEB1A57F-4FA4-4709-A866-D470DF0A2E4F}"/>
    <cellStyle name="Currency 5 3 2 3 3 2 3" xfId="38928" xr:uid="{751D7E11-5EAD-4549-8B27-396642D701D5}"/>
    <cellStyle name="Currency 5 3 2 3 3 2 4" xfId="30480" xr:uid="{348DEAC4-D8AB-493E-8142-10C34F64ADF3}"/>
    <cellStyle name="Currency 5 3 2 3 3 2 5" xfId="22033" xr:uid="{53DEA1CA-C1F6-42EA-8049-79F809F0469D}"/>
    <cellStyle name="Currency 5 3 2 3 3 2 6" xfId="12736" xr:uid="{FDB2EF1B-9164-46F1-9E6D-DC1D6CDCE3E1}"/>
    <cellStyle name="Currency 5 3 2 3 3 3" xfId="5482" xr:uid="{00000000-0005-0000-0000-0000BB0C0000}"/>
    <cellStyle name="Currency 5 3 2 3 3 3 2" xfId="41000" xr:uid="{AC620505-3FE0-4624-9547-E0ED49659DB5}"/>
    <cellStyle name="Currency 5 3 2 3 3 3 3" xfId="32553" xr:uid="{B7F3D4FB-3FC7-443A-B78A-BE0A3F216BF3}"/>
    <cellStyle name="Currency 5 3 2 3 3 3 4" xfId="24105" xr:uid="{E90A92BA-A112-4BC7-814F-B33793CCBD7C}"/>
    <cellStyle name="Currency 5 3 2 3 3 3 5" xfId="14808" xr:uid="{ECF64011-A1F4-4A44-A2AC-9E6E266C3A31}"/>
    <cellStyle name="Currency 5 3 2 3 3 4" xfId="36783" xr:uid="{F62873DE-0B7F-43FC-B2F2-99F8BF5679E9}"/>
    <cellStyle name="Currency 5 3 2 3 3 5" xfId="28335" xr:uid="{0E53A507-AB94-4D10-ABC2-9D3F4F9CE85A}"/>
    <cellStyle name="Currency 5 3 2 3 3 6" xfId="19888" xr:uid="{CCA1D0F3-ABB0-4B5A-B3D3-5C9BD4FD21A3}"/>
    <cellStyle name="Currency 5 3 2 3 3 7" xfId="10591" xr:uid="{71502326-36A3-4E6E-9DE2-52CB177B99D8}"/>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43558" xr:uid="{BD4F9097-0C2E-465D-87F6-0B1C2993AABC}"/>
    <cellStyle name="Currency 5 3 2 3 4 2 2 3" xfId="35111" xr:uid="{D2724100-4AA4-4DCA-899B-EEEEE1177EAB}"/>
    <cellStyle name="Currency 5 3 2 3 4 2 2 4" xfId="26663" xr:uid="{EF60ED52-7EF1-49EC-9A68-C1D7CD7EA3E3}"/>
    <cellStyle name="Currency 5 3 2 3 4 2 2 5" xfId="17366" xr:uid="{0924290A-78C7-4BE3-89F0-259E09165372}"/>
    <cellStyle name="Currency 5 3 2 3 4 2 3" xfId="39341" xr:uid="{F302AF55-BE94-4485-A6D1-6391BA2D302D}"/>
    <cellStyle name="Currency 5 3 2 3 4 2 4" xfId="30893" xr:uid="{BB35F48E-A0B9-46B6-A77C-608DDE0796E7}"/>
    <cellStyle name="Currency 5 3 2 3 4 2 5" xfId="22446" xr:uid="{7FB3EC5F-9829-418D-8D2A-DC98FE4B4B86}"/>
    <cellStyle name="Currency 5 3 2 3 4 2 6" xfId="13149" xr:uid="{EA9C3C7C-E060-4EC5-9DF0-FCF8B1448A1F}"/>
    <cellStyle name="Currency 5 3 2 3 4 3" xfId="5895" xr:uid="{00000000-0005-0000-0000-0000BF0C0000}"/>
    <cellStyle name="Currency 5 3 2 3 4 3 2" xfId="41413" xr:uid="{A592EF76-A310-47C5-8585-DB23C36498E5}"/>
    <cellStyle name="Currency 5 3 2 3 4 3 3" xfId="32966" xr:uid="{882252B5-D901-4E8D-8190-BEE46B387C60}"/>
    <cellStyle name="Currency 5 3 2 3 4 3 4" xfId="24518" xr:uid="{8F1FD732-7759-4926-A23A-E1812E9CEAF5}"/>
    <cellStyle name="Currency 5 3 2 3 4 3 5" xfId="15221" xr:uid="{C97AA50A-66CD-43E6-8912-4273116273DA}"/>
    <cellStyle name="Currency 5 3 2 3 4 4" xfId="37196" xr:uid="{6D10966C-CCE3-4E0D-8DF9-83BF4DB15BEE}"/>
    <cellStyle name="Currency 5 3 2 3 4 5" xfId="28748" xr:uid="{97DD2FF3-6782-4089-885D-26873517A39D}"/>
    <cellStyle name="Currency 5 3 2 3 4 6" xfId="20301" xr:uid="{DCABE3E8-7AD3-4636-BAC7-E3D4947303D1}"/>
    <cellStyle name="Currency 5 3 2 3 4 7" xfId="11004" xr:uid="{0EEE773E-908B-4E02-ABC0-D4388E9635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43971" xr:uid="{B1C6DF40-664A-4DB7-B15E-6BE50326C0A3}"/>
    <cellStyle name="Currency 5 3 2 3 5 2 2 3" xfId="35524" xr:uid="{B23AC473-9C15-400E-ACFA-F0612DD38BB9}"/>
    <cellStyle name="Currency 5 3 2 3 5 2 2 4" xfId="27076" xr:uid="{724C37D4-42CF-4E93-A4A3-AFE12753ED3B}"/>
    <cellStyle name="Currency 5 3 2 3 5 2 2 5" xfId="17779" xr:uid="{4E410969-5B83-4F35-98DD-137882F34DA6}"/>
    <cellStyle name="Currency 5 3 2 3 5 2 3" xfId="39754" xr:uid="{96BF96D3-6B3C-4F46-8DDF-E12173640D29}"/>
    <cellStyle name="Currency 5 3 2 3 5 2 4" xfId="31306" xr:uid="{4C39EF83-ACB5-4E37-AFDC-2E024E56E971}"/>
    <cellStyle name="Currency 5 3 2 3 5 2 5" xfId="22859" xr:uid="{E31C113B-7F37-4330-8C2C-B789DC6BA056}"/>
    <cellStyle name="Currency 5 3 2 3 5 2 6" xfId="13562" xr:uid="{011B43B0-4D97-4A65-A71B-2223078DF93A}"/>
    <cellStyle name="Currency 5 3 2 3 5 3" xfId="6308" xr:uid="{00000000-0005-0000-0000-0000C30C0000}"/>
    <cellStyle name="Currency 5 3 2 3 5 3 2" xfId="41826" xr:uid="{AFEC279D-47ED-473A-97E5-365D9708DCA6}"/>
    <cellStyle name="Currency 5 3 2 3 5 3 3" xfId="33379" xr:uid="{78315794-CAC4-4EC0-A22D-C980CF453A09}"/>
    <cellStyle name="Currency 5 3 2 3 5 3 4" xfId="24931" xr:uid="{70C8A226-D192-4839-806C-5AED94FE858B}"/>
    <cellStyle name="Currency 5 3 2 3 5 3 5" xfId="15634" xr:uid="{BBFC0640-27BD-4B99-AA21-D7947E2A6405}"/>
    <cellStyle name="Currency 5 3 2 3 5 4" xfId="37609" xr:uid="{29C135C6-DCDB-4FCB-B9B0-3B562C22C04F}"/>
    <cellStyle name="Currency 5 3 2 3 5 5" xfId="29161" xr:uid="{F39A764A-8486-431C-B715-26DC7092F25B}"/>
    <cellStyle name="Currency 5 3 2 3 5 6" xfId="20714" xr:uid="{0A1EA454-FF05-412B-B065-042EBFBED4E7}"/>
    <cellStyle name="Currency 5 3 2 3 5 7" xfId="11417" xr:uid="{934EF21F-876C-4F2E-BE66-FB940B57243B}"/>
    <cellStyle name="Currency 5 3 2 3 6" xfId="2437" xr:uid="{00000000-0005-0000-0000-0000C40C0000}"/>
    <cellStyle name="Currency 5 3 2 3 6 2" xfId="6721" xr:uid="{00000000-0005-0000-0000-0000C50C0000}"/>
    <cellStyle name="Currency 5 3 2 3 6 2 2" xfId="42239" xr:uid="{42DD078D-6073-4157-8F01-993A77AE38C5}"/>
    <cellStyle name="Currency 5 3 2 3 6 2 3" xfId="33792" xr:uid="{2AE5C4BE-E549-4E61-A207-CDF8C26FB401}"/>
    <cellStyle name="Currency 5 3 2 3 6 2 4" xfId="25344" xr:uid="{E58B59BB-07EA-4A09-9B4B-7C2E9C21938B}"/>
    <cellStyle name="Currency 5 3 2 3 6 2 5" xfId="16047" xr:uid="{A99BB40A-5713-45E6-86F1-25EF26A6E1E5}"/>
    <cellStyle name="Currency 5 3 2 3 6 3" xfId="38022" xr:uid="{BB0286DD-9210-4270-9285-87ADD9C8C9E1}"/>
    <cellStyle name="Currency 5 3 2 3 6 4" xfId="29574" xr:uid="{FCC8ED63-EA0C-4341-B348-DE21E88E9919}"/>
    <cellStyle name="Currency 5 3 2 3 6 5" xfId="21127" xr:uid="{5782C31D-CAF4-42D6-B0A8-9E4A26F85083}"/>
    <cellStyle name="Currency 5 3 2 3 6 6" xfId="11830" xr:uid="{6E12D97F-32A4-468A-BF74-098088F15401}"/>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42556" xr:uid="{D4BAE163-3487-491F-88C7-AD5C7AF7FEF3}"/>
    <cellStyle name="Currency 5 3 2 3 8 2 3" xfId="34109" xr:uid="{A8D712FA-4E00-4419-844B-656EA310E779}"/>
    <cellStyle name="Currency 5 3 2 3 8 2 4" xfId="25661" xr:uid="{A550B328-34E2-487C-9E99-BF174E60DFE7}"/>
    <cellStyle name="Currency 5 3 2 3 8 2 5" xfId="16364" xr:uid="{D852CB1E-0DBD-4051-BCCF-C2C60726E059}"/>
    <cellStyle name="Currency 5 3 2 3 8 3" xfId="38339" xr:uid="{B944D194-5106-40CB-B45C-4AE6FE45857D}"/>
    <cellStyle name="Currency 5 3 2 3 8 4" xfId="29891" xr:uid="{58FC7316-3911-4E45-A569-4937E044AC10}"/>
    <cellStyle name="Currency 5 3 2 3 8 5" xfId="21444" xr:uid="{F0C12C23-C1EB-4E14-B84A-2EE68230AEBE}"/>
    <cellStyle name="Currency 5 3 2 3 8 6" xfId="12147" xr:uid="{BF04A0F8-AFB5-4847-B6BD-CD1BF9DA8B12}"/>
    <cellStyle name="Currency 5 3 2 3 9" xfId="4655" xr:uid="{00000000-0005-0000-0000-0000C90C0000}"/>
    <cellStyle name="Currency 5 3 2 3 9 2" xfId="40173" xr:uid="{37DDB68D-9650-4169-A308-B4F001BA5443}"/>
    <cellStyle name="Currency 5 3 2 3 9 3" xfId="31726" xr:uid="{A4425B30-A843-4A63-8937-8D713496689E}"/>
    <cellStyle name="Currency 5 3 2 3 9 4" xfId="23278" xr:uid="{7F0451C4-6D22-43B2-B827-CD1A860F2E03}"/>
    <cellStyle name="Currency 5 3 2 3 9 5" xfId="13981" xr:uid="{BA48500A-37BF-4586-BA22-FD27B547BED0}"/>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42729" xr:uid="{B9F49343-259C-4E7B-881E-DBEC3C9BD362}"/>
    <cellStyle name="Currency 5 3 2 4 2 2 3" xfId="34282" xr:uid="{E7B16BC5-E0C6-4D6B-955D-FCDF9350BD0E}"/>
    <cellStyle name="Currency 5 3 2 4 2 2 4" xfId="25834" xr:uid="{9B00AD19-FC5C-4A61-9DFE-751177B43E77}"/>
    <cellStyle name="Currency 5 3 2 4 2 2 5" xfId="16537" xr:uid="{6108C631-A7FF-4CDD-9F0C-A9378C49639F}"/>
    <cellStyle name="Currency 5 3 2 4 2 3" xfId="38512" xr:uid="{FCDC7CBF-F157-4661-AB7E-3F58616C5840}"/>
    <cellStyle name="Currency 5 3 2 4 2 4" xfId="30064" xr:uid="{CCB5FE18-B024-4620-B31C-0C2FD7FBA313}"/>
    <cellStyle name="Currency 5 3 2 4 2 5" xfId="21617" xr:uid="{1D9E1B1D-7D6D-4E43-B298-CB7997A328B8}"/>
    <cellStyle name="Currency 5 3 2 4 2 6" xfId="12320" xr:uid="{1995F0F4-B6C2-4D7E-B5DA-B8D154911E6B}"/>
    <cellStyle name="Currency 5 3 2 4 3" xfId="5066" xr:uid="{00000000-0005-0000-0000-0000CD0C0000}"/>
    <cellStyle name="Currency 5 3 2 4 3 2" xfId="40584" xr:uid="{2B1378FF-2A6F-47A4-B64D-1F4A69346CA0}"/>
    <cellStyle name="Currency 5 3 2 4 3 3" xfId="32137" xr:uid="{40A5F41C-B4ED-4EBB-953F-A3E5C702BDB2}"/>
    <cellStyle name="Currency 5 3 2 4 3 4" xfId="23689" xr:uid="{27741546-B1D2-497E-A703-CF0E531A7FA7}"/>
    <cellStyle name="Currency 5 3 2 4 3 5" xfId="14392" xr:uid="{F295103A-11D5-47C5-90B0-81920CFB2E6F}"/>
    <cellStyle name="Currency 5 3 2 4 4" xfId="9235" xr:uid="{F2FD4117-6EF1-4663-964A-AB5B57E6F469}"/>
    <cellStyle name="Currency 5 3 2 4 4 2" xfId="36367" xr:uid="{EC48B4A1-D89D-4860-95FE-8BE52B391459}"/>
    <cellStyle name="Currency 5 3 2 4 4 3" xfId="18548" xr:uid="{21B8D857-C9E7-49A6-8D7C-102A769D711E}"/>
    <cellStyle name="Currency 5 3 2 4 5" xfId="27919" xr:uid="{5B4B7101-5996-464D-A521-F6A0448C955D}"/>
    <cellStyle name="Currency 5 3 2 4 6" xfId="19472" xr:uid="{7623745B-4959-4693-A04E-D59265D29BC0}"/>
    <cellStyle name="Currency 5 3 2 4 7" xfId="10175" xr:uid="{6159A798-103A-4781-8FE2-2E341F45E2A5}"/>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43142" xr:uid="{5152BB13-70BB-48C3-B2EA-6F2FF8D2F515}"/>
    <cellStyle name="Currency 5 3 2 5 2 2 3" xfId="34695" xr:uid="{F160213C-486F-4E0E-AF4B-41CEB9E9DE15}"/>
    <cellStyle name="Currency 5 3 2 5 2 2 4" xfId="26247" xr:uid="{D86F7377-706E-4F36-AE46-6A3C89905273}"/>
    <cellStyle name="Currency 5 3 2 5 2 2 5" xfId="16950" xr:uid="{F24791D3-6FE3-4890-8868-89D95EC8D109}"/>
    <cellStyle name="Currency 5 3 2 5 2 3" xfId="38925" xr:uid="{AA814080-6FC3-4168-87A7-C62485B42557}"/>
    <cellStyle name="Currency 5 3 2 5 2 4" xfId="30477" xr:uid="{84007375-E5D9-49D7-9965-5CDF4783F0D8}"/>
    <cellStyle name="Currency 5 3 2 5 2 5" xfId="22030" xr:uid="{18610380-1F41-44D5-B6E7-F9DE988F7412}"/>
    <cellStyle name="Currency 5 3 2 5 2 6" xfId="12733" xr:uid="{84F9A369-A97F-426C-A6AD-31F1DA14BB64}"/>
    <cellStyle name="Currency 5 3 2 5 3" xfId="5479" xr:uid="{00000000-0005-0000-0000-0000D10C0000}"/>
    <cellStyle name="Currency 5 3 2 5 3 2" xfId="40997" xr:uid="{92DDDFA7-741A-480C-B91A-9C048D198DDF}"/>
    <cellStyle name="Currency 5 3 2 5 3 3" xfId="32550" xr:uid="{9DC17FBC-2D00-4195-8573-7D383DE95829}"/>
    <cellStyle name="Currency 5 3 2 5 3 4" xfId="24102" xr:uid="{C8CEB269-F6A0-45C8-95FA-ED1BACC59E7F}"/>
    <cellStyle name="Currency 5 3 2 5 3 5" xfId="14805" xr:uid="{51AE592F-1360-4EEA-B7F8-4CD945A196F1}"/>
    <cellStyle name="Currency 5 3 2 5 4" xfId="36780" xr:uid="{FF677358-2163-42D3-9D01-C5EB78DF698B}"/>
    <cellStyle name="Currency 5 3 2 5 5" xfId="28332" xr:uid="{917A28CF-6B1E-4429-B427-BCA6B0EEE8A5}"/>
    <cellStyle name="Currency 5 3 2 5 6" xfId="19885" xr:uid="{4FF67F91-E2F8-4871-9890-FED289CBD9F0}"/>
    <cellStyle name="Currency 5 3 2 5 7" xfId="10588" xr:uid="{C9384AF8-ACD5-4D2E-B646-2B423FC4D75F}"/>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43555" xr:uid="{1AA3B482-53FC-4703-80CE-F5AD64FE22C6}"/>
    <cellStyle name="Currency 5 3 2 6 2 2 3" xfId="35108" xr:uid="{6DD626E1-A5EE-4FBE-B5F9-8FA2ED131A22}"/>
    <cellStyle name="Currency 5 3 2 6 2 2 4" xfId="26660" xr:uid="{3C3E3F0C-6CF1-43A8-871A-27BB76387088}"/>
    <cellStyle name="Currency 5 3 2 6 2 2 5" xfId="17363" xr:uid="{9E3F3D62-472C-4D08-B09E-F8897FF83D25}"/>
    <cellStyle name="Currency 5 3 2 6 2 3" xfId="39338" xr:uid="{E0FBBCDE-A0B9-427A-A4E6-C2061EFD6319}"/>
    <cellStyle name="Currency 5 3 2 6 2 4" xfId="30890" xr:uid="{49835C15-96FE-4C02-A030-AB764F08EECA}"/>
    <cellStyle name="Currency 5 3 2 6 2 5" xfId="22443" xr:uid="{3EEADDD4-A155-4537-B6B4-0588F2D5DB1D}"/>
    <cellStyle name="Currency 5 3 2 6 2 6" xfId="13146" xr:uid="{605DC7E6-D2A5-491A-BD99-F5393F4E6933}"/>
    <cellStyle name="Currency 5 3 2 6 3" xfId="5892" xr:uid="{00000000-0005-0000-0000-0000D50C0000}"/>
    <cellStyle name="Currency 5 3 2 6 3 2" xfId="41410" xr:uid="{EC4A6811-8062-45E1-B23D-6692A765FB1F}"/>
    <cellStyle name="Currency 5 3 2 6 3 3" xfId="32963" xr:uid="{ABC23966-6FA7-48A0-B143-E23E95C0E816}"/>
    <cellStyle name="Currency 5 3 2 6 3 4" xfId="24515" xr:uid="{25B69DC8-EA4A-44BE-9B04-EEA04251BB37}"/>
    <cellStyle name="Currency 5 3 2 6 3 5" xfId="15218" xr:uid="{2FB0EF61-F705-4ACA-A445-0187AC3E7646}"/>
    <cellStyle name="Currency 5 3 2 6 4" xfId="37193" xr:uid="{5F7DCB8F-B979-4207-8181-B6F2A6B49CBF}"/>
    <cellStyle name="Currency 5 3 2 6 5" xfId="28745" xr:uid="{169F6C8C-630D-4CD7-81E5-18B631255AB7}"/>
    <cellStyle name="Currency 5 3 2 6 6" xfId="20298" xr:uid="{03B4B79F-6ADC-42FF-9C90-607B6386AFC2}"/>
    <cellStyle name="Currency 5 3 2 6 7" xfId="11001" xr:uid="{0518BA95-D652-4022-BFFB-18CAA436F6FF}"/>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43968" xr:uid="{0AD8FEC4-CDD5-4830-AE0F-07EE2AF7E924}"/>
    <cellStyle name="Currency 5 3 2 7 2 2 3" xfId="35521" xr:uid="{22605FC2-D161-4AB2-BAF0-8B7336DC811A}"/>
    <cellStyle name="Currency 5 3 2 7 2 2 4" xfId="27073" xr:uid="{A40671C7-C124-483E-A36B-CEB5964C5CB6}"/>
    <cellStyle name="Currency 5 3 2 7 2 2 5" xfId="17776" xr:uid="{FA83BF97-C306-4D43-B2B6-8D373AA2787B}"/>
    <cellStyle name="Currency 5 3 2 7 2 3" xfId="39751" xr:uid="{5EE05BDF-2127-45F3-8684-EF427024419B}"/>
    <cellStyle name="Currency 5 3 2 7 2 4" xfId="31303" xr:uid="{E04D169C-1B63-444C-9351-A8E814AB0D44}"/>
    <cellStyle name="Currency 5 3 2 7 2 5" xfId="22856" xr:uid="{38C1CF03-7236-4048-B4E2-0CA867949394}"/>
    <cellStyle name="Currency 5 3 2 7 2 6" xfId="13559" xr:uid="{186AAAA8-64DD-42F3-9413-BA84903376A0}"/>
    <cellStyle name="Currency 5 3 2 7 3" xfId="6305" xr:uid="{00000000-0005-0000-0000-0000D90C0000}"/>
    <cellStyle name="Currency 5 3 2 7 3 2" xfId="41823" xr:uid="{4A99A3EB-05C4-4541-98D8-51BDF5197C24}"/>
    <cellStyle name="Currency 5 3 2 7 3 3" xfId="33376" xr:uid="{308E3E81-68FB-4A84-B0EF-7DD80EB89954}"/>
    <cellStyle name="Currency 5 3 2 7 3 4" xfId="24928" xr:uid="{049DA5C2-4EF4-44DE-A34A-474D46A37C14}"/>
    <cellStyle name="Currency 5 3 2 7 3 5" xfId="15631" xr:uid="{F30E9D8D-A5D0-4445-9417-8324C26C537A}"/>
    <cellStyle name="Currency 5 3 2 7 4" xfId="37606" xr:uid="{6ADDE6EF-9577-4858-B6F4-1E354DD21664}"/>
    <cellStyle name="Currency 5 3 2 7 5" xfId="29158" xr:uid="{465881D2-A62B-4120-A638-7A1C7EE494CE}"/>
    <cellStyle name="Currency 5 3 2 7 6" xfId="20711" xr:uid="{3A438F20-52EE-47E6-A5A4-6BD92F23EA2B}"/>
    <cellStyle name="Currency 5 3 2 7 7" xfId="11414" xr:uid="{7F5A8898-C787-4558-B0B0-6937B6A05CA5}"/>
    <cellStyle name="Currency 5 3 2 8" xfId="2434" xr:uid="{00000000-0005-0000-0000-0000DA0C0000}"/>
    <cellStyle name="Currency 5 3 2 8 2" xfId="6718" xr:uid="{00000000-0005-0000-0000-0000DB0C0000}"/>
    <cellStyle name="Currency 5 3 2 8 2 2" xfId="42236" xr:uid="{3B9318D6-D361-42E0-A3B5-FE142C76A687}"/>
    <cellStyle name="Currency 5 3 2 8 2 3" xfId="33789" xr:uid="{4DA0D324-23D7-4123-A0F6-A329C35377E9}"/>
    <cellStyle name="Currency 5 3 2 8 2 4" xfId="25341" xr:uid="{B860B8E0-3334-4758-AF5B-FF21E8183101}"/>
    <cellStyle name="Currency 5 3 2 8 2 5" xfId="16044" xr:uid="{E1717837-34FE-4156-AC7C-D951949B7E81}"/>
    <cellStyle name="Currency 5 3 2 8 3" xfId="38019" xr:uid="{D0AE2CBD-ED4D-47A0-99C7-A5FEB3BE63E5}"/>
    <cellStyle name="Currency 5 3 2 8 4" xfId="29571" xr:uid="{60568E8D-29FD-4620-9AFE-FC430DA685DD}"/>
    <cellStyle name="Currency 5 3 2 8 5" xfId="21124" xr:uid="{2B872C57-1EF2-4AE9-BA70-4313149534BB}"/>
    <cellStyle name="Currency 5 3 2 8 6" xfId="11827" xr:uid="{5B7ABEDF-EE17-4CE3-92AF-DEF296C7AF0F}"/>
    <cellStyle name="Currency 5 3 2 9" xfId="2731" xr:uid="{00000000-0005-0000-0000-0000DC0C0000}"/>
    <cellStyle name="Currency 5 3 3" xfId="214" xr:uid="{00000000-0005-0000-0000-0000DD0C0000}"/>
    <cellStyle name="Currency 5 3 3 10" xfId="4656" xr:uid="{00000000-0005-0000-0000-0000DE0C0000}"/>
    <cellStyle name="Currency 5 3 3 10 2" xfId="40174" xr:uid="{89B55385-C183-4164-B6C2-6ED796FB2BA3}"/>
    <cellStyle name="Currency 5 3 3 10 3" xfId="31727" xr:uid="{36A5C7CE-6DE6-4797-837C-32CCCFD8B824}"/>
    <cellStyle name="Currency 5 3 3 10 4" xfId="23279" xr:uid="{DDA87E33-1EF4-447B-B3C5-75D155E6BB92}"/>
    <cellStyle name="Currency 5 3 3 10 5" xfId="13982" xr:uid="{1397BA13-AEFC-4429-9AD7-79C58CD857F2}"/>
    <cellStyle name="Currency 5 3 3 11" xfId="8882" xr:uid="{A86B3ED4-B552-42F3-9E77-C6763F86EEE6}"/>
    <cellStyle name="Currency 5 3 3 11 2" xfId="35957" xr:uid="{0099BA3D-73EE-47BB-AA3A-BCE2FD541671}"/>
    <cellStyle name="Currency 5 3 3 11 3" xfId="18205" xr:uid="{A9B33911-7803-4019-9038-2E30726E92F3}"/>
    <cellStyle name="Currency 5 3 3 12" xfId="27509" xr:uid="{F54A4A43-1F66-4B4C-87D5-569D72E3CAD7}"/>
    <cellStyle name="Currency 5 3 3 13" xfId="19062" xr:uid="{7000FBD8-457B-4082-995D-98D47A4FEA93}"/>
    <cellStyle name="Currency 5 3 3 14" xfId="9765" xr:uid="{B8748078-06B4-406B-AF0D-090B4D9F0B6B}"/>
    <cellStyle name="Currency 5 3 3 2" xfId="215" xr:uid="{00000000-0005-0000-0000-0000DF0C0000}"/>
    <cellStyle name="Currency 5 3 3 2 10" xfId="9089" xr:uid="{7CFB8DCC-02AE-4CC5-8E10-3D33399ECECE}"/>
    <cellStyle name="Currency 5 3 3 2 10 2" xfId="35958" xr:uid="{FFA3C987-3CD6-47B2-92FB-8A1871993DD6}"/>
    <cellStyle name="Currency 5 3 3 2 10 3" xfId="18412" xr:uid="{1FE68973-53A6-4AA6-BAAB-38EF72344C6C}"/>
    <cellStyle name="Currency 5 3 3 2 11" xfId="27510" xr:uid="{24159D98-96F0-4D54-985D-4E783EC0F620}"/>
    <cellStyle name="Currency 5 3 3 2 12" xfId="19063" xr:uid="{7C51BC5C-20BF-45EC-9BFD-F2CBD372FE87}"/>
    <cellStyle name="Currency 5 3 3 2 13" xfId="9766" xr:uid="{F1ED74F3-6788-4257-8589-3489B425B742}"/>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42734" xr:uid="{54C8B110-002C-416A-832A-24BCCDE5D587}"/>
    <cellStyle name="Currency 5 3 3 2 2 2 2 3" xfId="34287" xr:uid="{E2762405-0A62-401F-9EF3-9C165236A892}"/>
    <cellStyle name="Currency 5 3 3 2 2 2 2 4" xfId="25839" xr:uid="{300ACBBA-991D-43EC-9DD0-617471007455}"/>
    <cellStyle name="Currency 5 3 3 2 2 2 2 5" xfId="16542" xr:uid="{EB478EEA-1E99-4838-8775-1B72D118D925}"/>
    <cellStyle name="Currency 5 3 3 2 2 2 3" xfId="38517" xr:uid="{56B53D6A-085B-4D00-BE5B-7F84CFE47267}"/>
    <cellStyle name="Currency 5 3 3 2 2 2 4" xfId="30069" xr:uid="{7B303347-E4CD-4D86-9BF6-062E2A88F6CD}"/>
    <cellStyle name="Currency 5 3 3 2 2 2 5" xfId="21622" xr:uid="{093D262E-A5BE-4CB0-8A50-0DD18CD4D95C}"/>
    <cellStyle name="Currency 5 3 3 2 2 2 6" xfId="12325" xr:uid="{2E04383F-5D9A-4462-A267-54ADAD0E26E0}"/>
    <cellStyle name="Currency 5 3 3 2 2 3" xfId="5071" xr:uid="{00000000-0005-0000-0000-0000E30C0000}"/>
    <cellStyle name="Currency 5 3 3 2 2 3 2" xfId="40589" xr:uid="{0A5C645E-2261-43CA-85F5-771076E35F92}"/>
    <cellStyle name="Currency 5 3 3 2 2 3 3" xfId="32142" xr:uid="{398E9881-D7AB-4C4A-A8BE-0033980B7DB3}"/>
    <cellStyle name="Currency 5 3 3 2 2 3 4" xfId="23694" xr:uid="{D3CE6F15-AC89-4803-AEEB-5929005BFCFD}"/>
    <cellStyle name="Currency 5 3 3 2 2 3 5" xfId="14397" xr:uid="{A9DC0CEB-3477-406E-B825-6BBD3A020A1D}"/>
    <cellStyle name="Currency 5 3 3 2 2 4" xfId="9514" xr:uid="{9A504F43-6423-4200-B7AF-F17B65B2005C}"/>
    <cellStyle name="Currency 5 3 3 2 2 4 2" xfId="36372" xr:uid="{5361EB65-BE85-4276-91EE-4E6C76B54B71}"/>
    <cellStyle name="Currency 5 3 3 2 2 4 3" xfId="18827" xr:uid="{D4734ABE-8F01-47EF-BDC6-84BF0929186E}"/>
    <cellStyle name="Currency 5 3 3 2 2 5" xfId="27924" xr:uid="{B6CB8C57-8C17-4510-97DB-6335D0E769C9}"/>
    <cellStyle name="Currency 5 3 3 2 2 6" xfId="19477" xr:uid="{C61084A6-FA37-4806-B22C-22FC0618DCB1}"/>
    <cellStyle name="Currency 5 3 3 2 2 7" xfId="10180" xr:uid="{D2045901-48E1-4346-8D0F-129F987AE5DD}"/>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43147" xr:uid="{4CC10A67-F14F-4986-85A9-FFA940B95B7C}"/>
    <cellStyle name="Currency 5 3 3 2 3 2 2 3" xfId="34700" xr:uid="{FD37219C-B3F5-4CAB-8CEC-C83BB3B12882}"/>
    <cellStyle name="Currency 5 3 3 2 3 2 2 4" xfId="26252" xr:uid="{66992FBD-10A8-444C-A66F-C4C593D3C111}"/>
    <cellStyle name="Currency 5 3 3 2 3 2 2 5" xfId="16955" xr:uid="{3122A91F-D87A-448A-90F6-4993B098803B}"/>
    <cellStyle name="Currency 5 3 3 2 3 2 3" xfId="38930" xr:uid="{2A26C1CE-CA70-43DC-981D-F6E7E5D59420}"/>
    <cellStyle name="Currency 5 3 3 2 3 2 4" xfId="30482" xr:uid="{27145C9A-1EE1-4EF7-8DB9-2AF55BF83A93}"/>
    <cellStyle name="Currency 5 3 3 2 3 2 5" xfId="22035" xr:uid="{85DB7AA5-971B-4A25-A109-C08CBD0B9D35}"/>
    <cellStyle name="Currency 5 3 3 2 3 2 6" xfId="12738" xr:uid="{5FA2B2F6-7AA0-4E67-AF8D-0FDB6A782B3A}"/>
    <cellStyle name="Currency 5 3 3 2 3 3" xfId="5484" xr:uid="{00000000-0005-0000-0000-0000E70C0000}"/>
    <cellStyle name="Currency 5 3 3 2 3 3 2" xfId="41002" xr:uid="{50F89697-71FD-410C-980D-00BC5F529CE6}"/>
    <cellStyle name="Currency 5 3 3 2 3 3 3" xfId="32555" xr:uid="{F2DC281E-045A-4429-8FC4-DCBA5BC61171}"/>
    <cellStyle name="Currency 5 3 3 2 3 3 4" xfId="24107" xr:uid="{777C5232-AE6E-4A19-9106-A72699818174}"/>
    <cellStyle name="Currency 5 3 3 2 3 3 5" xfId="14810" xr:uid="{E202DDF7-4448-4F52-A38F-0A2FC580F46B}"/>
    <cellStyle name="Currency 5 3 3 2 3 4" xfId="36785" xr:uid="{FBDC7A47-C31A-4F65-84FA-42F1D79A69FB}"/>
    <cellStyle name="Currency 5 3 3 2 3 5" xfId="28337" xr:uid="{A4B3987D-F89B-44C0-A3C9-95E031483121}"/>
    <cellStyle name="Currency 5 3 3 2 3 6" xfId="19890" xr:uid="{687C7375-3B4B-4308-8027-098653207DFC}"/>
    <cellStyle name="Currency 5 3 3 2 3 7" xfId="10593" xr:uid="{5B0EECC1-7ADD-484D-8B02-D34C912B2C93}"/>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43560" xr:uid="{7C61D354-584E-474D-853C-B277F27D2202}"/>
    <cellStyle name="Currency 5 3 3 2 4 2 2 3" xfId="35113" xr:uid="{AAD09178-22AE-459F-81CA-B1739BA0D070}"/>
    <cellStyle name="Currency 5 3 3 2 4 2 2 4" xfId="26665" xr:uid="{6364AED2-A067-4201-8FA6-6BFCE06C5BDC}"/>
    <cellStyle name="Currency 5 3 3 2 4 2 2 5" xfId="17368" xr:uid="{9956FC49-D780-41D9-BD72-F1717D7419B8}"/>
    <cellStyle name="Currency 5 3 3 2 4 2 3" xfId="39343" xr:uid="{87C9E18C-000B-497B-8DAA-808ABCA9C9DD}"/>
    <cellStyle name="Currency 5 3 3 2 4 2 4" xfId="30895" xr:uid="{7D1F5588-0DF2-4C28-B88B-655CD374A7B3}"/>
    <cellStyle name="Currency 5 3 3 2 4 2 5" xfId="22448" xr:uid="{85E9C76D-A3AC-40D6-B8D9-4338F1401D9A}"/>
    <cellStyle name="Currency 5 3 3 2 4 2 6" xfId="13151" xr:uid="{E84AE760-6E19-450F-B500-681332DF3D72}"/>
    <cellStyle name="Currency 5 3 3 2 4 3" xfId="5897" xr:uid="{00000000-0005-0000-0000-0000EB0C0000}"/>
    <cellStyle name="Currency 5 3 3 2 4 3 2" xfId="41415" xr:uid="{0BB7895B-AC13-4D51-8ED7-7382E179911F}"/>
    <cellStyle name="Currency 5 3 3 2 4 3 3" xfId="32968" xr:uid="{35DB32B3-EB99-4E08-B212-C316C6328B9D}"/>
    <cellStyle name="Currency 5 3 3 2 4 3 4" xfId="24520" xr:uid="{18C98153-29BD-4F02-BD2B-97935E62F0BB}"/>
    <cellStyle name="Currency 5 3 3 2 4 3 5" xfId="15223" xr:uid="{6987728A-2EE2-408E-A05C-074C1E9EF0AE}"/>
    <cellStyle name="Currency 5 3 3 2 4 4" xfId="37198" xr:uid="{EB73F517-CE00-4172-9D8E-C28F29A5D079}"/>
    <cellStyle name="Currency 5 3 3 2 4 5" xfId="28750" xr:uid="{0FB7B647-369A-4645-9723-9F8AB1C0638E}"/>
    <cellStyle name="Currency 5 3 3 2 4 6" xfId="20303" xr:uid="{E44E5C2F-CA5D-4976-9E66-CAF7390F9CE5}"/>
    <cellStyle name="Currency 5 3 3 2 4 7" xfId="11006" xr:uid="{D7815FA8-1E59-41D7-8EC4-796051E1EB53}"/>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43973" xr:uid="{B61AECB5-169E-40A5-A1F7-C957C041ECFD}"/>
    <cellStyle name="Currency 5 3 3 2 5 2 2 3" xfId="35526" xr:uid="{A5E6D0F0-D004-4FCE-8BFC-CE44E8994548}"/>
    <cellStyle name="Currency 5 3 3 2 5 2 2 4" xfId="27078" xr:uid="{7E8B67B3-AF7C-4104-9D3E-F21CD4F369AB}"/>
    <cellStyle name="Currency 5 3 3 2 5 2 2 5" xfId="17781" xr:uid="{BB01499B-017F-45E5-9A54-425D1C7B0126}"/>
    <cellStyle name="Currency 5 3 3 2 5 2 3" xfId="39756" xr:uid="{49955D7C-D4FF-4653-94BE-DE754F5A36AD}"/>
    <cellStyle name="Currency 5 3 3 2 5 2 4" xfId="31308" xr:uid="{11264A16-020E-489A-A7BA-9273802F7516}"/>
    <cellStyle name="Currency 5 3 3 2 5 2 5" xfId="22861" xr:uid="{F91DEDD2-F248-4349-8E53-C2A33313135C}"/>
    <cellStyle name="Currency 5 3 3 2 5 2 6" xfId="13564" xr:uid="{C378AF3F-C09F-4663-9544-E80BF7587BFF}"/>
    <cellStyle name="Currency 5 3 3 2 5 3" xfId="6310" xr:uid="{00000000-0005-0000-0000-0000EF0C0000}"/>
    <cellStyle name="Currency 5 3 3 2 5 3 2" xfId="41828" xr:uid="{C443E04A-8735-4383-893B-0ED5D815A27E}"/>
    <cellStyle name="Currency 5 3 3 2 5 3 3" xfId="33381" xr:uid="{DE4A0D6C-CF33-4944-BB5E-E4EB72C7B3A3}"/>
    <cellStyle name="Currency 5 3 3 2 5 3 4" xfId="24933" xr:uid="{9EE38D31-1481-49DF-B0B3-2C9BBD67D1E2}"/>
    <cellStyle name="Currency 5 3 3 2 5 3 5" xfId="15636" xr:uid="{CC912313-1A86-4876-9ABB-EE87EA24F9F6}"/>
    <cellStyle name="Currency 5 3 3 2 5 4" xfId="37611" xr:uid="{EFD2A8CA-D2BD-4D78-9D64-6640DF04F8A2}"/>
    <cellStyle name="Currency 5 3 3 2 5 5" xfId="29163" xr:uid="{DA4F17BE-DB9A-4838-BFAE-E5D1DF78D478}"/>
    <cellStyle name="Currency 5 3 3 2 5 6" xfId="20716" xr:uid="{D12ADD88-A726-4903-8DDC-229C71AE9C71}"/>
    <cellStyle name="Currency 5 3 3 2 5 7" xfId="11419" xr:uid="{C5A6E2D7-D495-4485-B7B7-9F6747135A9A}"/>
    <cellStyle name="Currency 5 3 3 2 6" xfId="2439" xr:uid="{00000000-0005-0000-0000-0000F00C0000}"/>
    <cellStyle name="Currency 5 3 3 2 6 2" xfId="6723" xr:uid="{00000000-0005-0000-0000-0000F10C0000}"/>
    <cellStyle name="Currency 5 3 3 2 6 2 2" xfId="42241" xr:uid="{BDAAEE6A-3573-40E1-8932-9CF350922EDF}"/>
    <cellStyle name="Currency 5 3 3 2 6 2 3" xfId="33794" xr:uid="{A4988D05-88D8-4C4E-8EF0-5D7838E863A1}"/>
    <cellStyle name="Currency 5 3 3 2 6 2 4" xfId="25346" xr:uid="{264A2355-17AB-40CE-B173-65D0D45D2B84}"/>
    <cellStyle name="Currency 5 3 3 2 6 2 5" xfId="16049" xr:uid="{AF04C919-DB57-4281-8080-D5DBD5485C2B}"/>
    <cellStyle name="Currency 5 3 3 2 6 3" xfId="38024" xr:uid="{01D62C4A-D6D2-4F7D-A246-E61A8BCCB429}"/>
    <cellStyle name="Currency 5 3 3 2 6 4" xfId="29576" xr:uid="{9A2C9563-29B6-4D08-A782-36FB8B33F74C}"/>
    <cellStyle name="Currency 5 3 3 2 6 5" xfId="21129" xr:uid="{4537F28B-4836-4A9B-8155-79E4F8A4B019}"/>
    <cellStyle name="Currency 5 3 3 2 6 6" xfId="11832" xr:uid="{261B669C-F1CA-4DB9-A163-DAED71F044BF}"/>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42558" xr:uid="{24865E74-BBD1-43E6-B357-FA0449CA310C}"/>
    <cellStyle name="Currency 5 3 3 2 8 2 3" xfId="34111" xr:uid="{2B51AC41-C9BA-4123-81AB-320AA4B3814A}"/>
    <cellStyle name="Currency 5 3 3 2 8 2 4" xfId="25663" xr:uid="{60C5C43B-2D39-4DF1-9260-3D8B0BD5A963}"/>
    <cellStyle name="Currency 5 3 3 2 8 2 5" xfId="16366" xr:uid="{64F4CB08-87B9-46CA-B93E-613154BC92A8}"/>
    <cellStyle name="Currency 5 3 3 2 8 3" xfId="38341" xr:uid="{2BEC5BDC-F5F2-44FD-BED7-031F67A8D68E}"/>
    <cellStyle name="Currency 5 3 3 2 8 4" xfId="29893" xr:uid="{2FC618AC-D45E-4850-BC53-C219D9A36DC9}"/>
    <cellStyle name="Currency 5 3 3 2 8 5" xfId="21446" xr:uid="{1BBA382D-1AC4-431C-9813-3A6E1A94E78C}"/>
    <cellStyle name="Currency 5 3 3 2 8 6" xfId="12149" xr:uid="{A7FF6FF7-7AA6-45BB-89D5-D369AA2C0746}"/>
    <cellStyle name="Currency 5 3 3 2 9" xfId="4657" xr:uid="{00000000-0005-0000-0000-0000F50C0000}"/>
    <cellStyle name="Currency 5 3 3 2 9 2" xfId="40175" xr:uid="{EE560C90-064A-452E-AC23-3E7E7797BD9C}"/>
    <cellStyle name="Currency 5 3 3 2 9 3" xfId="31728" xr:uid="{A6890806-4933-45F7-B895-136C7E7476D0}"/>
    <cellStyle name="Currency 5 3 3 2 9 4" xfId="23280" xr:uid="{56927FCF-2BB0-4AE5-A360-77E387F740B6}"/>
    <cellStyle name="Currency 5 3 3 2 9 5" xfId="13983" xr:uid="{DCA00526-6C6E-4EB9-8EC8-DBB350EB7537}"/>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42733" xr:uid="{7DB9F57F-AAB7-4E71-94DA-53AF47DB308F}"/>
    <cellStyle name="Currency 5 3 3 3 2 2 3" xfId="34286" xr:uid="{C76D78BB-8070-4C76-97AB-D05F2DDD534A}"/>
    <cellStyle name="Currency 5 3 3 3 2 2 4" xfId="25838" xr:uid="{C152FC86-C20E-4CA4-8000-C4588B2E816F}"/>
    <cellStyle name="Currency 5 3 3 3 2 2 5" xfId="16541" xr:uid="{A5344A94-57C4-4AEF-A465-A2A8D97E54C5}"/>
    <cellStyle name="Currency 5 3 3 3 2 3" xfId="38516" xr:uid="{68BC8A8F-9FA7-4579-96C1-43EAADED0BC0}"/>
    <cellStyle name="Currency 5 3 3 3 2 4" xfId="30068" xr:uid="{A9D8563C-4252-4B11-8D6B-99F31AE5C726}"/>
    <cellStyle name="Currency 5 3 3 3 2 5" xfId="21621" xr:uid="{F1DB4B14-3EB0-40A2-ACD4-BCB918DCC6A2}"/>
    <cellStyle name="Currency 5 3 3 3 2 6" xfId="12324" xr:uid="{055BAD64-882C-46CA-951F-E54067557A26}"/>
    <cellStyle name="Currency 5 3 3 3 3" xfId="5070" xr:uid="{00000000-0005-0000-0000-0000F90C0000}"/>
    <cellStyle name="Currency 5 3 3 3 3 2" xfId="40588" xr:uid="{D8BF1D2A-CFA4-4B2C-9C01-6AB31CEB0685}"/>
    <cellStyle name="Currency 5 3 3 3 3 3" xfId="32141" xr:uid="{67066050-5D0E-43A8-8D6A-594552279CF5}"/>
    <cellStyle name="Currency 5 3 3 3 3 4" xfId="23693" xr:uid="{8C5B1CAB-4119-4B6D-8769-838D71626C83}"/>
    <cellStyle name="Currency 5 3 3 3 3 5" xfId="14396" xr:uid="{77CCD92E-AE62-4CDF-A7DE-811325A3B412}"/>
    <cellStyle name="Currency 5 3 3 3 4" xfId="9307" xr:uid="{3F0512A0-B779-46E4-A963-62E327C6AC5F}"/>
    <cellStyle name="Currency 5 3 3 3 4 2" xfId="36371" xr:uid="{1A2D7E20-A92E-4601-9C51-16CE124C874C}"/>
    <cellStyle name="Currency 5 3 3 3 4 3" xfId="18620" xr:uid="{3D7116B0-EE1C-418A-86F3-BCB3984464BD}"/>
    <cellStyle name="Currency 5 3 3 3 5" xfId="27923" xr:uid="{E217EB8E-9749-4815-B25F-C4FB21752CA1}"/>
    <cellStyle name="Currency 5 3 3 3 6" xfId="19476" xr:uid="{4C6B6C89-5E25-4FE7-AA78-07CB6C6DBEDA}"/>
    <cellStyle name="Currency 5 3 3 3 7" xfId="10179" xr:uid="{E5F1EDA3-86FB-44C8-9578-234381D3961D}"/>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43146" xr:uid="{F64FD216-3325-49A2-8DA4-5DB55A4D6772}"/>
    <cellStyle name="Currency 5 3 3 4 2 2 3" xfId="34699" xr:uid="{03BE3276-B76F-4B61-B7DB-CAA8A1433348}"/>
    <cellStyle name="Currency 5 3 3 4 2 2 4" xfId="26251" xr:uid="{40406501-EE37-43B7-B1A4-B11F3D8ED0A1}"/>
    <cellStyle name="Currency 5 3 3 4 2 2 5" xfId="16954" xr:uid="{521153C2-2559-4BE6-B526-3D3689869E2A}"/>
    <cellStyle name="Currency 5 3 3 4 2 3" xfId="38929" xr:uid="{7DF21D11-48DC-45A9-A841-46484FAA57F5}"/>
    <cellStyle name="Currency 5 3 3 4 2 4" xfId="30481" xr:uid="{E167A5C5-C586-45A0-8313-5F431282C734}"/>
    <cellStyle name="Currency 5 3 3 4 2 5" xfId="22034" xr:uid="{E3489450-D0D0-46E5-9365-D0492720F70A}"/>
    <cellStyle name="Currency 5 3 3 4 2 6" xfId="12737" xr:uid="{9C18D736-C18F-49AF-993C-E93711A5C22F}"/>
    <cellStyle name="Currency 5 3 3 4 3" xfId="5483" xr:uid="{00000000-0005-0000-0000-0000FD0C0000}"/>
    <cellStyle name="Currency 5 3 3 4 3 2" xfId="41001" xr:uid="{538F6FC6-E22A-4C1C-A961-4786F0F34724}"/>
    <cellStyle name="Currency 5 3 3 4 3 3" xfId="32554" xr:uid="{F4AFDE37-CFC8-4216-B5C4-DAE8ABB469EA}"/>
    <cellStyle name="Currency 5 3 3 4 3 4" xfId="24106" xr:uid="{69E234E3-7068-46BA-B3BA-71EEABFC4B9A}"/>
    <cellStyle name="Currency 5 3 3 4 3 5" xfId="14809" xr:uid="{DDECCC8E-ED1E-47B8-9E57-50D7FB8BDD31}"/>
    <cellStyle name="Currency 5 3 3 4 4" xfId="36784" xr:uid="{52E18FF2-8D55-4862-90E4-B304874CCDA7}"/>
    <cellStyle name="Currency 5 3 3 4 5" xfId="28336" xr:uid="{25FBA24D-3950-4F02-A9BC-51F92B3FD0DA}"/>
    <cellStyle name="Currency 5 3 3 4 6" xfId="19889" xr:uid="{4A186747-8E40-4F82-9C3B-73316DE9DB4B}"/>
    <cellStyle name="Currency 5 3 3 4 7" xfId="10592" xr:uid="{3849D8B3-B50C-48A8-B6D1-32865B3E6646}"/>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43559" xr:uid="{C8E64013-CBCE-4ECC-8956-76FF09E68B64}"/>
    <cellStyle name="Currency 5 3 3 5 2 2 3" xfId="35112" xr:uid="{16205B18-86A4-4A79-9072-DB2E504C764F}"/>
    <cellStyle name="Currency 5 3 3 5 2 2 4" xfId="26664" xr:uid="{9A5F8586-E566-49B7-90D0-B96A38B8FFBB}"/>
    <cellStyle name="Currency 5 3 3 5 2 2 5" xfId="17367" xr:uid="{C493BBF2-3D17-4065-B36C-9402231C6A32}"/>
    <cellStyle name="Currency 5 3 3 5 2 3" xfId="39342" xr:uid="{4F91F8F6-4FB6-46F8-9288-43AA88B59214}"/>
    <cellStyle name="Currency 5 3 3 5 2 4" xfId="30894" xr:uid="{D0F4139C-12F7-4BC7-A3A4-D9309B3F09D2}"/>
    <cellStyle name="Currency 5 3 3 5 2 5" xfId="22447" xr:uid="{C9F63B2B-4E6D-499F-B835-4EDEEBCF7B9F}"/>
    <cellStyle name="Currency 5 3 3 5 2 6" xfId="13150" xr:uid="{ED096BC9-ADD4-4B46-AB6E-C4BACB68E55A}"/>
    <cellStyle name="Currency 5 3 3 5 3" xfId="5896" xr:uid="{00000000-0005-0000-0000-0000010D0000}"/>
    <cellStyle name="Currency 5 3 3 5 3 2" xfId="41414" xr:uid="{F95D66C6-B0EC-4A23-A7A2-A03F03833DEF}"/>
    <cellStyle name="Currency 5 3 3 5 3 3" xfId="32967" xr:uid="{C3144408-D768-46E2-9033-18620555128E}"/>
    <cellStyle name="Currency 5 3 3 5 3 4" xfId="24519" xr:uid="{5071B713-3F67-49C3-850F-7325E451E3D1}"/>
    <cellStyle name="Currency 5 3 3 5 3 5" xfId="15222" xr:uid="{0A67AE70-E451-464C-848A-895D392DB518}"/>
    <cellStyle name="Currency 5 3 3 5 4" xfId="37197" xr:uid="{76638B96-B7AA-417A-A063-B0F786DF2859}"/>
    <cellStyle name="Currency 5 3 3 5 5" xfId="28749" xr:uid="{0EAE5248-085B-4F66-B499-EF39346E6C19}"/>
    <cellStyle name="Currency 5 3 3 5 6" xfId="20302" xr:uid="{6BD3C3C2-C8E7-475E-9388-9A34B41F6F5C}"/>
    <cellStyle name="Currency 5 3 3 5 7" xfId="11005" xr:uid="{152CC735-DB8F-4DCE-9706-04349B1793F0}"/>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43972" xr:uid="{62B152CD-B433-4DC4-BEC3-381232095208}"/>
    <cellStyle name="Currency 5 3 3 6 2 2 3" xfId="35525" xr:uid="{46840B5C-1C43-4113-BD7D-F58AAE2E97D5}"/>
    <cellStyle name="Currency 5 3 3 6 2 2 4" xfId="27077" xr:uid="{5ADD849E-5CC0-4A1A-B2D9-DB6A5685F8DA}"/>
    <cellStyle name="Currency 5 3 3 6 2 2 5" xfId="17780" xr:uid="{0ED4BFA4-EA9D-4C15-AC7C-8A930D5C6523}"/>
    <cellStyle name="Currency 5 3 3 6 2 3" xfId="39755" xr:uid="{E5AD7A01-7FD3-4F5D-B47C-3A06137ECD79}"/>
    <cellStyle name="Currency 5 3 3 6 2 4" xfId="31307" xr:uid="{D52D7311-1CEF-4416-A172-738B0317D069}"/>
    <cellStyle name="Currency 5 3 3 6 2 5" xfId="22860" xr:uid="{6FFBB85C-DC40-4F22-AFC7-37340745DECC}"/>
    <cellStyle name="Currency 5 3 3 6 2 6" xfId="13563" xr:uid="{FD85A47A-1B0E-4D72-BE96-119E16EB8118}"/>
    <cellStyle name="Currency 5 3 3 6 3" xfId="6309" xr:uid="{00000000-0005-0000-0000-0000050D0000}"/>
    <cellStyle name="Currency 5 3 3 6 3 2" xfId="41827" xr:uid="{FD2C4C54-81D1-404F-A9A2-70E8034C5D2D}"/>
    <cellStyle name="Currency 5 3 3 6 3 3" xfId="33380" xr:uid="{26D34CDD-B9AE-4BE3-ABD6-A9998AD1B35B}"/>
    <cellStyle name="Currency 5 3 3 6 3 4" xfId="24932" xr:uid="{42B717D8-E4BC-49D8-B33C-AFDF4018E62D}"/>
    <cellStyle name="Currency 5 3 3 6 3 5" xfId="15635" xr:uid="{ECDD64FF-317B-47F1-B91A-2073132A83B0}"/>
    <cellStyle name="Currency 5 3 3 6 4" xfId="37610" xr:uid="{8EA28A81-D245-4DC0-B8B5-875E7A4675F0}"/>
    <cellStyle name="Currency 5 3 3 6 5" xfId="29162" xr:uid="{636B69EF-E982-48D6-ADCE-085BB82BEFD7}"/>
    <cellStyle name="Currency 5 3 3 6 6" xfId="20715" xr:uid="{473B8E28-9511-4E71-8CBF-273D90C2B98B}"/>
    <cellStyle name="Currency 5 3 3 6 7" xfId="11418" xr:uid="{56562A12-5FD4-42AE-B176-722A3BA0C02C}"/>
    <cellStyle name="Currency 5 3 3 7" xfId="2438" xr:uid="{00000000-0005-0000-0000-0000060D0000}"/>
    <cellStyle name="Currency 5 3 3 7 2" xfId="6722" xr:uid="{00000000-0005-0000-0000-0000070D0000}"/>
    <cellStyle name="Currency 5 3 3 7 2 2" xfId="42240" xr:uid="{799636BE-1B01-440F-A338-C67F0A29377A}"/>
    <cellStyle name="Currency 5 3 3 7 2 3" xfId="33793" xr:uid="{C887C104-1FA7-4BAA-A9F8-BE32B506E823}"/>
    <cellStyle name="Currency 5 3 3 7 2 4" xfId="25345" xr:uid="{0F1B7B54-0898-4520-A1CA-037CB3F38EE5}"/>
    <cellStyle name="Currency 5 3 3 7 2 5" xfId="16048" xr:uid="{A2D1CF5E-33CD-4657-827E-9A1CF51A65D6}"/>
    <cellStyle name="Currency 5 3 3 7 3" xfId="38023" xr:uid="{5C0E442E-8187-4452-A7E2-1EAC15C8CDF0}"/>
    <cellStyle name="Currency 5 3 3 7 4" xfId="29575" xr:uid="{B897560B-D198-47D0-83FF-16A363D3E63B}"/>
    <cellStyle name="Currency 5 3 3 7 5" xfId="21128" xr:uid="{85AEE5FA-8AD5-4456-B72E-2248BBADA488}"/>
    <cellStyle name="Currency 5 3 3 7 6" xfId="11831" xr:uid="{951E8DDB-EF72-48C5-94ED-69B2A92B8AF1}"/>
    <cellStyle name="Currency 5 3 3 8" xfId="2735" xr:uid="{00000000-0005-0000-0000-0000080D0000}"/>
    <cellStyle name="Currency 5 3 3 9" xfId="2816" xr:uid="{00000000-0005-0000-0000-0000090D0000}"/>
    <cellStyle name="Currency 5 3 3 9 2" xfId="7039" xr:uid="{00000000-0005-0000-0000-00000A0D0000}"/>
    <cellStyle name="Currency 5 3 3 9 2 2" xfId="42557" xr:uid="{9B98940B-C0AD-4CD0-ADA0-98A1A8E76CD9}"/>
    <cellStyle name="Currency 5 3 3 9 2 3" xfId="34110" xr:uid="{0914421C-5BF7-4AC0-8712-545BB1B0B892}"/>
    <cellStyle name="Currency 5 3 3 9 2 4" xfId="25662" xr:uid="{42B5A918-4968-44CF-A286-587B1696004F}"/>
    <cellStyle name="Currency 5 3 3 9 2 5" xfId="16365" xr:uid="{B39612BC-2A8D-40FC-A632-653AF61223E4}"/>
    <cellStyle name="Currency 5 3 3 9 3" xfId="38340" xr:uid="{D7AF3648-349B-4AB1-8749-6D8034551E32}"/>
    <cellStyle name="Currency 5 3 3 9 4" xfId="29892" xr:uid="{384337BA-2DFD-4379-9FD2-FF3257694901}"/>
    <cellStyle name="Currency 5 3 3 9 5" xfId="21445" xr:uid="{DD8FCC49-7287-4288-975C-0190736F7FCE}"/>
    <cellStyle name="Currency 5 3 3 9 6" xfId="12148" xr:uid="{AB8AC187-E507-4ADA-B11F-083CC826988E}"/>
    <cellStyle name="Currency 5 3 4" xfId="216" xr:uid="{00000000-0005-0000-0000-00000B0D0000}"/>
    <cellStyle name="Currency 5 3 4 10" xfId="8986" xr:uid="{4F6CFA4A-F10A-4043-AD92-C0A3F7F06459}"/>
    <cellStyle name="Currency 5 3 4 10 2" xfId="35959" xr:uid="{5E50B57B-7419-4046-A578-13FA72221CCD}"/>
    <cellStyle name="Currency 5 3 4 10 3" xfId="18309" xr:uid="{DBA74E11-6A2A-4421-A02A-DE7BF61DDF2B}"/>
    <cellStyle name="Currency 5 3 4 11" xfId="27511" xr:uid="{5E860359-CB71-4060-93CF-F1A59AFC5028}"/>
    <cellStyle name="Currency 5 3 4 12" xfId="19064" xr:uid="{A75258C3-C632-4C39-812C-84E29CDD3C6B}"/>
    <cellStyle name="Currency 5 3 4 13" xfId="9767" xr:uid="{917EA36C-4F80-4C77-BB38-AD62D31971C1}"/>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42735" xr:uid="{F478775E-04F0-45D8-A886-B441C9A36DE1}"/>
    <cellStyle name="Currency 5 3 4 2 2 2 3" xfId="34288" xr:uid="{21CD3576-B872-4037-9C9A-583A813F76AD}"/>
    <cellStyle name="Currency 5 3 4 2 2 2 4" xfId="25840" xr:uid="{344F3DD2-9D65-4E25-9D2F-425938798674}"/>
    <cellStyle name="Currency 5 3 4 2 2 2 5" xfId="16543" xr:uid="{CF4FD4B8-2590-4792-A373-E5BB00A0C698}"/>
    <cellStyle name="Currency 5 3 4 2 2 3" xfId="38518" xr:uid="{0D6CD0A0-846F-4B49-AD12-75A14B7E6E43}"/>
    <cellStyle name="Currency 5 3 4 2 2 4" xfId="30070" xr:uid="{6E90574C-5944-4643-A82A-3A87B82F8419}"/>
    <cellStyle name="Currency 5 3 4 2 2 5" xfId="21623" xr:uid="{8A92578A-45EA-4229-BA06-6DD49A14C1C8}"/>
    <cellStyle name="Currency 5 3 4 2 2 6" xfId="12326" xr:uid="{FFD2BCF4-7A2F-447D-A8B4-7AB63CCF9409}"/>
    <cellStyle name="Currency 5 3 4 2 3" xfId="5072" xr:uid="{00000000-0005-0000-0000-00000F0D0000}"/>
    <cellStyle name="Currency 5 3 4 2 3 2" xfId="40590" xr:uid="{E9FCC412-39F0-454A-8C41-E0183E4D32C6}"/>
    <cellStyle name="Currency 5 3 4 2 3 3" xfId="32143" xr:uid="{CA6F9AAC-9411-47FE-B500-632B2D620BD2}"/>
    <cellStyle name="Currency 5 3 4 2 3 4" xfId="23695" xr:uid="{B5550DC8-0AA0-4214-B4FC-975BD0919F0F}"/>
    <cellStyle name="Currency 5 3 4 2 3 5" xfId="14398" xr:uid="{7B6F4CDC-A32F-435C-88B2-D568BEE03271}"/>
    <cellStyle name="Currency 5 3 4 2 4" xfId="9411" xr:uid="{2729DEB6-408B-463E-B468-91D932C31FD7}"/>
    <cellStyle name="Currency 5 3 4 2 4 2" xfId="36373" xr:uid="{4A30402F-297C-48A9-9F11-DF2DCD9E55BD}"/>
    <cellStyle name="Currency 5 3 4 2 4 3" xfId="18724" xr:uid="{23F038F6-0AE7-4D1C-A9CF-76E318E775DD}"/>
    <cellStyle name="Currency 5 3 4 2 5" xfId="27925" xr:uid="{3AE3A9A4-53B9-487C-AD92-4162ED7891D2}"/>
    <cellStyle name="Currency 5 3 4 2 6" xfId="19478" xr:uid="{6EB36240-81D2-4EFC-9A97-743927C2E8D8}"/>
    <cellStyle name="Currency 5 3 4 2 7" xfId="10181" xr:uid="{B6D5BAAC-AD69-477B-84C9-5075DDEFA9EA}"/>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43148" xr:uid="{AC39975D-4182-45E3-8E9A-76CC40D4DFEA}"/>
    <cellStyle name="Currency 5 3 4 3 2 2 3" xfId="34701" xr:uid="{30DD8985-CA95-4B13-8EA1-E9A18E9697AB}"/>
    <cellStyle name="Currency 5 3 4 3 2 2 4" xfId="26253" xr:uid="{0F68580E-17E7-41D5-B325-4106DA5AA874}"/>
    <cellStyle name="Currency 5 3 4 3 2 2 5" xfId="16956" xr:uid="{EDAB9727-D239-4C62-B4C4-60B54875B94E}"/>
    <cellStyle name="Currency 5 3 4 3 2 3" xfId="38931" xr:uid="{E5F2BCE3-82BF-40BD-BDFD-20E03E52EDF2}"/>
    <cellStyle name="Currency 5 3 4 3 2 4" xfId="30483" xr:uid="{1279D429-5659-44A0-B8F6-DF4E54EBAE03}"/>
    <cellStyle name="Currency 5 3 4 3 2 5" xfId="22036" xr:uid="{66E6DA02-40CD-4F0A-9FB1-6E9AC7A21740}"/>
    <cellStyle name="Currency 5 3 4 3 2 6" xfId="12739" xr:uid="{4D3E3E2E-BD1F-496E-8C57-76D078E0A889}"/>
    <cellStyle name="Currency 5 3 4 3 3" xfId="5485" xr:uid="{00000000-0005-0000-0000-0000130D0000}"/>
    <cellStyle name="Currency 5 3 4 3 3 2" xfId="41003" xr:uid="{2E3032C1-F1D6-4542-A9BF-4BDA72E7F27F}"/>
    <cellStyle name="Currency 5 3 4 3 3 3" xfId="32556" xr:uid="{E22F9EC7-9489-48B0-B0F5-5B8994303C1F}"/>
    <cellStyle name="Currency 5 3 4 3 3 4" xfId="24108" xr:uid="{703D64BE-BDA1-426A-AE5B-78F018B98F3B}"/>
    <cellStyle name="Currency 5 3 4 3 3 5" xfId="14811" xr:uid="{117A2D85-B669-4147-BC50-93F5DB0431F8}"/>
    <cellStyle name="Currency 5 3 4 3 4" xfId="36786" xr:uid="{60F7B38B-C5B2-41DC-92F3-2EE44BBBFB5F}"/>
    <cellStyle name="Currency 5 3 4 3 5" xfId="28338" xr:uid="{20C20E4D-4149-4E2A-9C6A-EFFE78FE1480}"/>
    <cellStyle name="Currency 5 3 4 3 6" xfId="19891" xr:uid="{3E2933E7-6B31-43A2-88F5-9B71147DC75E}"/>
    <cellStyle name="Currency 5 3 4 3 7" xfId="10594" xr:uid="{067C2F30-B083-42C2-92A9-BDB8F78C8A1F}"/>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43561" xr:uid="{1F51368C-26C2-4DE1-A921-69C4B5621DC1}"/>
    <cellStyle name="Currency 5 3 4 4 2 2 3" xfId="35114" xr:uid="{42D3BACC-6746-465B-A5B1-0BDC90C44177}"/>
    <cellStyle name="Currency 5 3 4 4 2 2 4" xfId="26666" xr:uid="{B2B1B07A-08D8-439D-AD51-153B6096FE6D}"/>
    <cellStyle name="Currency 5 3 4 4 2 2 5" xfId="17369" xr:uid="{06FB6C26-18A1-4D45-A6F1-37995D1D2831}"/>
    <cellStyle name="Currency 5 3 4 4 2 3" xfId="39344" xr:uid="{4883D440-519E-4643-95F0-1D87A7833ADC}"/>
    <cellStyle name="Currency 5 3 4 4 2 4" xfId="30896" xr:uid="{8ECFB42E-A3C6-4AC7-9B9C-2F3C58A05B07}"/>
    <cellStyle name="Currency 5 3 4 4 2 5" xfId="22449" xr:uid="{243AAFC5-4A52-42AF-B8A4-6422414A5C54}"/>
    <cellStyle name="Currency 5 3 4 4 2 6" xfId="13152" xr:uid="{81F60542-7C9E-4E89-9D4E-95291EF8F756}"/>
    <cellStyle name="Currency 5 3 4 4 3" xfId="5898" xr:uid="{00000000-0005-0000-0000-0000170D0000}"/>
    <cellStyle name="Currency 5 3 4 4 3 2" xfId="41416" xr:uid="{7E656E8B-ED54-406A-A9B7-DC9986B0AFDF}"/>
    <cellStyle name="Currency 5 3 4 4 3 3" xfId="32969" xr:uid="{538B772F-665E-434B-BD31-C0582F08C481}"/>
    <cellStyle name="Currency 5 3 4 4 3 4" xfId="24521" xr:uid="{590A34F4-BC21-4CA8-9204-CF29BD11F17D}"/>
    <cellStyle name="Currency 5 3 4 4 3 5" xfId="15224" xr:uid="{AE85D516-0C92-41F9-8F4B-ECEA23700610}"/>
    <cellStyle name="Currency 5 3 4 4 4" xfId="37199" xr:uid="{A7054F0C-8989-43FA-BB92-65D72C5FDF9C}"/>
    <cellStyle name="Currency 5 3 4 4 5" xfId="28751" xr:uid="{DD8A2F33-2149-485C-8256-66ACC3AB24A7}"/>
    <cellStyle name="Currency 5 3 4 4 6" xfId="20304" xr:uid="{12D9AFFA-8137-45F8-A257-90D98C31FCE7}"/>
    <cellStyle name="Currency 5 3 4 4 7" xfId="11007" xr:uid="{F131ED8A-9ED4-473D-A999-645929E166E6}"/>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43974" xr:uid="{D8838802-194E-4122-83B2-7595FEEEE119}"/>
    <cellStyle name="Currency 5 3 4 5 2 2 3" xfId="35527" xr:uid="{A7669D8C-54AB-448D-B052-2A50EC66E1BF}"/>
    <cellStyle name="Currency 5 3 4 5 2 2 4" xfId="27079" xr:uid="{A2ADE5DE-B706-420A-AE05-B9A1ECD8E42D}"/>
    <cellStyle name="Currency 5 3 4 5 2 2 5" xfId="17782" xr:uid="{93EAB65F-3924-4179-96F0-498107D6C45D}"/>
    <cellStyle name="Currency 5 3 4 5 2 3" xfId="39757" xr:uid="{02EDD58C-5F3A-4C20-BD18-2800A6DEC432}"/>
    <cellStyle name="Currency 5 3 4 5 2 4" xfId="31309" xr:uid="{040DA0B4-90A5-493F-9934-18A5DD30BA06}"/>
    <cellStyle name="Currency 5 3 4 5 2 5" xfId="22862" xr:uid="{64E2778F-8BC6-406B-80FC-F989274AA82C}"/>
    <cellStyle name="Currency 5 3 4 5 2 6" xfId="13565" xr:uid="{A840BCA2-5C05-4D7B-BD81-8C64902B8B14}"/>
    <cellStyle name="Currency 5 3 4 5 3" xfId="6311" xr:uid="{00000000-0005-0000-0000-00001B0D0000}"/>
    <cellStyle name="Currency 5 3 4 5 3 2" xfId="41829" xr:uid="{533F36D3-AB9E-4007-9D4F-8926E25A265F}"/>
    <cellStyle name="Currency 5 3 4 5 3 3" xfId="33382" xr:uid="{4B123E72-2DE7-42A3-89C5-D3DEE8242F92}"/>
    <cellStyle name="Currency 5 3 4 5 3 4" xfId="24934" xr:uid="{74F5CA5B-FBA7-4B60-9129-0091C2AA05E8}"/>
    <cellStyle name="Currency 5 3 4 5 3 5" xfId="15637" xr:uid="{7C5EB6E2-FF51-4B68-A361-590A67BD6AE1}"/>
    <cellStyle name="Currency 5 3 4 5 4" xfId="37612" xr:uid="{EF1ED023-CD71-48B2-BF04-572625459A34}"/>
    <cellStyle name="Currency 5 3 4 5 5" xfId="29164" xr:uid="{BF9340C1-4B1F-4724-95A0-C8C6F8441309}"/>
    <cellStyle name="Currency 5 3 4 5 6" xfId="20717" xr:uid="{42588AF1-53B9-4BC2-8445-6F102F712B9C}"/>
    <cellStyle name="Currency 5 3 4 5 7" xfId="11420" xr:uid="{82DA5CB7-2408-45F2-BEEF-9230123B628E}"/>
    <cellStyle name="Currency 5 3 4 6" xfId="2440" xr:uid="{00000000-0005-0000-0000-00001C0D0000}"/>
    <cellStyle name="Currency 5 3 4 6 2" xfId="6724" xr:uid="{00000000-0005-0000-0000-00001D0D0000}"/>
    <cellStyle name="Currency 5 3 4 6 2 2" xfId="42242" xr:uid="{E595C34B-428F-4F7F-97DA-9DFBCEDB0A5A}"/>
    <cellStyle name="Currency 5 3 4 6 2 3" xfId="33795" xr:uid="{C667088F-020E-4B3F-97A8-A89AD0C75474}"/>
    <cellStyle name="Currency 5 3 4 6 2 4" xfId="25347" xr:uid="{32ECC6F2-5D88-4902-BD7E-7A625BFFE562}"/>
    <cellStyle name="Currency 5 3 4 6 2 5" xfId="16050" xr:uid="{C7618362-8A85-4184-BC48-7E26CED7EAE8}"/>
    <cellStyle name="Currency 5 3 4 6 3" xfId="38025" xr:uid="{A4F12562-E14A-4A3C-8B52-F752A5E5BC8B}"/>
    <cellStyle name="Currency 5 3 4 6 4" xfId="29577" xr:uid="{509B0203-B82B-4AB8-867B-DE84A7E843C1}"/>
    <cellStyle name="Currency 5 3 4 6 5" xfId="21130" xr:uid="{178071F1-9684-49F6-B2B8-96A4A47C1F41}"/>
    <cellStyle name="Currency 5 3 4 6 6" xfId="11833" xr:uid="{0761728B-D468-4607-8F65-80FF628C0E21}"/>
    <cellStyle name="Currency 5 3 4 7" xfId="2737" xr:uid="{00000000-0005-0000-0000-00001E0D0000}"/>
    <cellStyle name="Currency 5 3 4 8" xfId="2818" xr:uid="{00000000-0005-0000-0000-00001F0D0000}"/>
    <cellStyle name="Currency 5 3 4 8 2" xfId="7041" xr:uid="{00000000-0005-0000-0000-0000200D0000}"/>
    <cellStyle name="Currency 5 3 4 8 2 2" xfId="42559" xr:uid="{0BF47D7C-2EBF-46D6-BE82-3EF185DF403C}"/>
    <cellStyle name="Currency 5 3 4 8 2 3" xfId="34112" xr:uid="{1F4E8C5B-2AF7-4F2F-A2E8-EE25F6603F83}"/>
    <cellStyle name="Currency 5 3 4 8 2 4" xfId="25664" xr:uid="{4CDE5DF8-D9EC-49E9-A076-64201E2B8E1E}"/>
    <cellStyle name="Currency 5 3 4 8 2 5" xfId="16367" xr:uid="{3D531979-EE0B-41C4-AF85-92CBED6AF175}"/>
    <cellStyle name="Currency 5 3 4 8 3" xfId="38342" xr:uid="{47B82DC2-6DCB-4DFF-8579-A387C1DE903B}"/>
    <cellStyle name="Currency 5 3 4 8 4" xfId="29894" xr:uid="{8403CD69-082A-4D5E-AD3D-05BBD3AABE90}"/>
    <cellStyle name="Currency 5 3 4 8 5" xfId="21447" xr:uid="{625D4CB8-F54B-4261-AC43-3BE78A86155A}"/>
    <cellStyle name="Currency 5 3 4 8 6" xfId="12150" xr:uid="{A70BCB6C-D119-40B5-869E-8339838F1A1C}"/>
    <cellStyle name="Currency 5 3 4 9" xfId="4658" xr:uid="{00000000-0005-0000-0000-0000210D0000}"/>
    <cellStyle name="Currency 5 3 4 9 2" xfId="40176" xr:uid="{9FF153F9-3155-4CFC-A038-030E2D1B221D}"/>
    <cellStyle name="Currency 5 3 4 9 3" xfId="31729" xr:uid="{066B0297-D6BD-4525-9F43-EE0013191358}"/>
    <cellStyle name="Currency 5 3 4 9 4" xfId="23281" xr:uid="{AE4A6B1A-69C9-4696-BAB7-3B94A382EA7D}"/>
    <cellStyle name="Currency 5 3 4 9 5" xfId="13984" xr:uid="{82412356-8BC5-4C47-A185-54798E492CFD}"/>
    <cellStyle name="Currency 5 3 5" xfId="217" xr:uid="{00000000-0005-0000-0000-0000220D0000}"/>
    <cellStyle name="Currency 5 3 5 10" xfId="9203" xr:uid="{6167CBBD-227C-4457-B6B6-18EF5C089771}"/>
    <cellStyle name="Currency 5 3 5 10 2" xfId="35960" xr:uid="{9E93C5E7-A81D-4A02-9A2A-036810BDF892}"/>
    <cellStyle name="Currency 5 3 5 10 3" xfId="18517" xr:uid="{44DA75F8-6C31-48ED-BC78-BEF6658B53A7}"/>
    <cellStyle name="Currency 5 3 5 11" xfId="27512" xr:uid="{E5B5427B-5CDA-4FC6-AB42-45F59DEC7FE1}"/>
    <cellStyle name="Currency 5 3 5 12" xfId="19065" xr:uid="{CBDD7148-FD58-456D-801D-8B9DC2BC30CB}"/>
    <cellStyle name="Currency 5 3 5 13" xfId="9768" xr:uid="{D442C145-081A-4B57-A4AA-D52588A42658}"/>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42736" xr:uid="{F460C07E-69B5-4BA5-B116-FD7BDB2C8A90}"/>
    <cellStyle name="Currency 5 3 5 2 2 2 3" xfId="34289" xr:uid="{EC26E138-CA84-4C51-8EB8-FDC0CF6B913F}"/>
    <cellStyle name="Currency 5 3 5 2 2 2 4" xfId="25841" xr:uid="{3C327335-08A5-48EE-96B5-934F560EC996}"/>
    <cellStyle name="Currency 5 3 5 2 2 2 5" xfId="16544" xr:uid="{BCDB841E-DEDC-4549-909C-57893EBE27CB}"/>
    <cellStyle name="Currency 5 3 5 2 2 3" xfId="38519" xr:uid="{21347775-6752-4652-8161-B14F35DE00AF}"/>
    <cellStyle name="Currency 5 3 5 2 2 4" xfId="30071" xr:uid="{57903981-9435-4368-BD2B-D8A78FB20126}"/>
    <cellStyle name="Currency 5 3 5 2 2 5" xfId="21624" xr:uid="{CCEFA57C-B250-41D2-A5E5-4B46815C9AAC}"/>
    <cellStyle name="Currency 5 3 5 2 2 6" xfId="12327" xr:uid="{1B8A6E29-0035-4DB8-B5E8-BB706302F89D}"/>
    <cellStyle name="Currency 5 3 5 2 3" xfId="5073" xr:uid="{00000000-0005-0000-0000-0000260D0000}"/>
    <cellStyle name="Currency 5 3 5 2 3 2" xfId="40591" xr:uid="{6AE0002E-DEBA-4944-9DE8-DF3FCD82BB1B}"/>
    <cellStyle name="Currency 5 3 5 2 3 3" xfId="32144" xr:uid="{A7A7D393-D162-45ED-9471-F4307CA3D45A}"/>
    <cellStyle name="Currency 5 3 5 2 3 4" xfId="23696" xr:uid="{03BB13FD-B082-462F-BC7D-F79C409A7A17}"/>
    <cellStyle name="Currency 5 3 5 2 3 5" xfId="14399" xr:uid="{40ECE3A8-1E28-488A-90BB-7521518674B7}"/>
    <cellStyle name="Currency 5 3 5 2 4" xfId="9600" xr:uid="{650A4058-48FE-4F3E-8845-8F52DF332026}"/>
    <cellStyle name="Currency 5 3 5 2 4 2" xfId="36374" xr:uid="{C47B89B0-D879-4B0E-8FE0-289BD02E3142}"/>
    <cellStyle name="Currency 5 3 5 2 4 3" xfId="18902" xr:uid="{5A16AE33-F617-4FE4-BB99-1A76E1BB34C9}"/>
    <cellStyle name="Currency 5 3 5 2 5" xfId="27926" xr:uid="{F205053A-43FF-490D-82DC-BCFB8C3BCDA4}"/>
    <cellStyle name="Currency 5 3 5 2 6" xfId="19479" xr:uid="{9D25A4CB-E7A6-4155-8C1D-BAC16AD9AA4F}"/>
    <cellStyle name="Currency 5 3 5 2 7" xfId="10182" xr:uid="{A9BFD9BD-6171-409B-A23A-E90CA769E5E0}"/>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43149" xr:uid="{6B2D4B1A-E9F9-4428-9953-AD264EBBBC43}"/>
    <cellStyle name="Currency 5 3 5 3 2 2 3" xfId="34702" xr:uid="{F1798E2E-06F4-4FEB-B0EE-0B75473397C7}"/>
    <cellStyle name="Currency 5 3 5 3 2 2 4" xfId="26254" xr:uid="{6F67765F-A970-41B1-BE7A-0F5F56C5E1B7}"/>
    <cellStyle name="Currency 5 3 5 3 2 2 5" xfId="16957" xr:uid="{B74D9F08-CBC1-4959-A6D1-F80CEB8677BE}"/>
    <cellStyle name="Currency 5 3 5 3 2 3" xfId="38932" xr:uid="{FDA919B1-29E1-4C8A-92AE-5D5FA8037CD1}"/>
    <cellStyle name="Currency 5 3 5 3 2 4" xfId="30484" xr:uid="{AA65A5C2-01A3-43F1-89CF-052E0204B216}"/>
    <cellStyle name="Currency 5 3 5 3 2 5" xfId="22037" xr:uid="{FBD9CEC8-C2AA-4449-9DF7-3A347F8981AA}"/>
    <cellStyle name="Currency 5 3 5 3 2 6" xfId="12740" xr:uid="{FA72E826-D3A7-4D88-82CC-ECBE30E7A05B}"/>
    <cellStyle name="Currency 5 3 5 3 3" xfId="5486" xr:uid="{00000000-0005-0000-0000-00002A0D0000}"/>
    <cellStyle name="Currency 5 3 5 3 3 2" xfId="41004" xr:uid="{A3A2397B-96EE-4475-A6A2-33BB8293F10B}"/>
    <cellStyle name="Currency 5 3 5 3 3 3" xfId="32557" xr:uid="{C713E735-53FA-4DD4-A587-5053AE84F140}"/>
    <cellStyle name="Currency 5 3 5 3 3 4" xfId="24109" xr:uid="{3C903F98-CE66-4236-B967-6D93F2FF1CEE}"/>
    <cellStyle name="Currency 5 3 5 3 3 5" xfId="14812" xr:uid="{1F3FDF9A-38BD-45C3-A3D5-54A3D148A007}"/>
    <cellStyle name="Currency 5 3 5 3 4" xfId="36787" xr:uid="{156F0AEF-EA85-4396-9692-A405B5881318}"/>
    <cellStyle name="Currency 5 3 5 3 5" xfId="28339" xr:uid="{D1AB65EA-7622-495E-A906-B903BAEB325C}"/>
    <cellStyle name="Currency 5 3 5 3 6" xfId="19892" xr:uid="{4EF8D792-1861-4F98-A62A-FEF65F5A4B64}"/>
    <cellStyle name="Currency 5 3 5 3 7" xfId="10595" xr:uid="{5C72406E-5026-4577-AB9D-6108CCEC7B09}"/>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43562" xr:uid="{C75B7C41-05B8-400F-B8E7-1EE753DE21E7}"/>
    <cellStyle name="Currency 5 3 5 4 2 2 3" xfId="35115" xr:uid="{6CBB8244-C0EA-43F1-B94E-C272CAC98DF0}"/>
    <cellStyle name="Currency 5 3 5 4 2 2 4" xfId="26667" xr:uid="{C573CE39-B886-4504-B12E-567213CD022F}"/>
    <cellStyle name="Currency 5 3 5 4 2 2 5" xfId="17370" xr:uid="{7740D5C7-398C-4213-AEAB-607EEAD0A6C0}"/>
    <cellStyle name="Currency 5 3 5 4 2 3" xfId="39345" xr:uid="{E310E989-B18F-4B41-8D00-E1457C572F5C}"/>
    <cellStyle name="Currency 5 3 5 4 2 4" xfId="30897" xr:uid="{5E0D7DC8-9B73-4458-85E6-76328BCBC7D1}"/>
    <cellStyle name="Currency 5 3 5 4 2 5" xfId="22450" xr:uid="{35E44416-BF90-4139-8F65-5C95DCAFBBD4}"/>
    <cellStyle name="Currency 5 3 5 4 2 6" xfId="13153" xr:uid="{9756B6F0-CD03-4661-94B6-DC1765772630}"/>
    <cellStyle name="Currency 5 3 5 4 3" xfId="5899" xr:uid="{00000000-0005-0000-0000-00002E0D0000}"/>
    <cellStyle name="Currency 5 3 5 4 3 2" xfId="41417" xr:uid="{20F31EF2-BE89-455F-8247-03CE72A58F77}"/>
    <cellStyle name="Currency 5 3 5 4 3 3" xfId="32970" xr:uid="{2F0F507F-75F1-4765-A3CE-0A225B4CB5EA}"/>
    <cellStyle name="Currency 5 3 5 4 3 4" xfId="24522" xr:uid="{A496EF92-74DF-4C1C-BD4C-0A9743F10F1B}"/>
    <cellStyle name="Currency 5 3 5 4 3 5" xfId="15225" xr:uid="{50CCC84F-61F7-4773-A4FE-3E3569D087D9}"/>
    <cellStyle name="Currency 5 3 5 4 4" xfId="37200" xr:uid="{2D4FED1F-D85B-4F08-9B06-1B3A5729D489}"/>
    <cellStyle name="Currency 5 3 5 4 5" xfId="28752" xr:uid="{29A3DF27-8386-487E-9E31-9CAFC014ED80}"/>
    <cellStyle name="Currency 5 3 5 4 6" xfId="20305" xr:uid="{6E225A2F-1168-4B59-9421-633728DDDA84}"/>
    <cellStyle name="Currency 5 3 5 4 7" xfId="11008" xr:uid="{B53CB657-1EF7-4F70-838A-16B93A2BD01C}"/>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43975" xr:uid="{34B68E1B-B3BE-4C44-8EC5-DEA484CA0860}"/>
    <cellStyle name="Currency 5 3 5 5 2 2 3" xfId="35528" xr:uid="{28ECE9A4-C3A8-4BC7-9601-5F740632C699}"/>
    <cellStyle name="Currency 5 3 5 5 2 2 4" xfId="27080" xr:uid="{B5683D7F-2921-4041-AFC9-95B35E86F53B}"/>
    <cellStyle name="Currency 5 3 5 5 2 2 5" xfId="17783" xr:uid="{8F86AE00-0F87-458C-A829-BB95C5A577D9}"/>
    <cellStyle name="Currency 5 3 5 5 2 3" xfId="39758" xr:uid="{7CE3F3EB-E059-4CFE-BB6A-37860C116315}"/>
    <cellStyle name="Currency 5 3 5 5 2 4" xfId="31310" xr:uid="{096181FF-2461-4E92-88EC-7DE6BA0FB5A8}"/>
    <cellStyle name="Currency 5 3 5 5 2 5" xfId="22863" xr:uid="{8299D33E-4E9B-40C2-B638-ABE9EAE9E7AF}"/>
    <cellStyle name="Currency 5 3 5 5 2 6" xfId="13566" xr:uid="{66387870-6079-4711-BC8F-A25EA9FF5147}"/>
    <cellStyle name="Currency 5 3 5 5 3" xfId="6312" xr:uid="{00000000-0005-0000-0000-0000320D0000}"/>
    <cellStyle name="Currency 5 3 5 5 3 2" xfId="41830" xr:uid="{C794A09A-E968-4EA6-AFB1-0F4154D769F4}"/>
    <cellStyle name="Currency 5 3 5 5 3 3" xfId="33383" xr:uid="{E6BDAB0A-D6DD-4F51-92F6-FCFCB8C9501B}"/>
    <cellStyle name="Currency 5 3 5 5 3 4" xfId="24935" xr:uid="{8F760714-A817-4ABE-B798-555AA68F94FE}"/>
    <cellStyle name="Currency 5 3 5 5 3 5" xfId="15638" xr:uid="{3AC7CEA8-7E8F-487D-86C6-B5B17C6E840F}"/>
    <cellStyle name="Currency 5 3 5 5 4" xfId="37613" xr:uid="{0AD9FA92-6F44-40AF-AB1A-11C8495FC6DB}"/>
    <cellStyle name="Currency 5 3 5 5 5" xfId="29165" xr:uid="{6D9A28B0-CB6C-44E8-8EE4-780C46746E58}"/>
    <cellStyle name="Currency 5 3 5 5 6" xfId="20718" xr:uid="{7B5F3705-0CB6-4813-A0DF-9EC62D81DDFC}"/>
    <cellStyle name="Currency 5 3 5 5 7" xfId="11421" xr:uid="{7EC17BA6-EC69-4E42-A4C7-D7663F8BE542}"/>
    <cellStyle name="Currency 5 3 5 6" xfId="2441" xr:uid="{00000000-0005-0000-0000-0000330D0000}"/>
    <cellStyle name="Currency 5 3 5 6 2" xfId="6725" xr:uid="{00000000-0005-0000-0000-0000340D0000}"/>
    <cellStyle name="Currency 5 3 5 6 2 2" xfId="42243" xr:uid="{55ECD630-1190-4697-B32D-B4E537948753}"/>
    <cellStyle name="Currency 5 3 5 6 2 3" xfId="33796" xr:uid="{C8AB70AA-5127-4B4D-B410-0A6C8954887F}"/>
    <cellStyle name="Currency 5 3 5 6 2 4" xfId="25348" xr:uid="{2A26902A-8EFC-4EBD-94B7-A5FC0B801822}"/>
    <cellStyle name="Currency 5 3 5 6 2 5" xfId="16051" xr:uid="{45CF8241-AAC8-4C3B-8A92-1A44AF7CF794}"/>
    <cellStyle name="Currency 5 3 5 6 3" xfId="38026" xr:uid="{506A5E5D-D58B-47C0-A7CE-B6189196E58A}"/>
    <cellStyle name="Currency 5 3 5 6 4" xfId="29578" xr:uid="{F8E35A69-19FC-4F43-9535-E0867636F73D}"/>
    <cellStyle name="Currency 5 3 5 6 5" xfId="21131" xr:uid="{63F356B7-1DD9-4B01-B9A8-0BC5C527C9B4}"/>
    <cellStyle name="Currency 5 3 5 6 6" xfId="11834" xr:uid="{22F3AE96-C652-457D-A75E-3798EB3C5C98}"/>
    <cellStyle name="Currency 5 3 5 7" xfId="2738" xr:uid="{00000000-0005-0000-0000-0000350D0000}"/>
    <cellStyle name="Currency 5 3 5 8" xfId="2819" xr:uid="{00000000-0005-0000-0000-0000360D0000}"/>
    <cellStyle name="Currency 5 3 5 8 2" xfId="7042" xr:uid="{00000000-0005-0000-0000-0000370D0000}"/>
    <cellStyle name="Currency 5 3 5 8 2 2" xfId="42560" xr:uid="{35888B35-6C44-48AF-AD43-58B42AA52823}"/>
    <cellStyle name="Currency 5 3 5 8 2 3" xfId="34113" xr:uid="{DED97FCC-B413-4570-B1D1-03D9044D2B73}"/>
    <cellStyle name="Currency 5 3 5 8 2 4" xfId="25665" xr:uid="{6F5FB89C-66C5-45D4-B20C-63F24FF5AA5C}"/>
    <cellStyle name="Currency 5 3 5 8 2 5" xfId="16368" xr:uid="{DAC85341-F34D-4081-9547-D81081FFD466}"/>
    <cellStyle name="Currency 5 3 5 8 3" xfId="38343" xr:uid="{4A290486-5500-4952-B3F7-7AF63F7C5C46}"/>
    <cellStyle name="Currency 5 3 5 8 4" xfId="29895" xr:uid="{4FB8D388-8619-44B8-BF49-10A480BA4728}"/>
    <cellStyle name="Currency 5 3 5 8 5" xfId="21448" xr:uid="{DA1B8693-8E3A-4F2E-AA33-1653F6C9171A}"/>
    <cellStyle name="Currency 5 3 5 8 6" xfId="12151" xr:uid="{6908090F-F774-4CA9-94AB-11076CF0E575}"/>
    <cellStyle name="Currency 5 3 5 9" xfId="4659" xr:uid="{00000000-0005-0000-0000-0000380D0000}"/>
    <cellStyle name="Currency 5 3 5 9 2" xfId="40177" xr:uid="{B054937F-07D6-48C7-8FDD-3914BA1116E6}"/>
    <cellStyle name="Currency 5 3 5 9 3" xfId="31730" xr:uid="{9238F76F-6440-4464-8249-B0BBBBB5DA65}"/>
    <cellStyle name="Currency 5 3 5 9 4" xfId="23282" xr:uid="{B0A57FC6-7A33-47B5-986C-725921264614}"/>
    <cellStyle name="Currency 5 3 5 9 5" xfId="13985" xr:uid="{BE51C2E2-1BB5-42CA-89F4-3E08C015CCFA}"/>
    <cellStyle name="Currency 5 3 6" xfId="9585" xr:uid="{F259418A-5AC0-4C4E-A98C-07B5BEE6D673}"/>
    <cellStyle name="Currency 5 3 7" xfId="8779" xr:uid="{856D4C12-E347-4E8F-9200-2EC71AC3E0CB}"/>
    <cellStyle name="Currency 5 3 7 2" xfId="18102" xr:uid="{4E939232-D513-4F34-AE9A-56533933D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40178" xr:uid="{0BC9969C-C325-444D-B986-BAA7950DDA25}"/>
    <cellStyle name="Currency 5 5 10 3" xfId="31731" xr:uid="{9C8D1440-D8D2-49ED-9499-AE1F5F72C896}"/>
    <cellStyle name="Currency 5 5 10 4" xfId="23283" xr:uid="{079D4556-AAD9-442F-8B7A-7D07787D8AC0}"/>
    <cellStyle name="Currency 5 5 10 5" xfId="13986" xr:uid="{8AA65EC0-31E2-48EF-BDFA-15943395FF52}"/>
    <cellStyle name="Currency 5 5 11" xfId="8850" xr:uid="{8F129173-F323-478F-8B06-1E2599EB26C1}"/>
    <cellStyle name="Currency 5 5 11 2" xfId="35961" xr:uid="{27FB62A8-EA76-4C1D-BCF1-5FE677269368}"/>
    <cellStyle name="Currency 5 5 11 3" xfId="18173" xr:uid="{B0EA3B3F-EC15-4DD7-8100-FFE9CBCB4DA5}"/>
    <cellStyle name="Currency 5 5 12" xfId="27513" xr:uid="{AAFB8EB5-2036-44C6-B58A-803C7CADD5FF}"/>
    <cellStyle name="Currency 5 5 13" xfId="19066" xr:uid="{CB862FC1-CAFE-4354-A06A-88E2BE4AF729}"/>
    <cellStyle name="Currency 5 5 14" xfId="9769" xr:uid="{1F1577C3-7257-4697-A59A-31B46139CA8F}"/>
    <cellStyle name="Currency 5 5 2" xfId="220" xr:uid="{00000000-0005-0000-0000-00003D0D0000}"/>
    <cellStyle name="Currency 5 5 2 10" xfId="9057" xr:uid="{90E61E49-0971-4EC1-90D8-E015846E4FB2}"/>
    <cellStyle name="Currency 5 5 2 10 2" xfId="35962" xr:uid="{E07AC268-66B5-486A-8873-EA9BC3937D6A}"/>
    <cellStyle name="Currency 5 5 2 10 3" xfId="18380" xr:uid="{F5C07B08-678C-44F3-9E33-95FC0C9E1C21}"/>
    <cellStyle name="Currency 5 5 2 11" xfId="27514" xr:uid="{ACA9C937-A1A1-45E1-BD0E-38F855B92395}"/>
    <cellStyle name="Currency 5 5 2 12" xfId="19067" xr:uid="{3D24BF7C-2D9E-4D1E-B525-342B600B48E3}"/>
    <cellStyle name="Currency 5 5 2 13" xfId="9770" xr:uid="{B5168B55-5500-4F46-8D5C-6D5BCCAADD51}"/>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42738" xr:uid="{3BDC353E-5C9A-4216-9236-A77D4C11334E}"/>
    <cellStyle name="Currency 5 5 2 2 2 2 3" xfId="34291" xr:uid="{0059C6FE-ED68-4E61-BDCF-8AC87B986DFE}"/>
    <cellStyle name="Currency 5 5 2 2 2 2 4" xfId="25843" xr:uid="{FE2A946D-BE3F-421C-940F-15F76AD09DA3}"/>
    <cellStyle name="Currency 5 5 2 2 2 2 5" xfId="16546" xr:uid="{F6D416F7-EC3C-4D12-80D8-A6F71060FB7D}"/>
    <cellStyle name="Currency 5 5 2 2 2 3" xfId="38521" xr:uid="{28A6250D-21FC-4F67-8DEA-E6E376151298}"/>
    <cellStyle name="Currency 5 5 2 2 2 4" xfId="30073" xr:uid="{CB328AAB-8C68-48DF-8D25-3F282CDC8206}"/>
    <cellStyle name="Currency 5 5 2 2 2 5" xfId="21626" xr:uid="{EBCCD788-8A23-4F79-88C5-8CCF85DC3656}"/>
    <cellStyle name="Currency 5 5 2 2 2 6" xfId="12329" xr:uid="{5CC30781-C193-4EB0-89E5-D0475DDFD0DC}"/>
    <cellStyle name="Currency 5 5 2 2 3" xfId="5075" xr:uid="{00000000-0005-0000-0000-0000410D0000}"/>
    <cellStyle name="Currency 5 5 2 2 3 2" xfId="40593" xr:uid="{993FBC1F-8022-4AF8-986B-7053ED37FB70}"/>
    <cellStyle name="Currency 5 5 2 2 3 3" xfId="32146" xr:uid="{BA7253A1-E1E4-4ED5-8468-0E8CCF4245E7}"/>
    <cellStyle name="Currency 5 5 2 2 3 4" xfId="23698" xr:uid="{78477105-D24E-4AE1-841A-48438E321EB0}"/>
    <cellStyle name="Currency 5 5 2 2 3 5" xfId="14401" xr:uid="{C7811BA0-0879-4D35-A037-429A3C1D1763}"/>
    <cellStyle name="Currency 5 5 2 2 4" xfId="9482" xr:uid="{ECEE3E7C-42CD-4A2D-A90F-D54FFBA7E41F}"/>
    <cellStyle name="Currency 5 5 2 2 4 2" xfId="36376" xr:uid="{13A61946-2043-48CE-BD1B-F019D03A417D}"/>
    <cellStyle name="Currency 5 5 2 2 4 3" xfId="18795" xr:uid="{6918BFAE-70CD-4DAC-AB78-2D6917B3B531}"/>
    <cellStyle name="Currency 5 5 2 2 5" xfId="27928" xr:uid="{E4FE2AF4-3B50-46DE-9C2C-BE400B2A99A8}"/>
    <cellStyle name="Currency 5 5 2 2 6" xfId="19481" xr:uid="{70C10BC1-38D2-46DE-80CE-5CD0213978F2}"/>
    <cellStyle name="Currency 5 5 2 2 7" xfId="10184" xr:uid="{174E9D7C-A432-45B0-AB99-D42634D3CF1C}"/>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43151" xr:uid="{033A9007-4EC3-430A-8FB9-A8C7E6BCFF46}"/>
    <cellStyle name="Currency 5 5 2 3 2 2 3" xfId="34704" xr:uid="{068FAFD2-9C5F-4179-956C-6C15605F131E}"/>
    <cellStyle name="Currency 5 5 2 3 2 2 4" xfId="26256" xr:uid="{BA8A7FEA-14E1-4D78-868D-919CBEFEA059}"/>
    <cellStyle name="Currency 5 5 2 3 2 2 5" xfId="16959" xr:uid="{91F5FC01-B9FB-4870-93EC-B2839539FE32}"/>
    <cellStyle name="Currency 5 5 2 3 2 3" xfId="38934" xr:uid="{41635576-550C-477A-B60D-E2CB48EC707B}"/>
    <cellStyle name="Currency 5 5 2 3 2 4" xfId="30486" xr:uid="{EA9A870B-8055-422A-8FC6-7B6EEEE7336B}"/>
    <cellStyle name="Currency 5 5 2 3 2 5" xfId="22039" xr:uid="{EC840620-5939-4748-9652-572ED0D847AF}"/>
    <cellStyle name="Currency 5 5 2 3 2 6" xfId="12742" xr:uid="{35B55B49-5F43-4844-9B96-9008138C0C9D}"/>
    <cellStyle name="Currency 5 5 2 3 3" xfId="5488" xr:uid="{00000000-0005-0000-0000-0000450D0000}"/>
    <cellStyle name="Currency 5 5 2 3 3 2" xfId="41006" xr:uid="{029E7DDB-9043-4393-A3E8-A1842D91EEA9}"/>
    <cellStyle name="Currency 5 5 2 3 3 3" xfId="32559" xr:uid="{5818F89A-9537-4537-A197-8467B57FF76A}"/>
    <cellStyle name="Currency 5 5 2 3 3 4" xfId="24111" xr:uid="{46DFB8E4-4C8B-4CBB-8E14-B0E0AF4573A0}"/>
    <cellStyle name="Currency 5 5 2 3 3 5" xfId="14814" xr:uid="{B59DF9DD-EF12-4F3E-9FFE-168CE1A42FFB}"/>
    <cellStyle name="Currency 5 5 2 3 4" xfId="36789" xr:uid="{BC65B938-78B0-46E0-8D71-AD9DFC178BFC}"/>
    <cellStyle name="Currency 5 5 2 3 5" xfId="28341" xr:uid="{F0262E8B-771E-40F3-B165-350346155C7C}"/>
    <cellStyle name="Currency 5 5 2 3 6" xfId="19894" xr:uid="{B54168E4-3630-4AC6-8B37-C8092D36A9D7}"/>
    <cellStyle name="Currency 5 5 2 3 7" xfId="10597" xr:uid="{DE657DB8-BF7B-42DF-B280-E37B80E8A5C0}"/>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43564" xr:uid="{6F5C1068-A5C1-4AA4-91AB-BBCD0160F945}"/>
    <cellStyle name="Currency 5 5 2 4 2 2 3" xfId="35117" xr:uid="{8CEF1ED0-F6E5-48AE-AD9E-E79D0C44014F}"/>
    <cellStyle name="Currency 5 5 2 4 2 2 4" xfId="26669" xr:uid="{D6ABD646-F4D7-479B-AB40-75C6A70AE872}"/>
    <cellStyle name="Currency 5 5 2 4 2 2 5" xfId="17372" xr:uid="{4D5292F0-3CF9-4594-8CAC-15DCC4298F8E}"/>
    <cellStyle name="Currency 5 5 2 4 2 3" xfId="39347" xr:uid="{5C0D4B87-A967-412E-8B6B-D38FAF2E20EA}"/>
    <cellStyle name="Currency 5 5 2 4 2 4" xfId="30899" xr:uid="{BA7AEBCE-3C07-4843-A5B2-9E169FA17BB3}"/>
    <cellStyle name="Currency 5 5 2 4 2 5" xfId="22452" xr:uid="{ED1FD82D-8966-4DF1-8360-B786136719BB}"/>
    <cellStyle name="Currency 5 5 2 4 2 6" xfId="13155" xr:uid="{6F7D3B7B-EA27-4C12-BE4F-DDD9A5FB0BA3}"/>
    <cellStyle name="Currency 5 5 2 4 3" xfId="5901" xr:uid="{00000000-0005-0000-0000-0000490D0000}"/>
    <cellStyle name="Currency 5 5 2 4 3 2" xfId="41419" xr:uid="{D16D5387-AFB7-44E7-84F3-A8A3FD84DBB5}"/>
    <cellStyle name="Currency 5 5 2 4 3 3" xfId="32972" xr:uid="{E1735242-64CD-4E44-9CEE-263F942B8534}"/>
    <cellStyle name="Currency 5 5 2 4 3 4" xfId="24524" xr:uid="{3227E979-077E-4B81-96D9-E1A32E0F74A8}"/>
    <cellStyle name="Currency 5 5 2 4 3 5" xfId="15227" xr:uid="{7B8FA1BC-DAE0-48FA-B16D-0CE00BF049B0}"/>
    <cellStyle name="Currency 5 5 2 4 4" xfId="37202" xr:uid="{801254D8-2016-4010-A2E7-69397A003F8D}"/>
    <cellStyle name="Currency 5 5 2 4 5" xfId="28754" xr:uid="{7F21B582-8A04-4098-A697-474A7D0E9DFE}"/>
    <cellStyle name="Currency 5 5 2 4 6" xfId="20307" xr:uid="{D653B55F-A042-4665-AD78-61E88D9E6B89}"/>
    <cellStyle name="Currency 5 5 2 4 7" xfId="11010" xr:uid="{7BA45BEE-8A5B-4A7B-9907-11FA1C845BC1}"/>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43977" xr:uid="{53FA67A0-B6B3-405A-A82C-C597B05DD895}"/>
    <cellStyle name="Currency 5 5 2 5 2 2 3" xfId="35530" xr:uid="{9214C194-7B41-4934-9D90-7FE166FB0348}"/>
    <cellStyle name="Currency 5 5 2 5 2 2 4" xfId="27082" xr:uid="{2B671764-1AC9-499D-AC4E-43439E4B8966}"/>
    <cellStyle name="Currency 5 5 2 5 2 2 5" xfId="17785" xr:uid="{408C85A9-BA59-41D0-8AC5-1C5B97DA05DA}"/>
    <cellStyle name="Currency 5 5 2 5 2 3" xfId="39760" xr:uid="{E3AA5E18-F3C5-41E6-AD0F-669AC91B5D33}"/>
    <cellStyle name="Currency 5 5 2 5 2 4" xfId="31312" xr:uid="{2EB3E0C8-E27A-42C1-BDD4-584516AB6ACE}"/>
    <cellStyle name="Currency 5 5 2 5 2 5" xfId="22865" xr:uid="{A1855AC7-7F3E-46D5-9366-42677AE7C6C2}"/>
    <cellStyle name="Currency 5 5 2 5 2 6" xfId="13568" xr:uid="{4732834D-D9A5-430D-AA42-047E665CCF86}"/>
    <cellStyle name="Currency 5 5 2 5 3" xfId="6314" xr:uid="{00000000-0005-0000-0000-00004D0D0000}"/>
    <cellStyle name="Currency 5 5 2 5 3 2" xfId="41832" xr:uid="{2C25689C-AB0F-44AD-925A-72642A2B57E4}"/>
    <cellStyle name="Currency 5 5 2 5 3 3" xfId="33385" xr:uid="{2335C111-9E2C-42CE-842B-14D5872DE53C}"/>
    <cellStyle name="Currency 5 5 2 5 3 4" xfId="24937" xr:uid="{4B1C036F-9BDB-4F80-B282-9A2371A25B14}"/>
    <cellStyle name="Currency 5 5 2 5 3 5" xfId="15640" xr:uid="{ED9A6A75-DB54-445E-9483-2598F5B2F6B8}"/>
    <cellStyle name="Currency 5 5 2 5 4" xfId="37615" xr:uid="{33353079-C7CE-4056-A0BF-8B130B4E0C45}"/>
    <cellStyle name="Currency 5 5 2 5 5" xfId="29167" xr:uid="{DBCFE10F-3A8E-4EFC-8BFE-FBF747495FEE}"/>
    <cellStyle name="Currency 5 5 2 5 6" xfId="20720" xr:uid="{C2F63A5E-2069-4378-A994-00EB2ED65A7D}"/>
    <cellStyle name="Currency 5 5 2 5 7" xfId="11423" xr:uid="{5484C1F3-87C3-4932-B5AF-6AE1AE7D89A4}"/>
    <cellStyle name="Currency 5 5 2 6" xfId="2443" xr:uid="{00000000-0005-0000-0000-00004E0D0000}"/>
    <cellStyle name="Currency 5 5 2 6 2" xfId="6727" xr:uid="{00000000-0005-0000-0000-00004F0D0000}"/>
    <cellStyle name="Currency 5 5 2 6 2 2" xfId="42245" xr:uid="{A4C1C12E-8098-4DA7-9266-EE3F9C297A1F}"/>
    <cellStyle name="Currency 5 5 2 6 2 3" xfId="33798" xr:uid="{508CA86B-C0F2-44D9-B9C1-25A542EB1778}"/>
    <cellStyle name="Currency 5 5 2 6 2 4" xfId="25350" xr:uid="{4004BA1C-EADA-46A0-B1E1-BDCFD3AFA6B4}"/>
    <cellStyle name="Currency 5 5 2 6 2 5" xfId="16053" xr:uid="{C6AD0E26-6EA9-4C1F-BF3B-83386242D6F6}"/>
    <cellStyle name="Currency 5 5 2 6 3" xfId="38028" xr:uid="{A2B89906-1C40-4091-86FD-71EB7DFF4B0D}"/>
    <cellStyle name="Currency 5 5 2 6 4" xfId="29580" xr:uid="{71C85FAB-275A-4E2A-929C-FF7CCFD10D79}"/>
    <cellStyle name="Currency 5 5 2 6 5" xfId="21133" xr:uid="{8D88736F-5D74-4EBC-A4B0-F979B88BFF1B}"/>
    <cellStyle name="Currency 5 5 2 6 6" xfId="11836" xr:uid="{FE9B2E3A-AD68-499F-92A3-8EFD7BC5C989}"/>
    <cellStyle name="Currency 5 5 2 7" xfId="2740" xr:uid="{00000000-0005-0000-0000-0000500D0000}"/>
    <cellStyle name="Currency 5 5 2 8" xfId="2821" xr:uid="{00000000-0005-0000-0000-0000510D0000}"/>
    <cellStyle name="Currency 5 5 2 8 2" xfId="7044" xr:uid="{00000000-0005-0000-0000-0000520D0000}"/>
    <cellStyle name="Currency 5 5 2 8 2 2" xfId="42562" xr:uid="{6CD7F607-8374-422C-AC90-3EB9E177E994}"/>
    <cellStyle name="Currency 5 5 2 8 2 3" xfId="34115" xr:uid="{B0BF65D3-0E49-4021-8B5F-9762E291DC05}"/>
    <cellStyle name="Currency 5 5 2 8 2 4" xfId="25667" xr:uid="{1A51AD58-25D2-4CE0-8073-10C69378CED1}"/>
    <cellStyle name="Currency 5 5 2 8 2 5" xfId="16370" xr:uid="{30ABBFA6-CBF1-44CA-A2BC-47B48ABC0846}"/>
    <cellStyle name="Currency 5 5 2 8 3" xfId="38345" xr:uid="{AB85D227-123D-4F0F-8437-31A9FDAB8C35}"/>
    <cellStyle name="Currency 5 5 2 8 4" xfId="29897" xr:uid="{C297897E-3CA8-4711-B989-D8261156C720}"/>
    <cellStyle name="Currency 5 5 2 8 5" xfId="21450" xr:uid="{F13E3089-B07C-4D2F-B662-86777B0D7E41}"/>
    <cellStyle name="Currency 5 5 2 8 6" xfId="12153" xr:uid="{64692336-17C4-40B3-B5F7-EFBE971F1AF9}"/>
    <cellStyle name="Currency 5 5 2 9" xfId="4661" xr:uid="{00000000-0005-0000-0000-0000530D0000}"/>
    <cellStyle name="Currency 5 5 2 9 2" xfId="40179" xr:uid="{1EE38323-E62B-452C-90BC-874C4F467D4C}"/>
    <cellStyle name="Currency 5 5 2 9 3" xfId="31732" xr:uid="{690792D8-AB17-4CB6-8E9B-38E64C8AF04F}"/>
    <cellStyle name="Currency 5 5 2 9 4" xfId="23284" xr:uid="{1635BF4E-1985-42F5-ADFC-70D84FD53707}"/>
    <cellStyle name="Currency 5 5 2 9 5" xfId="13987" xr:uid="{50F62BE3-4077-4FEE-A0E5-E3F037A4D2A9}"/>
    <cellStyle name="Currency 5 5 3" xfId="745" xr:uid="{00000000-0005-0000-0000-0000540D0000}"/>
    <cellStyle name="Currency 5 5 3 2" xfId="2997" xr:uid="{00000000-0005-0000-0000-0000550D0000}"/>
    <cellStyle name="Currency 5 5 3 2 2" xfId="7219" xr:uid="{00000000-0005-0000-0000-0000560D0000}"/>
    <cellStyle name="Currency 5 5 3 2 2 2" xfId="42737" xr:uid="{C2F89D0F-AED7-450A-AF63-BF6F985868ED}"/>
    <cellStyle name="Currency 5 5 3 2 2 3" xfId="34290" xr:uid="{18901F1A-CD2A-4BB9-809C-01C599869BB1}"/>
    <cellStyle name="Currency 5 5 3 2 2 4" xfId="25842" xr:uid="{300473DC-A4F3-4E40-83E6-2B5EB7BB7053}"/>
    <cellStyle name="Currency 5 5 3 2 2 5" xfId="16545" xr:uid="{B2B87787-DEF8-48A4-A918-823F8A5CC29B}"/>
    <cellStyle name="Currency 5 5 3 2 3" xfId="38520" xr:uid="{984E799B-C107-4ABE-A252-BAEDE1A378B8}"/>
    <cellStyle name="Currency 5 5 3 2 4" xfId="30072" xr:uid="{782C4510-49DA-475F-B06A-15BAD89CE835}"/>
    <cellStyle name="Currency 5 5 3 2 5" xfId="21625" xr:uid="{767C4AE7-8FD9-4BE7-A3BB-9334CFC86413}"/>
    <cellStyle name="Currency 5 5 3 2 6" xfId="12328" xr:uid="{6BA781DF-4810-4F2A-AA95-0AA8531654D7}"/>
    <cellStyle name="Currency 5 5 3 3" xfId="5074" xr:uid="{00000000-0005-0000-0000-0000570D0000}"/>
    <cellStyle name="Currency 5 5 3 3 2" xfId="40592" xr:uid="{C2882BC8-81BB-4FF5-9036-23A2C43DEFDA}"/>
    <cellStyle name="Currency 5 5 3 3 3" xfId="32145" xr:uid="{62B13541-66FD-4EB6-9C7E-9D3FE111A17C}"/>
    <cellStyle name="Currency 5 5 3 3 4" xfId="23697" xr:uid="{57169D12-27F1-4074-9D57-D434D6E2B452}"/>
    <cellStyle name="Currency 5 5 3 3 5" xfId="14400" xr:uid="{ABFA8C0C-4129-4B38-B31C-0946A52F0039}"/>
    <cellStyle name="Currency 5 5 3 4" xfId="9275" xr:uid="{54783F20-34E5-4A58-80AE-EC7CC69A89C9}"/>
    <cellStyle name="Currency 5 5 3 4 2" xfId="36375" xr:uid="{CF28619E-6C98-46DB-80E4-0DCBB533814F}"/>
    <cellStyle name="Currency 5 5 3 4 3" xfId="18588" xr:uid="{DE5AF293-1668-4A21-A58E-C9F918F3B061}"/>
    <cellStyle name="Currency 5 5 3 5" xfId="27927" xr:uid="{5A52025A-8A25-4893-911F-F61309B5856F}"/>
    <cellStyle name="Currency 5 5 3 6" xfId="19480" xr:uid="{A66AC509-6841-484C-9538-343C24ADF431}"/>
    <cellStyle name="Currency 5 5 3 7" xfId="10183" xr:uid="{EA938AE7-B4FF-453E-8BC5-41E2B5D85DD4}"/>
    <cellStyle name="Currency 5 5 4" xfId="1179" xr:uid="{00000000-0005-0000-0000-0000580D0000}"/>
    <cellStyle name="Currency 5 5 4 2" xfId="3410" xr:uid="{00000000-0005-0000-0000-0000590D0000}"/>
    <cellStyle name="Currency 5 5 4 2 2" xfId="7632" xr:uid="{00000000-0005-0000-0000-00005A0D0000}"/>
    <cellStyle name="Currency 5 5 4 2 2 2" xfId="43150" xr:uid="{AA9998F2-1DAC-416D-BB54-7840E20C6F0E}"/>
    <cellStyle name="Currency 5 5 4 2 2 3" xfId="34703" xr:uid="{7725A6AE-FAD6-4692-860C-F2149E5ECA43}"/>
    <cellStyle name="Currency 5 5 4 2 2 4" xfId="26255" xr:uid="{5699CE6A-7D09-4832-9384-62DF56389A4A}"/>
    <cellStyle name="Currency 5 5 4 2 2 5" xfId="16958" xr:uid="{44E728CB-64D6-4D90-B497-FE6BD8686A47}"/>
    <cellStyle name="Currency 5 5 4 2 3" xfId="38933" xr:uid="{C572FA4F-E47E-41F5-9426-DF121DC6C3A7}"/>
    <cellStyle name="Currency 5 5 4 2 4" xfId="30485" xr:uid="{AB8CB6EE-FE40-46BB-95F2-0923BD9A838A}"/>
    <cellStyle name="Currency 5 5 4 2 5" xfId="22038" xr:uid="{1DBD8CA9-3359-44B5-8954-BA4105CB22AD}"/>
    <cellStyle name="Currency 5 5 4 2 6" xfId="12741" xr:uid="{B64A134C-E87F-4300-9E02-363CD8F6928E}"/>
    <cellStyle name="Currency 5 5 4 3" xfId="5487" xr:uid="{00000000-0005-0000-0000-00005B0D0000}"/>
    <cellStyle name="Currency 5 5 4 3 2" xfId="41005" xr:uid="{0A39CD01-9143-4BAA-8AB4-69AF87583EB1}"/>
    <cellStyle name="Currency 5 5 4 3 3" xfId="32558" xr:uid="{50E46A04-A79A-47BA-8222-62E42C15427C}"/>
    <cellStyle name="Currency 5 5 4 3 4" xfId="24110" xr:uid="{91DC5F46-4513-4FEA-B3C9-582AD0DF0834}"/>
    <cellStyle name="Currency 5 5 4 3 5" xfId="14813" xr:uid="{2A90AE15-0D3C-4915-A04A-E85DCA2D4415}"/>
    <cellStyle name="Currency 5 5 4 4" xfId="36788" xr:uid="{6801F27E-7BF1-4E48-B60D-6A3C4C1C9BC1}"/>
    <cellStyle name="Currency 5 5 4 5" xfId="28340" xr:uid="{9650994E-BB3C-468F-ABCF-8B4E1DFDD82D}"/>
    <cellStyle name="Currency 5 5 4 6" xfId="19893" xr:uid="{E7855BB5-9487-4CB3-9881-361F7311BD8F}"/>
    <cellStyle name="Currency 5 5 4 7" xfId="10596" xr:uid="{47D6818D-DA18-49E6-BEC2-97F5E8C2F32F}"/>
    <cellStyle name="Currency 5 5 5" xfId="1593" xr:uid="{00000000-0005-0000-0000-00005C0D0000}"/>
    <cellStyle name="Currency 5 5 5 2" xfId="3823" xr:uid="{00000000-0005-0000-0000-00005D0D0000}"/>
    <cellStyle name="Currency 5 5 5 2 2" xfId="8045" xr:uid="{00000000-0005-0000-0000-00005E0D0000}"/>
    <cellStyle name="Currency 5 5 5 2 2 2" xfId="43563" xr:uid="{E424C392-CF2D-4C08-9B38-D8D7AB0F58FA}"/>
    <cellStyle name="Currency 5 5 5 2 2 3" xfId="35116" xr:uid="{D9C1B4B5-6848-4D3A-B847-D7B23CEFB9EE}"/>
    <cellStyle name="Currency 5 5 5 2 2 4" xfId="26668" xr:uid="{9AB2E6BB-113E-4382-80A1-84B1B938C2EB}"/>
    <cellStyle name="Currency 5 5 5 2 2 5" xfId="17371" xr:uid="{54439272-0F14-4481-9F62-AAF44459E11E}"/>
    <cellStyle name="Currency 5 5 5 2 3" xfId="39346" xr:uid="{55B401C0-16D3-40FA-A333-25F356104C2C}"/>
    <cellStyle name="Currency 5 5 5 2 4" xfId="30898" xr:uid="{E0E55260-2D18-4958-A7CA-5AFFA6631B46}"/>
    <cellStyle name="Currency 5 5 5 2 5" xfId="22451" xr:uid="{6DA82FB4-2658-4605-9381-B138C476B2D4}"/>
    <cellStyle name="Currency 5 5 5 2 6" xfId="13154" xr:uid="{F355956E-4C3E-484B-94E3-B055B169829C}"/>
    <cellStyle name="Currency 5 5 5 3" xfId="5900" xr:uid="{00000000-0005-0000-0000-00005F0D0000}"/>
    <cellStyle name="Currency 5 5 5 3 2" xfId="41418" xr:uid="{E76C04D7-E518-43F6-91FA-226DA3AC63E4}"/>
    <cellStyle name="Currency 5 5 5 3 3" xfId="32971" xr:uid="{0C865F17-1F4B-46B9-A72B-48A8F79D514F}"/>
    <cellStyle name="Currency 5 5 5 3 4" xfId="24523" xr:uid="{343B1969-41CF-4A05-AEA4-409DD5E9AB11}"/>
    <cellStyle name="Currency 5 5 5 3 5" xfId="15226" xr:uid="{158741B1-B203-4A45-AE42-F7DD5B32D5B1}"/>
    <cellStyle name="Currency 5 5 5 4" xfId="37201" xr:uid="{603C8938-D033-4595-826F-A5FADFD5ABF3}"/>
    <cellStyle name="Currency 5 5 5 5" xfId="28753" xr:uid="{A465F96C-2C52-4160-A379-AA7D52879863}"/>
    <cellStyle name="Currency 5 5 5 6" xfId="20306" xr:uid="{009AB033-5674-4122-B1FD-020FCA05ED81}"/>
    <cellStyle name="Currency 5 5 5 7" xfId="11009" xr:uid="{F92CA660-1139-4903-BC11-2B0C76922CF9}"/>
    <cellStyle name="Currency 5 5 6" xfId="2007" xr:uid="{00000000-0005-0000-0000-0000600D0000}"/>
    <cellStyle name="Currency 5 5 6 2" xfId="4236" xr:uid="{00000000-0005-0000-0000-0000610D0000}"/>
    <cellStyle name="Currency 5 5 6 2 2" xfId="8458" xr:uid="{00000000-0005-0000-0000-0000620D0000}"/>
    <cellStyle name="Currency 5 5 6 2 2 2" xfId="43976" xr:uid="{A74FCC09-35ED-481B-B4D8-2D984961ADC0}"/>
    <cellStyle name="Currency 5 5 6 2 2 3" xfId="35529" xr:uid="{586EDC02-6440-4C17-AF2E-7D8B162FE993}"/>
    <cellStyle name="Currency 5 5 6 2 2 4" xfId="27081" xr:uid="{DC8CE25F-C56C-46DB-BC20-58EA986CA52C}"/>
    <cellStyle name="Currency 5 5 6 2 2 5" xfId="17784" xr:uid="{D5E7A221-CC58-49E5-BA2F-EA924FE72E85}"/>
    <cellStyle name="Currency 5 5 6 2 3" xfId="39759" xr:uid="{4525CE59-A8A3-4C97-8EBA-D620C5638DB1}"/>
    <cellStyle name="Currency 5 5 6 2 4" xfId="31311" xr:uid="{59FE8137-090C-4FAC-B0DF-A0C667112BB4}"/>
    <cellStyle name="Currency 5 5 6 2 5" xfId="22864" xr:uid="{F30E27D8-C00D-4A01-8101-3E03C8A8D9C0}"/>
    <cellStyle name="Currency 5 5 6 2 6" xfId="13567" xr:uid="{18D9D7B2-B13A-47C5-9B76-A7E4BDAF383C}"/>
    <cellStyle name="Currency 5 5 6 3" xfId="6313" xr:uid="{00000000-0005-0000-0000-0000630D0000}"/>
    <cellStyle name="Currency 5 5 6 3 2" xfId="41831" xr:uid="{84E6F526-3B99-4C9A-8FB8-92E105566B58}"/>
    <cellStyle name="Currency 5 5 6 3 3" xfId="33384" xr:uid="{0569B446-8C85-4515-A89B-B5A7EBD1B088}"/>
    <cellStyle name="Currency 5 5 6 3 4" xfId="24936" xr:uid="{CAEA29F0-FED2-45D4-8E84-FBDA90A4FDA2}"/>
    <cellStyle name="Currency 5 5 6 3 5" xfId="15639" xr:uid="{E33B0EEF-F0DC-4CAE-AEF3-EF0217A1C3E0}"/>
    <cellStyle name="Currency 5 5 6 4" xfId="37614" xr:uid="{AC52155B-E9EF-465F-A5EE-27CBE1E93284}"/>
    <cellStyle name="Currency 5 5 6 5" xfId="29166" xr:uid="{886760FF-1A38-4C1A-B14A-E6474FDA23A4}"/>
    <cellStyle name="Currency 5 5 6 6" xfId="20719" xr:uid="{96C4CA85-EF89-4F2C-950B-44BF5BAC1BD1}"/>
    <cellStyle name="Currency 5 5 6 7" xfId="11422" xr:uid="{DEA054DA-1FB9-4825-882B-F0F80A197EA5}"/>
    <cellStyle name="Currency 5 5 7" xfId="2442" xr:uid="{00000000-0005-0000-0000-0000640D0000}"/>
    <cellStyle name="Currency 5 5 7 2" xfId="6726" xr:uid="{00000000-0005-0000-0000-0000650D0000}"/>
    <cellStyle name="Currency 5 5 7 2 2" xfId="42244" xr:uid="{7495A89C-D9DF-4E05-A2C4-B5B3E5E3E8CE}"/>
    <cellStyle name="Currency 5 5 7 2 3" xfId="33797" xr:uid="{5012F8F5-75E5-4BA6-95B8-35755518178E}"/>
    <cellStyle name="Currency 5 5 7 2 4" xfId="25349" xr:uid="{2F0680F6-93E4-463D-A5A9-84E4EDE1C3EA}"/>
    <cellStyle name="Currency 5 5 7 2 5" xfId="16052" xr:uid="{0DA59E3A-AECE-4421-8BDF-D059E323174E}"/>
    <cellStyle name="Currency 5 5 7 3" xfId="38027" xr:uid="{D4E3AF8D-E4E5-437C-BC65-2D23FDDC8D6D}"/>
    <cellStyle name="Currency 5 5 7 4" xfId="29579" xr:uid="{704EFD9A-4792-4292-BE69-DC98E86EAD84}"/>
    <cellStyle name="Currency 5 5 7 5" xfId="21132" xr:uid="{57F5669F-4866-45D8-A03B-325EF58751B7}"/>
    <cellStyle name="Currency 5 5 7 6" xfId="11835" xr:uid="{6C0F88CD-3C0E-483C-A47E-AB31064B3C37}"/>
    <cellStyle name="Currency 5 5 8" xfId="2739" xr:uid="{00000000-0005-0000-0000-0000660D0000}"/>
    <cellStyle name="Currency 5 5 9" xfId="2820" xr:uid="{00000000-0005-0000-0000-0000670D0000}"/>
    <cellStyle name="Currency 5 5 9 2" xfId="7043" xr:uid="{00000000-0005-0000-0000-0000680D0000}"/>
    <cellStyle name="Currency 5 5 9 2 2" xfId="42561" xr:uid="{FC814DC2-A175-4842-AE09-E46B2E38BDCC}"/>
    <cellStyle name="Currency 5 5 9 2 3" xfId="34114" xr:uid="{43351469-D3B3-45D3-80B2-B8D20E5326E6}"/>
    <cellStyle name="Currency 5 5 9 2 4" xfId="25666" xr:uid="{5B997EED-716C-4729-B65E-5DE4CFAC30C1}"/>
    <cellStyle name="Currency 5 5 9 2 5" xfId="16369" xr:uid="{8C56BF6B-845E-4400-BC95-41B92BEE0339}"/>
    <cellStyle name="Currency 5 5 9 3" xfId="38344" xr:uid="{EC750E54-5D2B-4C4D-908F-76FD3BDCB3F4}"/>
    <cellStyle name="Currency 5 5 9 4" xfId="29896" xr:uid="{73B2A516-D72C-41B3-BEA5-CA412F5475DB}"/>
    <cellStyle name="Currency 5 5 9 5" xfId="21449" xr:uid="{E9D5F1B2-76A0-480B-A5C0-C98D06CC5A47}"/>
    <cellStyle name="Currency 5 5 9 6" xfId="12152" xr:uid="{C0DDF0B8-4636-444A-8842-C938B8F69728}"/>
    <cellStyle name="Currency 5 6" xfId="221" xr:uid="{00000000-0005-0000-0000-0000690D0000}"/>
    <cellStyle name="Currency 5 6 10" xfId="8966" xr:uid="{EC95BD1E-EAA8-4043-BDA7-06F3BBDBC3D5}"/>
    <cellStyle name="Currency 5 6 10 2" xfId="35963" xr:uid="{152D08AD-48A8-4AFA-83B6-0CB094081E05}"/>
    <cellStyle name="Currency 5 6 10 3" xfId="18289" xr:uid="{14A8BE9C-7A4F-4EE6-91D6-EB6CAACEA4DC}"/>
    <cellStyle name="Currency 5 6 11" xfId="27515" xr:uid="{07AED3CD-F8D0-42BA-8C14-55D1E39233ED}"/>
    <cellStyle name="Currency 5 6 12" xfId="19068" xr:uid="{368D2164-AC15-4CE7-B50D-2F331D8F9E40}"/>
    <cellStyle name="Currency 5 6 13" xfId="9771" xr:uid="{EB3A72C1-55F7-4D3B-8392-3C93A327AE4F}"/>
    <cellStyle name="Currency 5 6 2" xfId="747" xr:uid="{00000000-0005-0000-0000-00006A0D0000}"/>
    <cellStyle name="Currency 5 6 2 2" xfId="2999" xr:uid="{00000000-0005-0000-0000-00006B0D0000}"/>
    <cellStyle name="Currency 5 6 2 2 2" xfId="7221" xr:uid="{00000000-0005-0000-0000-00006C0D0000}"/>
    <cellStyle name="Currency 5 6 2 2 2 2" xfId="42739" xr:uid="{ACE5BE9B-4F92-411B-8987-1ED1B931E625}"/>
    <cellStyle name="Currency 5 6 2 2 2 3" xfId="34292" xr:uid="{854C0D71-C2D5-403F-9C33-F0A3E7E2BEB3}"/>
    <cellStyle name="Currency 5 6 2 2 2 4" xfId="25844" xr:uid="{1A187F06-477F-4CB1-A13F-D435A5AF4377}"/>
    <cellStyle name="Currency 5 6 2 2 2 5" xfId="16547" xr:uid="{3F78B228-A909-4534-8BC2-6F95BF9A5913}"/>
    <cellStyle name="Currency 5 6 2 2 3" xfId="38522" xr:uid="{DDF9B7B2-0870-4BA9-92A7-835F008897B5}"/>
    <cellStyle name="Currency 5 6 2 2 4" xfId="30074" xr:uid="{0746F444-368F-4353-8C08-85562D71AF91}"/>
    <cellStyle name="Currency 5 6 2 2 5" xfId="21627" xr:uid="{4DF3AFF8-2CE3-4CDD-AA12-B7E2F4A2989A}"/>
    <cellStyle name="Currency 5 6 2 2 6" xfId="12330" xr:uid="{6AE892BD-BBA2-473F-9254-4D33D8BCE0D0}"/>
    <cellStyle name="Currency 5 6 2 3" xfId="5076" xr:uid="{00000000-0005-0000-0000-00006D0D0000}"/>
    <cellStyle name="Currency 5 6 2 3 2" xfId="40594" xr:uid="{9E92C86F-2A4F-4ED7-9A1F-C370EE731ED4}"/>
    <cellStyle name="Currency 5 6 2 3 3" xfId="32147" xr:uid="{4B67AED8-8A5A-404B-B4FB-655241E40F26}"/>
    <cellStyle name="Currency 5 6 2 3 4" xfId="23699" xr:uid="{DFAF6141-E765-470C-A3B1-F5D62CEC5686}"/>
    <cellStyle name="Currency 5 6 2 3 5" xfId="14402" xr:uid="{ED0A302E-74E6-410D-9338-9E7CD2EC6F79}"/>
    <cellStyle name="Currency 5 6 2 4" xfId="9391" xr:uid="{8CBF3F74-51EC-4402-B96A-0759E6537FC7}"/>
    <cellStyle name="Currency 5 6 2 4 2" xfId="36377" xr:uid="{04B51BA4-FC61-40AD-9395-522B91682F6C}"/>
    <cellStyle name="Currency 5 6 2 4 3" xfId="18704" xr:uid="{3E85687F-8F87-4C60-8994-87502EA68021}"/>
    <cellStyle name="Currency 5 6 2 5" xfId="27929" xr:uid="{F19A75F5-BAE4-47E5-A699-AB956125645F}"/>
    <cellStyle name="Currency 5 6 2 6" xfId="19482" xr:uid="{BF1EB2BB-E9E4-4C0F-A752-519F360672C1}"/>
    <cellStyle name="Currency 5 6 2 7" xfId="10185" xr:uid="{DA7FC2FA-7E9A-418A-AD6A-7775ED66FB9F}"/>
    <cellStyle name="Currency 5 6 3" xfId="1181" xr:uid="{00000000-0005-0000-0000-00006E0D0000}"/>
    <cellStyle name="Currency 5 6 3 2" xfId="3412" xr:uid="{00000000-0005-0000-0000-00006F0D0000}"/>
    <cellStyle name="Currency 5 6 3 2 2" xfId="7634" xr:uid="{00000000-0005-0000-0000-0000700D0000}"/>
    <cellStyle name="Currency 5 6 3 2 2 2" xfId="43152" xr:uid="{6E793E58-9139-4BA0-9C16-4C8DE2F4E95D}"/>
    <cellStyle name="Currency 5 6 3 2 2 3" xfId="34705" xr:uid="{4ACD7673-921F-4288-BFA4-5181354B52F1}"/>
    <cellStyle name="Currency 5 6 3 2 2 4" xfId="26257" xr:uid="{3D17791F-F513-4EFF-9394-CF0197046AFD}"/>
    <cellStyle name="Currency 5 6 3 2 2 5" xfId="16960" xr:uid="{DA3BB6D0-0146-4714-BAEE-ACC48004AA86}"/>
    <cellStyle name="Currency 5 6 3 2 3" xfId="38935" xr:uid="{0E958237-FB90-4E85-9485-415B2CBB31F4}"/>
    <cellStyle name="Currency 5 6 3 2 4" xfId="30487" xr:uid="{0991519B-6806-4F57-A989-D22611951EC5}"/>
    <cellStyle name="Currency 5 6 3 2 5" xfId="22040" xr:uid="{8B65331E-9570-43D5-BDCB-318E8142C63B}"/>
    <cellStyle name="Currency 5 6 3 2 6" xfId="12743" xr:uid="{FB0D2837-AFA2-455C-9173-439F1C847FC3}"/>
    <cellStyle name="Currency 5 6 3 3" xfId="5489" xr:uid="{00000000-0005-0000-0000-0000710D0000}"/>
    <cellStyle name="Currency 5 6 3 3 2" xfId="41007" xr:uid="{265F65D4-D684-4343-AE41-B1B37C5B482F}"/>
    <cellStyle name="Currency 5 6 3 3 3" xfId="32560" xr:uid="{FA2313AC-3C3A-4EFC-854C-329DB0A66454}"/>
    <cellStyle name="Currency 5 6 3 3 4" xfId="24112" xr:uid="{45EF5C7D-A0E4-4F0D-B7DE-9CCAADC46E8D}"/>
    <cellStyle name="Currency 5 6 3 3 5" xfId="14815" xr:uid="{51A37711-6E18-4DE0-B018-355FA36C66AB}"/>
    <cellStyle name="Currency 5 6 3 4" xfId="36790" xr:uid="{32EAC2E2-756A-4484-91AA-93373541E6DE}"/>
    <cellStyle name="Currency 5 6 3 5" xfId="28342" xr:uid="{A5E4219A-376A-4F3B-91BB-138A27469EBF}"/>
    <cellStyle name="Currency 5 6 3 6" xfId="19895" xr:uid="{99C30416-A384-435F-9150-1A8EB7AEEFE2}"/>
    <cellStyle name="Currency 5 6 3 7" xfId="10598" xr:uid="{D6357A99-1D85-4342-BCE6-3FD601DE8141}"/>
    <cellStyle name="Currency 5 6 4" xfId="1595" xr:uid="{00000000-0005-0000-0000-0000720D0000}"/>
    <cellStyle name="Currency 5 6 4 2" xfId="3825" xr:uid="{00000000-0005-0000-0000-0000730D0000}"/>
    <cellStyle name="Currency 5 6 4 2 2" xfId="8047" xr:uid="{00000000-0005-0000-0000-0000740D0000}"/>
    <cellStyle name="Currency 5 6 4 2 2 2" xfId="43565" xr:uid="{03D6875C-9316-4702-9187-9FA8FA8F7B34}"/>
    <cellStyle name="Currency 5 6 4 2 2 3" xfId="35118" xr:uid="{7B80A66B-019F-47FB-B400-B5229A964B57}"/>
    <cellStyle name="Currency 5 6 4 2 2 4" xfId="26670" xr:uid="{C727C55C-17E1-428A-B34D-8E4644206C51}"/>
    <cellStyle name="Currency 5 6 4 2 2 5" xfId="17373" xr:uid="{93E21B9D-568D-4CEA-A686-EA0F1670689A}"/>
    <cellStyle name="Currency 5 6 4 2 3" xfId="39348" xr:uid="{AFC02FAC-5EFF-49CE-A846-93494C91BC3F}"/>
    <cellStyle name="Currency 5 6 4 2 4" xfId="30900" xr:uid="{BD48A785-64A0-43A6-BE29-32203D7C60FF}"/>
    <cellStyle name="Currency 5 6 4 2 5" xfId="22453" xr:uid="{325F442F-6D15-450A-92FA-E69095A81E44}"/>
    <cellStyle name="Currency 5 6 4 2 6" xfId="13156" xr:uid="{A1A5CF48-3A47-4CD0-89C3-2B6F730159CC}"/>
    <cellStyle name="Currency 5 6 4 3" xfId="5902" xr:uid="{00000000-0005-0000-0000-0000750D0000}"/>
    <cellStyle name="Currency 5 6 4 3 2" xfId="41420" xr:uid="{8238E89C-BBB5-4BCA-BBD8-43283596D736}"/>
    <cellStyle name="Currency 5 6 4 3 3" xfId="32973" xr:uid="{AEB3A76F-8981-4F87-BFF8-C1C67DEE9BF4}"/>
    <cellStyle name="Currency 5 6 4 3 4" xfId="24525" xr:uid="{6605AD76-5A5B-435F-861E-E2F88E944497}"/>
    <cellStyle name="Currency 5 6 4 3 5" xfId="15228" xr:uid="{36B4921C-6947-46A4-AE43-6E0D07C0190A}"/>
    <cellStyle name="Currency 5 6 4 4" xfId="37203" xr:uid="{6B651101-8D1E-4BF8-9159-F7857BFEA9F8}"/>
    <cellStyle name="Currency 5 6 4 5" xfId="28755" xr:uid="{7B95014E-C5F4-42F2-AD35-509DEE471D8D}"/>
    <cellStyle name="Currency 5 6 4 6" xfId="20308" xr:uid="{A1D3F055-091B-417E-91ED-43985BB5ACA5}"/>
    <cellStyle name="Currency 5 6 4 7" xfId="11011" xr:uid="{DF9EAC2D-EAA3-4693-9295-DC37C7A478E4}"/>
    <cellStyle name="Currency 5 6 5" xfId="2009" xr:uid="{00000000-0005-0000-0000-0000760D0000}"/>
    <cellStyle name="Currency 5 6 5 2" xfId="4238" xr:uid="{00000000-0005-0000-0000-0000770D0000}"/>
    <cellStyle name="Currency 5 6 5 2 2" xfId="8460" xr:uid="{00000000-0005-0000-0000-0000780D0000}"/>
    <cellStyle name="Currency 5 6 5 2 2 2" xfId="43978" xr:uid="{D4D7BACA-0472-4490-A4BC-D973ED49E0AF}"/>
    <cellStyle name="Currency 5 6 5 2 2 3" xfId="35531" xr:uid="{0CAC6811-9D19-4EE8-9F0E-134E60275023}"/>
    <cellStyle name="Currency 5 6 5 2 2 4" xfId="27083" xr:uid="{BFE8703B-1FF2-4738-A47C-466BB7DE47D4}"/>
    <cellStyle name="Currency 5 6 5 2 2 5" xfId="17786" xr:uid="{3B73B302-4677-4A75-B165-5656B7A2EFF2}"/>
    <cellStyle name="Currency 5 6 5 2 3" xfId="39761" xr:uid="{AF3F69A0-52ED-4B15-852F-A54E8CB6C795}"/>
    <cellStyle name="Currency 5 6 5 2 4" xfId="31313" xr:uid="{637766EB-B41C-48CA-A7A7-C3A4152AEDB9}"/>
    <cellStyle name="Currency 5 6 5 2 5" xfId="22866" xr:uid="{56404439-F629-416A-ABC5-0D67CF2E1DAA}"/>
    <cellStyle name="Currency 5 6 5 2 6" xfId="13569" xr:uid="{1BB76ED5-4159-4D24-A182-1642D0904D56}"/>
    <cellStyle name="Currency 5 6 5 3" xfId="6315" xr:uid="{00000000-0005-0000-0000-0000790D0000}"/>
    <cellStyle name="Currency 5 6 5 3 2" xfId="41833" xr:uid="{9803A9C1-0FA8-4952-8B11-DA6A962170D7}"/>
    <cellStyle name="Currency 5 6 5 3 3" xfId="33386" xr:uid="{2B424879-C1A1-4A11-BD59-DA9A6580B28B}"/>
    <cellStyle name="Currency 5 6 5 3 4" xfId="24938" xr:uid="{640A7C35-558D-4BC4-9788-36A474E5BE62}"/>
    <cellStyle name="Currency 5 6 5 3 5" xfId="15641" xr:uid="{8D3294FC-59BE-486E-B437-5390F96400DE}"/>
    <cellStyle name="Currency 5 6 5 4" xfId="37616" xr:uid="{88A8B57D-A9D8-499D-9D7C-EFF16FDF33CC}"/>
    <cellStyle name="Currency 5 6 5 5" xfId="29168" xr:uid="{DC3BCE0E-AC9E-4A95-ABA7-1B258224EB7A}"/>
    <cellStyle name="Currency 5 6 5 6" xfId="20721" xr:uid="{B3A694A7-4491-458B-8F6F-D5B48DB38AC0}"/>
    <cellStyle name="Currency 5 6 5 7" xfId="11424" xr:uid="{52F55081-6FCF-47AA-A848-4EAE9682CE97}"/>
    <cellStyle name="Currency 5 6 6" xfId="2444" xr:uid="{00000000-0005-0000-0000-00007A0D0000}"/>
    <cellStyle name="Currency 5 6 6 2" xfId="6728" xr:uid="{00000000-0005-0000-0000-00007B0D0000}"/>
    <cellStyle name="Currency 5 6 6 2 2" xfId="42246" xr:uid="{7CEBDFC4-38E6-41DA-A332-AA53A0376B24}"/>
    <cellStyle name="Currency 5 6 6 2 3" xfId="33799" xr:uid="{31985585-CA8F-449D-B683-BCCF092A998D}"/>
    <cellStyle name="Currency 5 6 6 2 4" xfId="25351" xr:uid="{2995D62A-AF1D-4032-9217-29D35798AA90}"/>
    <cellStyle name="Currency 5 6 6 2 5" xfId="16054" xr:uid="{E15C8C22-2E1E-40D7-AB04-8653B24DFD83}"/>
    <cellStyle name="Currency 5 6 6 3" xfId="38029" xr:uid="{C15A1315-5DA6-48CD-A490-A516704098BA}"/>
    <cellStyle name="Currency 5 6 6 4" xfId="29581" xr:uid="{664C1F7C-B878-4C19-8C9A-5B6D08177869}"/>
    <cellStyle name="Currency 5 6 6 5" xfId="21134" xr:uid="{D6F32E49-1D39-4F61-8D76-EC2319C148EB}"/>
    <cellStyle name="Currency 5 6 6 6" xfId="11837" xr:uid="{697098AF-6936-4630-A4F4-EE42696FF80C}"/>
    <cellStyle name="Currency 5 6 7" xfId="2741" xr:uid="{00000000-0005-0000-0000-00007C0D0000}"/>
    <cellStyle name="Currency 5 6 8" xfId="2822" xr:uid="{00000000-0005-0000-0000-00007D0D0000}"/>
    <cellStyle name="Currency 5 6 8 2" xfId="7045" xr:uid="{00000000-0005-0000-0000-00007E0D0000}"/>
    <cellStyle name="Currency 5 6 8 2 2" xfId="42563" xr:uid="{AFFCB570-6BFF-44F5-B1F1-EB35F7B88570}"/>
    <cellStyle name="Currency 5 6 8 2 3" xfId="34116" xr:uid="{AC3B0317-0687-4437-A3FE-80D709BD0256}"/>
    <cellStyle name="Currency 5 6 8 2 4" xfId="25668" xr:uid="{65A71049-53A0-43AC-9133-959E938F7396}"/>
    <cellStyle name="Currency 5 6 8 2 5" xfId="16371" xr:uid="{9D251091-D5C3-4995-8CEC-8731FAC4711F}"/>
    <cellStyle name="Currency 5 6 8 3" xfId="38346" xr:uid="{A4578B00-EAD0-4CFA-BBAC-E0BF90B78AFE}"/>
    <cellStyle name="Currency 5 6 8 4" xfId="29898" xr:uid="{095158E3-98D6-4FFD-82E5-A01DB61A3FEB}"/>
    <cellStyle name="Currency 5 6 8 5" xfId="21451" xr:uid="{DB6CF611-63B9-4FE6-9005-E8952F640DF5}"/>
    <cellStyle name="Currency 5 6 8 6" xfId="12154" xr:uid="{36A81018-3186-4FCA-A356-E2DFCCFFDB90}"/>
    <cellStyle name="Currency 5 6 9" xfId="4662" xr:uid="{00000000-0005-0000-0000-00007F0D0000}"/>
    <cellStyle name="Currency 5 6 9 2" xfId="40180" xr:uid="{9C1B3EAF-56D5-4035-99B0-B7FD313E398C}"/>
    <cellStyle name="Currency 5 6 9 3" xfId="31733" xr:uid="{0F05D73B-E34D-4BF9-B917-CAC7DD5B7DE9}"/>
    <cellStyle name="Currency 5 6 9 4" xfId="23285" xr:uid="{BBB4F0E4-6A21-49D0-BE26-EE69518287EE}"/>
    <cellStyle name="Currency 5 6 9 5" xfId="13988" xr:uid="{C838D4D2-39DA-4AC8-8B1D-4EE75F0F6A52}"/>
    <cellStyle name="Currency 5 7" xfId="222" xr:uid="{00000000-0005-0000-0000-0000800D0000}"/>
    <cellStyle name="Currency 5 7 10" xfId="9169" xr:uid="{7A886DE7-136A-429E-90E2-A7C712D111D8}"/>
    <cellStyle name="Currency 5 7 10 2" xfId="35964" xr:uid="{BE74116F-F184-4F1A-87B5-6B5B7261FA58}"/>
    <cellStyle name="Currency 5 7 10 3" xfId="18485" xr:uid="{4AB9B5A9-D63B-409D-800C-3883C3695C58}"/>
    <cellStyle name="Currency 5 7 11" xfId="27516" xr:uid="{E2138E1D-099D-4957-BD40-7B336AD295D2}"/>
    <cellStyle name="Currency 5 7 12" xfId="19069" xr:uid="{6F5DAAD1-B9A7-4607-8FC3-5D9A9CE67078}"/>
    <cellStyle name="Currency 5 7 13" xfId="9772" xr:uid="{08174A6A-906E-41C1-9A00-166F811B72CD}"/>
    <cellStyle name="Currency 5 7 2" xfId="748" xr:uid="{00000000-0005-0000-0000-0000810D0000}"/>
    <cellStyle name="Currency 5 7 2 2" xfId="3000" xr:uid="{00000000-0005-0000-0000-0000820D0000}"/>
    <cellStyle name="Currency 5 7 2 2 2" xfId="7222" xr:uid="{00000000-0005-0000-0000-0000830D0000}"/>
    <cellStyle name="Currency 5 7 2 2 2 2" xfId="42740" xr:uid="{46EE3889-B5F6-4038-A17A-FC6415B9219B}"/>
    <cellStyle name="Currency 5 7 2 2 2 3" xfId="34293" xr:uid="{6B4F288A-812C-45DE-AC32-C8325928C3BF}"/>
    <cellStyle name="Currency 5 7 2 2 2 4" xfId="25845" xr:uid="{0B8170CD-5AB0-4C0A-AA04-70FFE0E109B8}"/>
    <cellStyle name="Currency 5 7 2 2 2 5" xfId="16548" xr:uid="{10175225-CA54-4869-A82B-6F7378C76356}"/>
    <cellStyle name="Currency 5 7 2 2 3" xfId="38523" xr:uid="{6654840E-086B-4FC2-88C6-26054DF95C8F}"/>
    <cellStyle name="Currency 5 7 2 2 4" xfId="30075" xr:uid="{C922648A-9991-4C2D-B653-925CD3540BC8}"/>
    <cellStyle name="Currency 5 7 2 2 5" xfId="21628" xr:uid="{93594E46-B1AB-41D2-9146-697B10158076}"/>
    <cellStyle name="Currency 5 7 2 2 6" xfId="12331" xr:uid="{B5ACC01C-10A2-433D-9E0D-C1807916B7CF}"/>
    <cellStyle name="Currency 5 7 2 3" xfId="5077" xr:uid="{00000000-0005-0000-0000-0000840D0000}"/>
    <cellStyle name="Currency 5 7 2 3 2" xfId="40595" xr:uid="{1F9A3A2B-B611-45A8-BB3B-FE4621C5BE61}"/>
    <cellStyle name="Currency 5 7 2 3 3" xfId="32148" xr:uid="{3BAD05A0-9B41-4650-90FD-06CCB778A076}"/>
    <cellStyle name="Currency 5 7 2 3 4" xfId="23700" xr:uid="{29EE21B9-33B0-4421-9490-0A8B4558E82D}"/>
    <cellStyle name="Currency 5 7 2 3 5" xfId="14403" xr:uid="{54852255-C69D-48AF-9786-0857276BF66E}"/>
    <cellStyle name="Currency 5 7 2 4" xfId="9601" xr:uid="{DC93A830-0AF1-4EC4-B764-C728922F3FEF}"/>
    <cellStyle name="Currency 5 7 2 4 2" xfId="36378" xr:uid="{07C6E7BD-D52A-41C1-9CC6-A1ABE7B72F60}"/>
    <cellStyle name="Currency 5 7 2 4 3" xfId="18903" xr:uid="{584466ED-6F2C-4FD5-BE73-36FBCCEE43D4}"/>
    <cellStyle name="Currency 5 7 2 5" xfId="27930" xr:uid="{DF016A5D-CA77-425A-9E5A-4CFB62547E35}"/>
    <cellStyle name="Currency 5 7 2 6" xfId="19483" xr:uid="{EDD13E03-DCFE-4C17-BEE9-334DE056D4F1}"/>
    <cellStyle name="Currency 5 7 2 7" xfId="10186" xr:uid="{7127970C-969B-4E1D-BBA4-2C56FA4BC76E}"/>
    <cellStyle name="Currency 5 7 3" xfId="1182" xr:uid="{00000000-0005-0000-0000-0000850D0000}"/>
    <cellStyle name="Currency 5 7 3 2" xfId="3413" xr:uid="{00000000-0005-0000-0000-0000860D0000}"/>
    <cellStyle name="Currency 5 7 3 2 2" xfId="7635" xr:uid="{00000000-0005-0000-0000-0000870D0000}"/>
    <cellStyle name="Currency 5 7 3 2 2 2" xfId="43153" xr:uid="{C944F6F3-8E95-4370-98D4-8349A2949BD8}"/>
    <cellStyle name="Currency 5 7 3 2 2 3" xfId="34706" xr:uid="{3F5EA774-AA60-4B3A-A7EF-6E8AF5515800}"/>
    <cellStyle name="Currency 5 7 3 2 2 4" xfId="26258" xr:uid="{250B95CC-CC5F-4E8B-8D4B-D575FEF043D3}"/>
    <cellStyle name="Currency 5 7 3 2 2 5" xfId="16961" xr:uid="{EB5D1ACC-EB1B-4EFB-A505-A210A505F1AF}"/>
    <cellStyle name="Currency 5 7 3 2 3" xfId="38936" xr:uid="{F9D63E3E-F45B-4229-9CD3-96F50D06AD9C}"/>
    <cellStyle name="Currency 5 7 3 2 4" xfId="30488" xr:uid="{186B4B9C-DB46-4020-B437-23BAFC03820E}"/>
    <cellStyle name="Currency 5 7 3 2 5" xfId="22041" xr:uid="{38F645E9-76FC-4465-87F6-8EB18B766AE9}"/>
    <cellStyle name="Currency 5 7 3 2 6" xfId="12744" xr:uid="{D67D3907-9719-4447-8277-15B05A1B6CD4}"/>
    <cellStyle name="Currency 5 7 3 3" xfId="5490" xr:uid="{00000000-0005-0000-0000-0000880D0000}"/>
    <cellStyle name="Currency 5 7 3 3 2" xfId="41008" xr:uid="{8CC71331-D404-49E5-A9DD-371B73275659}"/>
    <cellStyle name="Currency 5 7 3 3 3" xfId="32561" xr:uid="{E2F79359-7F67-4A9D-9EEF-579F30F88AEC}"/>
    <cellStyle name="Currency 5 7 3 3 4" xfId="24113" xr:uid="{185B4B90-A4DF-4D1E-9F29-2E863C8F27FF}"/>
    <cellStyle name="Currency 5 7 3 3 5" xfId="14816" xr:uid="{A9EFEDAE-DE32-4312-B175-BBCCF3C27A79}"/>
    <cellStyle name="Currency 5 7 3 4" xfId="36791" xr:uid="{0CCC20EA-31E5-4F47-81BE-DCF23BCBF390}"/>
    <cellStyle name="Currency 5 7 3 5" xfId="28343" xr:uid="{BBD53238-36A2-4842-A38F-CC1B2EC17727}"/>
    <cellStyle name="Currency 5 7 3 6" xfId="19896" xr:uid="{46D527B0-212E-4B53-8DF8-78EE1BFE18FA}"/>
    <cellStyle name="Currency 5 7 3 7" xfId="10599" xr:uid="{167477BE-D833-46E3-BB3A-D01A902293CA}"/>
    <cellStyle name="Currency 5 7 4" xfId="1596" xr:uid="{00000000-0005-0000-0000-0000890D0000}"/>
    <cellStyle name="Currency 5 7 4 2" xfId="3826" xr:uid="{00000000-0005-0000-0000-00008A0D0000}"/>
    <cellStyle name="Currency 5 7 4 2 2" xfId="8048" xr:uid="{00000000-0005-0000-0000-00008B0D0000}"/>
    <cellStyle name="Currency 5 7 4 2 2 2" xfId="43566" xr:uid="{C4AFF823-3F23-4B16-95CA-546909E98929}"/>
    <cellStyle name="Currency 5 7 4 2 2 3" xfId="35119" xr:uid="{87F28443-C6C2-4D9F-81F2-95B9CEDBE143}"/>
    <cellStyle name="Currency 5 7 4 2 2 4" xfId="26671" xr:uid="{E9DFE841-96B2-45E4-B4D4-25410E1051E3}"/>
    <cellStyle name="Currency 5 7 4 2 2 5" xfId="17374" xr:uid="{32BBB32F-8D41-40D0-B3CA-C503B759E3F3}"/>
    <cellStyle name="Currency 5 7 4 2 3" xfId="39349" xr:uid="{455381E8-7159-40EC-AF45-FE2046FE36DF}"/>
    <cellStyle name="Currency 5 7 4 2 4" xfId="30901" xr:uid="{DD6FBD22-F359-4ED8-8CD4-4013CE9CEE06}"/>
    <cellStyle name="Currency 5 7 4 2 5" xfId="22454" xr:uid="{25E71629-A3E5-4FC3-8D6C-8ED999FEA1F9}"/>
    <cellStyle name="Currency 5 7 4 2 6" xfId="13157" xr:uid="{819342E6-D925-4100-A4DD-A4C6B67E86AB}"/>
    <cellStyle name="Currency 5 7 4 3" xfId="5903" xr:uid="{00000000-0005-0000-0000-00008C0D0000}"/>
    <cellStyle name="Currency 5 7 4 3 2" xfId="41421" xr:uid="{E5E80497-2423-4889-B1FC-9F06A89F399F}"/>
    <cellStyle name="Currency 5 7 4 3 3" xfId="32974" xr:uid="{0CF13BB0-C751-4B5B-9728-1E6B774EA1D4}"/>
    <cellStyle name="Currency 5 7 4 3 4" xfId="24526" xr:uid="{5D2AF06F-540C-4212-A9CC-088EA318C6CB}"/>
    <cellStyle name="Currency 5 7 4 3 5" xfId="15229" xr:uid="{F077C6FA-0216-4F67-92CF-BF6775457443}"/>
    <cellStyle name="Currency 5 7 4 4" xfId="37204" xr:uid="{C62F1103-0981-490B-89D2-858503C773F6}"/>
    <cellStyle name="Currency 5 7 4 5" xfId="28756" xr:uid="{24935C10-3A4A-414E-933E-0E29FB8904D5}"/>
    <cellStyle name="Currency 5 7 4 6" xfId="20309" xr:uid="{D4494F88-1D52-4BC8-948B-32DBBEC199BB}"/>
    <cellStyle name="Currency 5 7 4 7" xfId="11012" xr:uid="{A424545A-F094-479E-963E-43B12FE26DD0}"/>
    <cellStyle name="Currency 5 7 5" xfId="2010" xr:uid="{00000000-0005-0000-0000-00008D0D0000}"/>
    <cellStyle name="Currency 5 7 5 2" xfId="4239" xr:uid="{00000000-0005-0000-0000-00008E0D0000}"/>
    <cellStyle name="Currency 5 7 5 2 2" xfId="8461" xr:uid="{00000000-0005-0000-0000-00008F0D0000}"/>
    <cellStyle name="Currency 5 7 5 2 2 2" xfId="43979" xr:uid="{7D7FBC7A-920D-4D72-8C93-20AC518D9C84}"/>
    <cellStyle name="Currency 5 7 5 2 2 3" xfId="35532" xr:uid="{D22538D5-8D41-4414-B220-0CA0C870A8BD}"/>
    <cellStyle name="Currency 5 7 5 2 2 4" xfId="27084" xr:uid="{4C3F52BC-5D45-47B1-BD87-63DCEB073333}"/>
    <cellStyle name="Currency 5 7 5 2 2 5" xfId="17787" xr:uid="{357B38EF-5A19-49E1-A549-3DF3F91F3B52}"/>
    <cellStyle name="Currency 5 7 5 2 3" xfId="39762" xr:uid="{ED8EB89C-523D-45AD-BEEC-B05DAEE0B124}"/>
    <cellStyle name="Currency 5 7 5 2 4" xfId="31314" xr:uid="{03339F46-3FF9-4FFA-84C0-A3B29A161FB1}"/>
    <cellStyle name="Currency 5 7 5 2 5" xfId="22867" xr:uid="{182D0B36-CD46-4306-A247-B424699BFA81}"/>
    <cellStyle name="Currency 5 7 5 2 6" xfId="13570" xr:uid="{A36C0D18-6FA7-416D-B6F2-2B816D16DDFF}"/>
    <cellStyle name="Currency 5 7 5 3" xfId="6316" xr:uid="{00000000-0005-0000-0000-0000900D0000}"/>
    <cellStyle name="Currency 5 7 5 3 2" xfId="41834" xr:uid="{220BF85E-524E-4044-83C1-CB59A6BCA696}"/>
    <cellStyle name="Currency 5 7 5 3 3" xfId="33387" xr:uid="{1BA6F46C-5D1F-42AE-A62F-F7CA9DE64CD4}"/>
    <cellStyle name="Currency 5 7 5 3 4" xfId="24939" xr:uid="{1E7E0B72-976D-43EC-9B44-12240B45B9FE}"/>
    <cellStyle name="Currency 5 7 5 3 5" xfId="15642" xr:uid="{B0007791-6737-4427-AA1E-AED666CC794B}"/>
    <cellStyle name="Currency 5 7 5 4" xfId="37617" xr:uid="{8AD83D22-5441-4506-9415-E1832C67ACEA}"/>
    <cellStyle name="Currency 5 7 5 5" xfId="29169" xr:uid="{421A1D0F-1530-46E0-86B1-DFE76D296CDD}"/>
    <cellStyle name="Currency 5 7 5 6" xfId="20722" xr:uid="{1AE62BB7-1579-4182-9F96-2BBE7849D156}"/>
    <cellStyle name="Currency 5 7 5 7" xfId="11425" xr:uid="{F66618E1-F99C-49BC-9B9B-924ED7B3473B}"/>
    <cellStyle name="Currency 5 7 6" xfId="2445" xr:uid="{00000000-0005-0000-0000-0000910D0000}"/>
    <cellStyle name="Currency 5 7 6 2" xfId="6729" xr:uid="{00000000-0005-0000-0000-0000920D0000}"/>
    <cellStyle name="Currency 5 7 6 2 2" xfId="42247" xr:uid="{39A7F8CE-827B-42E7-A1EF-9C42558DAB90}"/>
    <cellStyle name="Currency 5 7 6 2 3" xfId="33800" xr:uid="{7C12C63E-23FA-438F-913F-4B38EE3E32EE}"/>
    <cellStyle name="Currency 5 7 6 2 4" xfId="25352" xr:uid="{D81EC808-A249-4412-9C55-EF0DEB6766FA}"/>
    <cellStyle name="Currency 5 7 6 2 5" xfId="16055" xr:uid="{BAE829AA-02BD-4251-9F5F-44FADE1C28A3}"/>
    <cellStyle name="Currency 5 7 6 3" xfId="38030" xr:uid="{FFEA126C-C3DE-4FDB-A072-BF3B739A4D8A}"/>
    <cellStyle name="Currency 5 7 6 4" xfId="29582" xr:uid="{7308519F-FEF5-4417-A5B9-44A989813796}"/>
    <cellStyle name="Currency 5 7 6 5" xfId="21135" xr:uid="{86C0FED3-55B2-4B65-B6E1-2D7F2E1B6602}"/>
    <cellStyle name="Currency 5 7 6 6" xfId="11838" xr:uid="{3270116D-188A-44E2-8DE3-26CD9F00142F}"/>
    <cellStyle name="Currency 5 7 7" xfId="2742" xr:uid="{00000000-0005-0000-0000-0000930D0000}"/>
    <cellStyle name="Currency 5 7 8" xfId="2823" xr:uid="{00000000-0005-0000-0000-0000940D0000}"/>
    <cellStyle name="Currency 5 7 8 2" xfId="7046" xr:uid="{00000000-0005-0000-0000-0000950D0000}"/>
    <cellStyle name="Currency 5 7 8 2 2" xfId="42564" xr:uid="{358DA57B-6F1F-4F1D-8F11-A72F4C64D4CE}"/>
    <cellStyle name="Currency 5 7 8 2 3" xfId="34117" xr:uid="{1CA9CA21-9ED4-40F3-9C0F-9E6DB9E44210}"/>
    <cellStyle name="Currency 5 7 8 2 4" xfId="25669" xr:uid="{F0D59DC8-7603-42B7-9A16-7F5E2061591F}"/>
    <cellStyle name="Currency 5 7 8 2 5" xfId="16372" xr:uid="{37755635-F147-4EBF-B633-931A4F4DBB10}"/>
    <cellStyle name="Currency 5 7 8 3" xfId="38347" xr:uid="{869CBADC-A68C-40C4-91EF-E80AA2D0FA90}"/>
    <cellStyle name="Currency 5 7 8 4" xfId="29899" xr:uid="{E50AE984-C8CB-40EB-A13F-56ED4600E3EA}"/>
    <cellStyle name="Currency 5 7 8 5" xfId="21452" xr:uid="{C788858C-195E-4E38-8C5C-AC1A02B6C8A6}"/>
    <cellStyle name="Currency 5 7 8 6" xfId="12155" xr:uid="{821B6EDE-232C-4349-A36C-D5497168CAD1}"/>
    <cellStyle name="Currency 5 7 9" xfId="4663" xr:uid="{00000000-0005-0000-0000-0000960D0000}"/>
    <cellStyle name="Currency 5 7 9 2" xfId="40181" xr:uid="{0196B48C-863A-425F-9719-BD438CA573FF}"/>
    <cellStyle name="Currency 5 7 9 3" xfId="31734" xr:uid="{6F9FBA5B-71D8-4667-9802-1DCBB0A3FAC9}"/>
    <cellStyle name="Currency 5 7 9 4" xfId="23286" xr:uid="{602C32B4-6617-4DDF-AA80-C82C4496D861}"/>
    <cellStyle name="Currency 5 7 9 5" xfId="13989" xr:uid="{27CFDCBD-5A0C-4B92-BAAC-701E2327B305}"/>
    <cellStyle name="Currency 5 8" xfId="721" xr:uid="{00000000-0005-0000-0000-0000970D0000}"/>
    <cellStyle name="Currency 5 9" xfId="8747" xr:uid="{CCFF1C6E-BA46-44B7-A8DD-B170160D04FF}"/>
    <cellStyle name="Currency 5 9 2" xfId="18070" xr:uid="{F7777D2A-948E-4285-AD01-7E578AB69119}"/>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42248" xr:uid="{A54E9836-EB60-42F3-8BB9-F6D311222C83}"/>
    <cellStyle name="Normal 12 10 2 3" xfId="33801" xr:uid="{2983EB18-B9D7-41D9-91F1-4DAEF18750D2}"/>
    <cellStyle name="Normal 12 10 2 4" xfId="25353" xr:uid="{1145EB93-D2C9-43F7-AFCC-5354C80C7D79}"/>
    <cellStyle name="Normal 12 10 2 5" xfId="16056" xr:uid="{63A7A1CD-6C63-4F69-87BC-279651232D77}"/>
    <cellStyle name="Normal 12 10 3" xfId="38031" xr:uid="{67AB1777-0CB6-49E8-B514-1638F44A35E4}"/>
    <cellStyle name="Normal 12 10 4" xfId="29583" xr:uid="{E6BEB69C-637F-46F2-8BF1-FB8CB0038014}"/>
    <cellStyle name="Normal 12 10 5" xfId="21136" xr:uid="{6633A167-0113-40DC-AAC4-96D8185A3BA0}"/>
    <cellStyle name="Normal 12 10 6" xfId="11839" xr:uid="{56C53149-1190-4B2C-9E8D-B7FBD465E7CF}"/>
    <cellStyle name="Normal 12 11" xfId="4664" xr:uid="{00000000-0005-0000-0000-0000CC0D0000}"/>
    <cellStyle name="Normal 12 11 2" xfId="40182" xr:uid="{37710FFB-EDFF-49DA-A07E-B08B34C5FBC9}"/>
    <cellStyle name="Normal 12 11 3" xfId="31735" xr:uid="{F24561F7-B88E-4DAD-BD42-DFE375C21F31}"/>
    <cellStyle name="Normal 12 11 4" xfId="23287" xr:uid="{7EEF74D3-77A4-465E-9FCA-D50AC657AD86}"/>
    <cellStyle name="Normal 12 11 5" xfId="13990" xr:uid="{61D810CF-E7EE-451C-A76A-158ADE96C125}"/>
    <cellStyle name="Normal 12 12" xfId="8770" xr:uid="{16E7F001-A88D-4413-825E-78352A31064A}"/>
    <cellStyle name="Normal 12 12 2" xfId="35965" xr:uid="{3E42655A-3798-4C23-B15E-D5D2E4B12E56}"/>
    <cellStyle name="Normal 12 12 3" xfId="18093" xr:uid="{4A2C4431-3B05-4531-A4EF-8E6DBDB9A39E}"/>
    <cellStyle name="Normal 12 13" xfId="27517" xr:uid="{AFAC99BB-7E22-4843-A2E3-7389CF87EF90}"/>
    <cellStyle name="Normal 12 14" xfId="19070" xr:uid="{646ADB69-2791-4CC0-9F0C-B1377D597E21}"/>
    <cellStyle name="Normal 12 15" xfId="9773" xr:uid="{821ED881-68E0-4FC8-B982-2104940B5290}"/>
    <cellStyle name="Normal 12 2" xfId="260" xr:uid="{00000000-0005-0000-0000-0000CD0D0000}"/>
    <cellStyle name="Normal 12 2 10" xfId="8811" xr:uid="{C610EFA7-DF28-475D-A7AA-61B6675A083B}"/>
    <cellStyle name="Normal 12 2 10 2" xfId="35966" xr:uid="{B917CB11-148E-4E34-A4E8-E713EFA92289}"/>
    <cellStyle name="Normal 12 2 10 3" xfId="18134" xr:uid="{AF111A2E-4656-4911-BE27-5D3E6B043445}"/>
    <cellStyle name="Normal 12 2 11" xfId="27518" xr:uid="{F60FE559-2D65-4D9D-9E7A-245EE05A693C}"/>
    <cellStyle name="Normal 12 2 12" xfId="19071" xr:uid="{64F5576A-08D6-4143-BBD6-DE43B025B74E}"/>
    <cellStyle name="Normal 12 2 13" xfId="9774" xr:uid="{611D7950-9444-45A9-8CBF-4C43C93F8936}"/>
    <cellStyle name="Normal 12 2 2" xfId="261" xr:uid="{00000000-0005-0000-0000-0000CE0D0000}"/>
    <cellStyle name="Normal 12 2 2 10" xfId="27519" xr:uid="{89A389AF-BD09-4837-9BFB-D34F807504AD}"/>
    <cellStyle name="Normal 12 2 2 11" xfId="19072" xr:uid="{22C1C5E5-0C06-4CB5-A08B-57EBF7E84BE8}"/>
    <cellStyle name="Normal 12 2 2 12" xfId="9775" xr:uid="{47C746E1-E7FC-41B7-971D-C28E125712EA}"/>
    <cellStyle name="Normal 12 2 2 2" xfId="262" xr:uid="{00000000-0005-0000-0000-0000CF0D0000}"/>
    <cellStyle name="Normal 12 2 2 2 10" xfId="19073" xr:uid="{ADB18613-F49A-4C0F-A3A0-50376FF5B3DA}"/>
    <cellStyle name="Normal 12 2 2 2 11" xfId="9776" xr:uid="{B4A3DAF6-6AB6-444B-9345-34FB3DD0ACB4}"/>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42744" xr:uid="{8FD8314F-B66B-47CF-B6F4-3DED00EA8B75}"/>
    <cellStyle name="Normal 12 2 2 2 2 2 2 3" xfId="34297" xr:uid="{1EDC68A9-24CF-4CFC-9987-BC17ADC66FB6}"/>
    <cellStyle name="Normal 12 2 2 2 2 2 2 4" xfId="25849" xr:uid="{D8490207-1249-40B0-8948-D3FB48F48955}"/>
    <cellStyle name="Normal 12 2 2 2 2 2 2 5" xfId="16552" xr:uid="{E48CB836-F499-4BAE-863D-87528C745AF0}"/>
    <cellStyle name="Normal 12 2 2 2 2 2 3" xfId="38527" xr:uid="{10C946C5-6442-498D-812D-EB5B1B98C191}"/>
    <cellStyle name="Normal 12 2 2 2 2 2 4" xfId="30079" xr:uid="{2FB6716C-DA15-4D5A-8C11-4FBD352CA7A6}"/>
    <cellStyle name="Normal 12 2 2 2 2 2 5" xfId="21632" xr:uid="{FBF52C36-9401-4A20-A835-3D99B666DC0B}"/>
    <cellStyle name="Normal 12 2 2 2 2 2 6" xfId="12335" xr:uid="{158EA4B6-8EF5-4D7D-B4B8-BCFA3C63391D}"/>
    <cellStyle name="Normal 12 2 2 2 2 3" xfId="5081" xr:uid="{00000000-0005-0000-0000-0000D30D0000}"/>
    <cellStyle name="Normal 12 2 2 2 2 3 2" xfId="40599" xr:uid="{C8941991-90B7-4AD0-AD2A-AD069801368D}"/>
    <cellStyle name="Normal 12 2 2 2 2 3 3" xfId="32152" xr:uid="{EF6459F6-4FBF-42B6-AC1D-D4DAA7449423}"/>
    <cellStyle name="Normal 12 2 2 2 2 3 4" xfId="23704" xr:uid="{42AA67D8-E827-47B8-BF96-B23D7226332D}"/>
    <cellStyle name="Normal 12 2 2 2 2 3 5" xfId="14407" xr:uid="{B74215AC-DAC7-4E91-9361-4C1BD0179646}"/>
    <cellStyle name="Normal 12 2 2 2 2 4" xfId="9546" xr:uid="{609DE280-4DA3-4355-9F1C-9E01708347EA}"/>
    <cellStyle name="Normal 12 2 2 2 2 4 2" xfId="36382" xr:uid="{EA373E00-B159-4426-B245-2B3AE8E1EA7C}"/>
    <cellStyle name="Normal 12 2 2 2 2 4 3" xfId="18859" xr:uid="{DD2CA278-F322-447F-AF42-705FE76EABF4}"/>
    <cellStyle name="Normal 12 2 2 2 2 5" xfId="27934" xr:uid="{200B2BD4-5637-4244-B351-1F0C95BDA660}"/>
    <cellStyle name="Normal 12 2 2 2 2 6" xfId="19487" xr:uid="{D63555E5-D190-4E2B-BC6B-53BC68228599}"/>
    <cellStyle name="Normal 12 2 2 2 2 7" xfId="10190" xr:uid="{C6B83E5C-253B-4E42-87B2-770934AEAE34}"/>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43157" xr:uid="{A57070E1-6048-4A86-913C-3A3687828EB4}"/>
    <cellStyle name="Normal 12 2 2 2 3 2 2 3" xfId="34710" xr:uid="{3578EBBA-8095-4C86-85ED-A04D641949CA}"/>
    <cellStyle name="Normal 12 2 2 2 3 2 2 4" xfId="26262" xr:uid="{CB9D56B3-5371-4D34-9D04-F5DA2AD94603}"/>
    <cellStyle name="Normal 12 2 2 2 3 2 2 5" xfId="16965" xr:uid="{01338121-3D0C-4129-BA98-E4108DC7E1BB}"/>
    <cellStyle name="Normal 12 2 2 2 3 2 3" xfId="38940" xr:uid="{EDFEDE72-5B21-467B-AF3B-D2E46C0448F2}"/>
    <cellStyle name="Normal 12 2 2 2 3 2 4" xfId="30492" xr:uid="{EF9FF11F-8096-47A5-AF79-866A57C175D3}"/>
    <cellStyle name="Normal 12 2 2 2 3 2 5" xfId="22045" xr:uid="{73B251A5-394E-4101-ADEA-6825E294B9C4}"/>
    <cellStyle name="Normal 12 2 2 2 3 2 6" xfId="12748" xr:uid="{4A5E978F-C48F-421B-AC41-62C1682996FA}"/>
    <cellStyle name="Normal 12 2 2 2 3 3" xfId="5494" xr:uid="{00000000-0005-0000-0000-0000D70D0000}"/>
    <cellStyle name="Normal 12 2 2 2 3 3 2" xfId="41012" xr:uid="{88A10372-1945-44E2-B6CB-AD03621B66D0}"/>
    <cellStyle name="Normal 12 2 2 2 3 3 3" xfId="32565" xr:uid="{DB95A1B4-0B5F-44D7-BD3C-1517A7DAB96F}"/>
    <cellStyle name="Normal 12 2 2 2 3 3 4" xfId="24117" xr:uid="{373A7019-9EB1-4F5D-9057-69CD562BF86A}"/>
    <cellStyle name="Normal 12 2 2 2 3 3 5" xfId="14820" xr:uid="{1BDB71C2-3D4F-4928-8F49-3A2E5116DD65}"/>
    <cellStyle name="Normal 12 2 2 2 3 4" xfId="36795" xr:uid="{6B4DEA2C-0C34-4610-8DDD-863F129E9959}"/>
    <cellStyle name="Normal 12 2 2 2 3 5" xfId="28347" xr:uid="{83E1ACC0-6AA5-466D-BFD5-B1C25EDA12A4}"/>
    <cellStyle name="Normal 12 2 2 2 3 6" xfId="19900" xr:uid="{ADEADC44-97BF-4CC2-B607-E8BFCE819C69}"/>
    <cellStyle name="Normal 12 2 2 2 3 7" xfId="10603" xr:uid="{72269207-CFB7-4987-89D0-50A29EFE521B}"/>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43570" xr:uid="{7E52C213-BB1C-45CF-9028-D5FC26217090}"/>
    <cellStyle name="Normal 12 2 2 2 4 2 2 3" xfId="35123" xr:uid="{2556BF48-2B90-4938-99DF-FD0E9273704B}"/>
    <cellStyle name="Normal 12 2 2 2 4 2 2 4" xfId="26675" xr:uid="{81E33600-B52C-45C8-A50A-C584FA86421F}"/>
    <cellStyle name="Normal 12 2 2 2 4 2 2 5" xfId="17378" xr:uid="{E67D2B8C-152C-47AC-87FA-4F0EE9BC576C}"/>
    <cellStyle name="Normal 12 2 2 2 4 2 3" xfId="39353" xr:uid="{EBFF5220-509D-43F1-AB1F-C7A2109DBF33}"/>
    <cellStyle name="Normal 12 2 2 2 4 2 4" xfId="30905" xr:uid="{B479B451-91B0-4652-BBBD-BDD8775B4627}"/>
    <cellStyle name="Normal 12 2 2 2 4 2 5" xfId="22458" xr:uid="{008DAEAD-5BDF-411B-8F4F-588BA05EA46E}"/>
    <cellStyle name="Normal 12 2 2 2 4 2 6" xfId="13161" xr:uid="{815A4A38-DB7C-4DA5-A846-24DF56E31C97}"/>
    <cellStyle name="Normal 12 2 2 2 4 3" xfId="5907" xr:uid="{00000000-0005-0000-0000-0000DB0D0000}"/>
    <cellStyle name="Normal 12 2 2 2 4 3 2" xfId="41425" xr:uid="{7555604A-0FA1-4324-8F2C-E727470E8FE2}"/>
    <cellStyle name="Normal 12 2 2 2 4 3 3" xfId="32978" xr:uid="{D6206155-E245-4877-8D16-4A7D3FF2DB98}"/>
    <cellStyle name="Normal 12 2 2 2 4 3 4" xfId="24530" xr:uid="{35A8D4B5-6FA9-4DD5-A94B-FF10D504A08A}"/>
    <cellStyle name="Normal 12 2 2 2 4 3 5" xfId="15233" xr:uid="{DF93246A-FB84-4AEF-AA58-A88FBE6AC4B5}"/>
    <cellStyle name="Normal 12 2 2 2 4 4" xfId="37208" xr:uid="{D3982378-9C35-4FB5-A5AA-C6DA7D751E1A}"/>
    <cellStyle name="Normal 12 2 2 2 4 5" xfId="28760" xr:uid="{28D413F7-E21F-4536-9867-F5D40F5DBBC9}"/>
    <cellStyle name="Normal 12 2 2 2 4 6" xfId="20313" xr:uid="{263D207F-3D30-4FEA-B94C-B9B68E90268E}"/>
    <cellStyle name="Normal 12 2 2 2 4 7" xfId="11016" xr:uid="{EF098596-5FC6-4090-9BCE-B5BD639E6DE1}"/>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43983" xr:uid="{A149C62C-A559-4CE4-A2F5-CA2CE9F6AD34}"/>
    <cellStyle name="Normal 12 2 2 2 5 2 2 3" xfId="35536" xr:uid="{3F178080-2AAF-4DA3-962B-56523E27580A}"/>
    <cellStyle name="Normal 12 2 2 2 5 2 2 4" xfId="27088" xr:uid="{6718C634-0DAD-43C3-80AA-CACCDE59D7C8}"/>
    <cellStyle name="Normal 12 2 2 2 5 2 2 5" xfId="17791" xr:uid="{F24F9DDB-BE0B-4865-8613-F4A359EF6498}"/>
    <cellStyle name="Normal 12 2 2 2 5 2 3" xfId="39766" xr:uid="{2E03859B-5B86-483F-B761-730378E262CA}"/>
    <cellStyle name="Normal 12 2 2 2 5 2 4" xfId="31318" xr:uid="{9A057148-0213-42EE-98EF-46771AD89D17}"/>
    <cellStyle name="Normal 12 2 2 2 5 2 5" xfId="22871" xr:uid="{CC1B3525-78D9-4B91-8513-9209122CF4C1}"/>
    <cellStyle name="Normal 12 2 2 2 5 2 6" xfId="13574" xr:uid="{E476ABFE-6209-4243-B4A4-04EA6DF4984D}"/>
    <cellStyle name="Normal 12 2 2 2 5 3" xfId="6320" xr:uid="{00000000-0005-0000-0000-0000DF0D0000}"/>
    <cellStyle name="Normal 12 2 2 2 5 3 2" xfId="41838" xr:uid="{62806CB5-AC5D-42C2-9B05-B10E5B5D2E09}"/>
    <cellStyle name="Normal 12 2 2 2 5 3 3" xfId="33391" xr:uid="{238BAB49-7B09-4AE2-9825-86C3FD7F62D0}"/>
    <cellStyle name="Normal 12 2 2 2 5 3 4" xfId="24943" xr:uid="{FAFF1037-A0AB-401B-A249-1DBBE16927C4}"/>
    <cellStyle name="Normal 12 2 2 2 5 3 5" xfId="15646" xr:uid="{FC308AF5-D243-4D48-8FDE-65C51CBCAE17}"/>
    <cellStyle name="Normal 12 2 2 2 5 4" xfId="37621" xr:uid="{A6F85BD7-1E98-4521-9818-B1A95A94775B}"/>
    <cellStyle name="Normal 12 2 2 2 5 5" xfId="29173" xr:uid="{24F421B1-A641-4E2A-AE4F-FAF372EB98C4}"/>
    <cellStyle name="Normal 12 2 2 2 5 6" xfId="20726" xr:uid="{76C52B0E-7D42-4AA4-84F1-EE23BE66E52C}"/>
    <cellStyle name="Normal 12 2 2 2 5 7" xfId="11429" xr:uid="{9DB2FE39-6367-4D58-AEC4-11BE06ACBFFA}"/>
    <cellStyle name="Normal 12 2 2 2 6" xfId="2450" xr:uid="{00000000-0005-0000-0000-0000E00D0000}"/>
    <cellStyle name="Normal 12 2 2 2 6 2" xfId="6733" xr:uid="{00000000-0005-0000-0000-0000E10D0000}"/>
    <cellStyle name="Normal 12 2 2 2 6 2 2" xfId="42251" xr:uid="{FC25EF6C-BC25-4C46-99C7-043BC29AF87C}"/>
    <cellStyle name="Normal 12 2 2 2 6 2 3" xfId="33804" xr:uid="{6A254895-1889-4CFA-B517-6E9495BE1C04}"/>
    <cellStyle name="Normal 12 2 2 2 6 2 4" xfId="25356" xr:uid="{D28C2D5F-0B68-4CA4-BB4D-B09054A52537}"/>
    <cellStyle name="Normal 12 2 2 2 6 2 5" xfId="16059" xr:uid="{7CF5AE9D-1AF8-49CB-86F1-0CF2C7EA6357}"/>
    <cellStyle name="Normal 12 2 2 2 6 3" xfId="38034" xr:uid="{0AAF30D8-C1CB-4426-85A9-86D760059BC0}"/>
    <cellStyle name="Normal 12 2 2 2 6 4" xfId="29586" xr:uid="{F8059323-08D7-4EFB-835A-A4608D0EDCEE}"/>
    <cellStyle name="Normal 12 2 2 2 6 5" xfId="21139" xr:uid="{87A6BFE8-64CD-4219-AB94-79BCEF7FFF8D}"/>
    <cellStyle name="Normal 12 2 2 2 6 6" xfId="11842" xr:uid="{CDEDB3F5-0BD7-4B13-B80E-0549C700951A}"/>
    <cellStyle name="Normal 12 2 2 2 7" xfId="4667" xr:uid="{00000000-0005-0000-0000-0000E20D0000}"/>
    <cellStyle name="Normal 12 2 2 2 7 2" xfId="40185" xr:uid="{EC82E1BB-40B1-4BEC-A75B-319ECE6F8EF7}"/>
    <cellStyle name="Normal 12 2 2 2 7 3" xfId="31738" xr:uid="{E44C15D8-EEC3-473D-8600-90D8B659CC95}"/>
    <cellStyle name="Normal 12 2 2 2 7 4" xfId="23290" xr:uid="{23A23145-CB5C-49D3-8B8A-1CEA23B00015}"/>
    <cellStyle name="Normal 12 2 2 2 7 5" xfId="13993" xr:uid="{32120A41-31A8-4051-89B5-5738FDFB98BB}"/>
    <cellStyle name="Normal 12 2 2 2 8" xfId="9121" xr:uid="{527C15BB-BE4D-46AB-9317-CC8E6838C91D}"/>
    <cellStyle name="Normal 12 2 2 2 8 2" xfId="35968" xr:uid="{154528A0-FCF5-4F65-8A47-E09972EAEF64}"/>
    <cellStyle name="Normal 12 2 2 2 8 3" xfId="18444" xr:uid="{DA419661-6B3E-4CFD-8081-01AC4BF716F0}"/>
    <cellStyle name="Normal 12 2 2 2 9" xfId="27520" xr:uid="{2E306F4F-1E4A-4780-A905-A5D2EBCB72A8}"/>
    <cellStyle name="Normal 12 2 2 3" xfId="762" xr:uid="{00000000-0005-0000-0000-0000E30D0000}"/>
    <cellStyle name="Normal 12 2 2 3 2" xfId="3003" xr:uid="{00000000-0005-0000-0000-0000E40D0000}"/>
    <cellStyle name="Normal 12 2 2 3 2 2" xfId="7225" xr:uid="{00000000-0005-0000-0000-0000E50D0000}"/>
    <cellStyle name="Normal 12 2 2 3 2 2 2" xfId="42743" xr:uid="{DC52B74F-71D3-46B3-AA3A-34EA2E31F7C2}"/>
    <cellStyle name="Normal 12 2 2 3 2 2 3" xfId="34296" xr:uid="{B860973C-EFD2-4F82-ACCE-56FEDBBEE5F7}"/>
    <cellStyle name="Normal 12 2 2 3 2 2 4" xfId="25848" xr:uid="{9BBE8E55-2D8E-405B-AE40-7D10C8CD4CBB}"/>
    <cellStyle name="Normal 12 2 2 3 2 2 5" xfId="16551" xr:uid="{3EC5B520-5C80-4B1E-A407-EBAB56F5F213}"/>
    <cellStyle name="Normal 12 2 2 3 2 3" xfId="38526" xr:uid="{1CCACDCF-CAFF-4272-B47F-79DCB7B99529}"/>
    <cellStyle name="Normal 12 2 2 3 2 4" xfId="30078" xr:uid="{43BEF279-252F-4576-B05F-FB0941D2C4FB}"/>
    <cellStyle name="Normal 12 2 2 3 2 5" xfId="21631" xr:uid="{2BECBACA-59D8-4692-BB31-7DCEC1715BE2}"/>
    <cellStyle name="Normal 12 2 2 3 2 6" xfId="12334" xr:uid="{070768DB-A669-420F-9981-73CF087F2453}"/>
    <cellStyle name="Normal 12 2 2 3 3" xfId="5080" xr:uid="{00000000-0005-0000-0000-0000E60D0000}"/>
    <cellStyle name="Normal 12 2 2 3 3 2" xfId="40598" xr:uid="{128DD7E8-B906-42D5-9F24-8815C7FBEE74}"/>
    <cellStyle name="Normal 12 2 2 3 3 3" xfId="32151" xr:uid="{47CE3D9D-BA68-4B3C-A3D6-97336C95DA84}"/>
    <cellStyle name="Normal 12 2 2 3 3 4" xfId="23703" xr:uid="{C2497223-91A3-408C-B469-350AA5E7FB99}"/>
    <cellStyle name="Normal 12 2 2 3 3 5" xfId="14406" xr:uid="{58A42F4D-43AA-4443-8CB3-C2E6DE35874F}"/>
    <cellStyle name="Normal 12 2 2 3 4" xfId="9339" xr:uid="{F3F800C1-92DF-4F1F-A561-C3F3C7F8BAD1}"/>
    <cellStyle name="Normal 12 2 2 3 4 2" xfId="36381" xr:uid="{16C1934B-B30E-4552-9D02-ED53A9388027}"/>
    <cellStyle name="Normal 12 2 2 3 4 3" xfId="18652" xr:uid="{17F5ACAD-B206-4DC9-9338-828753F3302B}"/>
    <cellStyle name="Normal 12 2 2 3 5" xfId="27933" xr:uid="{12536E0E-F1BD-402B-B109-E44164D55EE0}"/>
    <cellStyle name="Normal 12 2 2 3 6" xfId="19486" xr:uid="{D4767E84-4B4E-4A70-A1A1-FF3ED0FA9FC3}"/>
    <cellStyle name="Normal 12 2 2 3 7" xfId="10189" xr:uid="{A4369523-D564-4F45-96E5-ABE44111600C}"/>
    <cellStyle name="Normal 12 2 2 4" xfId="1185" xr:uid="{00000000-0005-0000-0000-0000E70D0000}"/>
    <cellStyle name="Normal 12 2 2 4 2" xfId="3416" xr:uid="{00000000-0005-0000-0000-0000E80D0000}"/>
    <cellStyle name="Normal 12 2 2 4 2 2" xfId="7638" xr:uid="{00000000-0005-0000-0000-0000E90D0000}"/>
    <cellStyle name="Normal 12 2 2 4 2 2 2" xfId="43156" xr:uid="{974F6964-8130-4DD6-AB97-27E681274300}"/>
    <cellStyle name="Normal 12 2 2 4 2 2 3" xfId="34709" xr:uid="{A8BE341A-0E24-457B-804C-5F578AEA91E3}"/>
    <cellStyle name="Normal 12 2 2 4 2 2 4" xfId="26261" xr:uid="{CD3D88ED-562F-42DC-A4EB-723C4DB08DA3}"/>
    <cellStyle name="Normal 12 2 2 4 2 2 5" xfId="16964" xr:uid="{FBE0A6D6-684B-4758-AF83-12AC04C5B68B}"/>
    <cellStyle name="Normal 12 2 2 4 2 3" xfId="38939" xr:uid="{2F648507-3B6D-4943-8A3C-744B93C078D8}"/>
    <cellStyle name="Normal 12 2 2 4 2 4" xfId="30491" xr:uid="{F95B66E8-CEA7-47FD-82EF-54541B0274A9}"/>
    <cellStyle name="Normal 12 2 2 4 2 5" xfId="22044" xr:uid="{798A56E7-AD34-43C4-A14F-F21473EFAA43}"/>
    <cellStyle name="Normal 12 2 2 4 2 6" xfId="12747" xr:uid="{7F53F34E-08A3-4390-953C-3D0BE2D015CF}"/>
    <cellStyle name="Normal 12 2 2 4 3" xfId="5493" xr:uid="{00000000-0005-0000-0000-0000EA0D0000}"/>
    <cellStyle name="Normal 12 2 2 4 3 2" xfId="41011" xr:uid="{662355D6-AC96-47A5-8F51-F2F6B90C0D0C}"/>
    <cellStyle name="Normal 12 2 2 4 3 3" xfId="32564" xr:uid="{CC187E05-9C59-424F-92F5-ABBAE69CA7A7}"/>
    <cellStyle name="Normal 12 2 2 4 3 4" xfId="24116" xr:uid="{4B8DCE07-3E1B-4859-9E15-AB36F9C5F868}"/>
    <cellStyle name="Normal 12 2 2 4 3 5" xfId="14819" xr:uid="{F916CAD9-786F-4055-B26B-616A7E32C452}"/>
    <cellStyle name="Normal 12 2 2 4 4" xfId="36794" xr:uid="{856FDD54-EF50-4F9A-8143-74A280DC5EE9}"/>
    <cellStyle name="Normal 12 2 2 4 5" xfId="28346" xr:uid="{353F7329-BBAF-4D4C-9ED2-AD2AD1377A45}"/>
    <cellStyle name="Normal 12 2 2 4 6" xfId="19899" xr:uid="{F4E31D5D-7A7D-40BD-B38E-2B3B606FDA64}"/>
    <cellStyle name="Normal 12 2 2 4 7" xfId="10602" xr:uid="{C2AA47CF-5157-4088-92BF-6E442692E19A}"/>
    <cellStyle name="Normal 12 2 2 5" xfId="1599" xr:uid="{00000000-0005-0000-0000-0000EB0D0000}"/>
    <cellStyle name="Normal 12 2 2 5 2" xfId="3829" xr:uid="{00000000-0005-0000-0000-0000EC0D0000}"/>
    <cellStyle name="Normal 12 2 2 5 2 2" xfId="8051" xr:uid="{00000000-0005-0000-0000-0000ED0D0000}"/>
    <cellStyle name="Normal 12 2 2 5 2 2 2" xfId="43569" xr:uid="{7398FE72-E7FE-4C0D-8203-0907345B3357}"/>
    <cellStyle name="Normal 12 2 2 5 2 2 3" xfId="35122" xr:uid="{EEE6F1C5-150C-4C8F-8033-516B248335D9}"/>
    <cellStyle name="Normal 12 2 2 5 2 2 4" xfId="26674" xr:uid="{19C45564-B6A4-4C4A-836F-E029B7E84F6B}"/>
    <cellStyle name="Normal 12 2 2 5 2 2 5" xfId="17377" xr:uid="{8202661C-956D-4963-A79F-47A654CCED6D}"/>
    <cellStyle name="Normal 12 2 2 5 2 3" xfId="39352" xr:uid="{5EB60DDC-FD81-4537-90BA-B45C2EB2D209}"/>
    <cellStyle name="Normal 12 2 2 5 2 4" xfId="30904" xr:uid="{6EB9CBE0-2482-4D24-A4AB-98BBE3E03ED3}"/>
    <cellStyle name="Normal 12 2 2 5 2 5" xfId="22457" xr:uid="{15D781B7-A07A-4B92-8C77-52F9E6BC1E18}"/>
    <cellStyle name="Normal 12 2 2 5 2 6" xfId="13160" xr:uid="{BB11C639-1DA9-4CBF-A75D-8F3308E1F4EB}"/>
    <cellStyle name="Normal 12 2 2 5 3" xfId="5906" xr:uid="{00000000-0005-0000-0000-0000EE0D0000}"/>
    <cellStyle name="Normal 12 2 2 5 3 2" xfId="41424" xr:uid="{D6425E3D-B7F9-448B-838C-D5A637435597}"/>
    <cellStyle name="Normal 12 2 2 5 3 3" xfId="32977" xr:uid="{C216D46F-BB96-47FC-878B-26BF9DD66002}"/>
    <cellStyle name="Normal 12 2 2 5 3 4" xfId="24529" xr:uid="{722313C4-CE2C-4EC9-8E39-BF91DAB8A036}"/>
    <cellStyle name="Normal 12 2 2 5 3 5" xfId="15232" xr:uid="{936C98E2-89C3-4C77-A334-6E8AFB79A585}"/>
    <cellStyle name="Normal 12 2 2 5 4" xfId="37207" xr:uid="{ABCEEF0E-CD29-47CC-9DE8-F2657B7BD8BB}"/>
    <cellStyle name="Normal 12 2 2 5 5" xfId="28759" xr:uid="{D76EBC3E-C07A-43AE-8009-DC2C6C4E98DF}"/>
    <cellStyle name="Normal 12 2 2 5 6" xfId="20312" xr:uid="{4D429F9D-4550-4219-9BD2-D81070D4E05B}"/>
    <cellStyle name="Normal 12 2 2 5 7" xfId="11015" xr:uid="{54C67133-2211-4541-A571-9E0A5B08D13A}"/>
    <cellStyle name="Normal 12 2 2 6" xfId="2013" xr:uid="{00000000-0005-0000-0000-0000EF0D0000}"/>
    <cellStyle name="Normal 12 2 2 6 2" xfId="4242" xr:uid="{00000000-0005-0000-0000-0000F00D0000}"/>
    <cellStyle name="Normal 12 2 2 6 2 2" xfId="8464" xr:uid="{00000000-0005-0000-0000-0000F10D0000}"/>
    <cellStyle name="Normal 12 2 2 6 2 2 2" xfId="43982" xr:uid="{6789A59A-DB2A-488E-BCCD-70B5F9DBED92}"/>
    <cellStyle name="Normal 12 2 2 6 2 2 3" xfId="35535" xr:uid="{B4696928-D851-4A19-8794-E61C39F0A965}"/>
    <cellStyle name="Normal 12 2 2 6 2 2 4" xfId="27087" xr:uid="{35181FD1-8D25-4721-91EB-61396807B21D}"/>
    <cellStyle name="Normal 12 2 2 6 2 2 5" xfId="17790" xr:uid="{9FA5FD5A-7D06-4E86-8CD4-5165C23FD177}"/>
    <cellStyle name="Normal 12 2 2 6 2 3" xfId="39765" xr:uid="{C08B6924-9A65-407E-92AE-8D8996E8E696}"/>
    <cellStyle name="Normal 12 2 2 6 2 4" xfId="31317" xr:uid="{00D7CAB0-624E-4A72-A78F-C12F15BE26C7}"/>
    <cellStyle name="Normal 12 2 2 6 2 5" xfId="22870" xr:uid="{83FE1775-B76E-47F2-8728-6E161379B6F9}"/>
    <cellStyle name="Normal 12 2 2 6 2 6" xfId="13573" xr:uid="{A739B84B-8481-4C6C-960E-911F51F4B72D}"/>
    <cellStyle name="Normal 12 2 2 6 3" xfId="6319" xr:uid="{00000000-0005-0000-0000-0000F20D0000}"/>
    <cellStyle name="Normal 12 2 2 6 3 2" xfId="41837" xr:uid="{0B5E7460-6F7A-427E-B60E-D1975EB300CA}"/>
    <cellStyle name="Normal 12 2 2 6 3 3" xfId="33390" xr:uid="{DBC94C12-D98C-404E-A566-B540509663BF}"/>
    <cellStyle name="Normal 12 2 2 6 3 4" xfId="24942" xr:uid="{D69ED3B5-1648-4854-B71B-7A7035BDA3E7}"/>
    <cellStyle name="Normal 12 2 2 6 3 5" xfId="15645" xr:uid="{F9C3E2E5-5A49-44F4-8733-4A2333729DCA}"/>
    <cellStyle name="Normal 12 2 2 6 4" xfId="37620" xr:uid="{526456A0-C2D7-4FA1-9BF6-3B4B2CCD972D}"/>
    <cellStyle name="Normal 12 2 2 6 5" xfId="29172" xr:uid="{59B62E89-CCBF-4940-ABF6-E7ADDF6DE05B}"/>
    <cellStyle name="Normal 12 2 2 6 6" xfId="20725" xr:uid="{46F47ADA-4584-4EF0-9928-4ACAEE397DD4}"/>
    <cellStyle name="Normal 12 2 2 6 7" xfId="11428" xr:uid="{77C76E43-4656-4BBE-B1E3-1E9C09D3C4CD}"/>
    <cellStyle name="Normal 12 2 2 7" xfId="2449" xr:uid="{00000000-0005-0000-0000-0000F30D0000}"/>
    <cellStyle name="Normal 12 2 2 7 2" xfId="6732" xr:uid="{00000000-0005-0000-0000-0000F40D0000}"/>
    <cellStyle name="Normal 12 2 2 7 2 2" xfId="42250" xr:uid="{51319A5F-4B45-45AB-8897-65D60614528C}"/>
    <cellStyle name="Normal 12 2 2 7 2 3" xfId="33803" xr:uid="{D345E90A-B81B-4DED-BDE7-90CF0AED029A}"/>
    <cellStyle name="Normal 12 2 2 7 2 4" xfId="25355" xr:uid="{596275DB-D997-4B0F-A4EE-89E2E73C86F9}"/>
    <cellStyle name="Normal 12 2 2 7 2 5" xfId="16058" xr:uid="{0C7F65D6-B053-4B33-A254-D2FDC09E494D}"/>
    <cellStyle name="Normal 12 2 2 7 3" xfId="38033" xr:uid="{E3F305FD-F794-48EC-9644-0BAABEC9E80E}"/>
    <cellStyle name="Normal 12 2 2 7 4" xfId="29585" xr:uid="{1B2A99BF-4382-4EB2-B913-335D6CF23FC5}"/>
    <cellStyle name="Normal 12 2 2 7 5" xfId="21138" xr:uid="{0E56CC33-A168-4DC5-AC1E-49999B8FD4C5}"/>
    <cellStyle name="Normal 12 2 2 7 6" xfId="11841" xr:uid="{6C7155DF-20A5-43F5-8CEA-C65B0358AC80}"/>
    <cellStyle name="Normal 12 2 2 8" xfId="4666" xr:uid="{00000000-0005-0000-0000-0000F50D0000}"/>
    <cellStyle name="Normal 12 2 2 8 2" xfId="40184" xr:uid="{61155B93-0837-431B-ACBB-FAB7F3E94E18}"/>
    <cellStyle name="Normal 12 2 2 8 3" xfId="31737" xr:uid="{4B897D37-A1E4-4F30-BC9D-C581EA749A3A}"/>
    <cellStyle name="Normal 12 2 2 8 4" xfId="23289" xr:uid="{A89DFD25-A4DB-4A0E-9CBC-8CA6CE07ACEF}"/>
    <cellStyle name="Normal 12 2 2 8 5" xfId="13992" xr:uid="{C47CEFC8-200D-4413-ACBF-1D2C77114DC1}"/>
    <cellStyle name="Normal 12 2 2 9" xfId="8914" xr:uid="{85903DBC-FA0A-4A9D-9FB4-BA36A4B6F510}"/>
    <cellStyle name="Normal 12 2 2 9 2" xfId="35967" xr:uid="{AF0FA6CF-602F-42A0-840B-5BB0B4345119}"/>
    <cellStyle name="Normal 12 2 2 9 3" xfId="18237" xr:uid="{247E765A-B761-46FF-8D67-92D19500B20D}"/>
    <cellStyle name="Normal 12 2 3" xfId="263" xr:uid="{00000000-0005-0000-0000-0000F60D0000}"/>
    <cellStyle name="Normal 12 2 3 10" xfId="19074" xr:uid="{628B1E7D-8D19-40CB-A731-A24880689C3E}"/>
    <cellStyle name="Normal 12 2 3 11" xfId="9777" xr:uid="{A8067262-6F0E-4185-A8EA-1B1751EF453D}"/>
    <cellStyle name="Normal 12 2 3 2" xfId="764" xr:uid="{00000000-0005-0000-0000-0000F70D0000}"/>
    <cellStyle name="Normal 12 2 3 2 2" xfId="3005" xr:uid="{00000000-0005-0000-0000-0000F80D0000}"/>
    <cellStyle name="Normal 12 2 3 2 2 2" xfId="7227" xr:uid="{00000000-0005-0000-0000-0000F90D0000}"/>
    <cellStyle name="Normal 12 2 3 2 2 2 2" xfId="42745" xr:uid="{43EE9328-4556-439E-8CFF-26A115B3EA9A}"/>
    <cellStyle name="Normal 12 2 3 2 2 2 3" xfId="34298" xr:uid="{83D99A04-2C12-401F-8B34-B422C6C2463E}"/>
    <cellStyle name="Normal 12 2 3 2 2 2 4" xfId="25850" xr:uid="{7C1BECC6-B3CC-4DB4-8532-8CF542BBFB6E}"/>
    <cellStyle name="Normal 12 2 3 2 2 2 5" xfId="16553" xr:uid="{FF959B62-FF77-4330-A3AC-79132844C289}"/>
    <cellStyle name="Normal 12 2 3 2 2 3" xfId="38528" xr:uid="{08D9F0CE-E79C-4D3F-B661-6DCB094DD248}"/>
    <cellStyle name="Normal 12 2 3 2 2 4" xfId="30080" xr:uid="{1CB494C8-D24A-43FC-AB52-72093C19E972}"/>
    <cellStyle name="Normal 12 2 3 2 2 5" xfId="21633" xr:uid="{06CAD363-8F92-4906-9376-E14E30221B9E}"/>
    <cellStyle name="Normal 12 2 3 2 2 6" xfId="12336" xr:uid="{DA294D07-EEB0-41AF-91D3-8D5FB4BD648A}"/>
    <cellStyle name="Normal 12 2 3 2 3" xfId="5082" xr:uid="{00000000-0005-0000-0000-0000FA0D0000}"/>
    <cellStyle name="Normal 12 2 3 2 3 2" xfId="40600" xr:uid="{6A82D927-1CAF-4B76-A978-FCA6659C66F2}"/>
    <cellStyle name="Normal 12 2 3 2 3 3" xfId="32153" xr:uid="{37EE6517-6E51-488C-B492-3CB5B2CE13B4}"/>
    <cellStyle name="Normal 12 2 3 2 3 4" xfId="23705" xr:uid="{08B4CDAB-ABBD-43BD-9736-98AA002EBF98}"/>
    <cellStyle name="Normal 12 2 3 2 3 5" xfId="14408" xr:uid="{52B4AE13-28DE-4191-81B9-CA5A47C9B86E}"/>
    <cellStyle name="Normal 12 2 3 2 4" xfId="9443" xr:uid="{61F0A971-1285-4215-8170-49D07520551A}"/>
    <cellStyle name="Normal 12 2 3 2 4 2" xfId="36383" xr:uid="{5BB20437-80C7-4B79-B8C4-2912CF8BF6B3}"/>
    <cellStyle name="Normal 12 2 3 2 4 3" xfId="18756" xr:uid="{E2F83DBD-DD3C-40A6-9A7E-794F697F8CD3}"/>
    <cellStyle name="Normal 12 2 3 2 5" xfId="27935" xr:uid="{76E34A51-5076-4C83-8D65-E3B4E160A371}"/>
    <cellStyle name="Normal 12 2 3 2 6" xfId="19488" xr:uid="{C2C17DFB-FC61-42D3-8BF5-0AB62A71734D}"/>
    <cellStyle name="Normal 12 2 3 2 7" xfId="10191" xr:uid="{CF049451-D8D9-481D-A399-8636B3B7663D}"/>
    <cellStyle name="Normal 12 2 3 3" xfId="1187" xr:uid="{00000000-0005-0000-0000-0000FB0D0000}"/>
    <cellStyle name="Normal 12 2 3 3 2" xfId="3418" xr:uid="{00000000-0005-0000-0000-0000FC0D0000}"/>
    <cellStyle name="Normal 12 2 3 3 2 2" xfId="7640" xr:uid="{00000000-0005-0000-0000-0000FD0D0000}"/>
    <cellStyle name="Normal 12 2 3 3 2 2 2" xfId="43158" xr:uid="{D160E6CA-379B-40B7-84CC-92D77AEA0487}"/>
    <cellStyle name="Normal 12 2 3 3 2 2 3" xfId="34711" xr:uid="{1BDF4071-EF12-488B-8F22-5BBD3A00797F}"/>
    <cellStyle name="Normal 12 2 3 3 2 2 4" xfId="26263" xr:uid="{777B04F4-1015-4BFA-AEDD-F059CF11991E}"/>
    <cellStyle name="Normal 12 2 3 3 2 2 5" xfId="16966" xr:uid="{BE670D4B-9BA2-486C-963E-EAA1A086DB38}"/>
    <cellStyle name="Normal 12 2 3 3 2 3" xfId="38941" xr:uid="{9F43049E-936A-484F-BD6D-311E0E88CF9B}"/>
    <cellStyle name="Normal 12 2 3 3 2 4" xfId="30493" xr:uid="{E1777DC2-A2E2-4C16-9215-CB0B8F5D6914}"/>
    <cellStyle name="Normal 12 2 3 3 2 5" xfId="22046" xr:uid="{0C6DF46F-65B6-4BD3-AD84-3FDCBAC5F9E5}"/>
    <cellStyle name="Normal 12 2 3 3 2 6" xfId="12749" xr:uid="{934B677B-CCEC-4021-A686-39281E73B9B5}"/>
    <cellStyle name="Normal 12 2 3 3 3" xfId="5495" xr:uid="{00000000-0005-0000-0000-0000FE0D0000}"/>
    <cellStyle name="Normal 12 2 3 3 3 2" xfId="41013" xr:uid="{7ED39564-9E2C-4A1C-837C-23AA978C7060}"/>
    <cellStyle name="Normal 12 2 3 3 3 3" xfId="32566" xr:uid="{14892D18-4DA0-4630-BE23-C4834D17499C}"/>
    <cellStyle name="Normal 12 2 3 3 3 4" xfId="24118" xr:uid="{4B3F3A44-D5BD-4589-A7F0-CDAC707C6BEF}"/>
    <cellStyle name="Normal 12 2 3 3 3 5" xfId="14821" xr:uid="{825589DD-C498-435A-9382-B28DBD16B6ED}"/>
    <cellStyle name="Normal 12 2 3 3 4" xfId="36796" xr:uid="{8BCEF933-911F-4475-9602-E2202DECE728}"/>
    <cellStyle name="Normal 12 2 3 3 5" xfId="28348" xr:uid="{58CB436F-F998-4BBC-8E8D-E52EB5EBE7B4}"/>
    <cellStyle name="Normal 12 2 3 3 6" xfId="19901" xr:uid="{5BEDB7BB-90C0-4A6F-8D96-82F9E908AC51}"/>
    <cellStyle name="Normal 12 2 3 3 7" xfId="10604" xr:uid="{9CBD9288-FD77-4674-842A-372501D52EF6}"/>
    <cellStyle name="Normal 12 2 3 4" xfId="1601" xr:uid="{00000000-0005-0000-0000-0000FF0D0000}"/>
    <cellStyle name="Normal 12 2 3 4 2" xfId="3831" xr:uid="{00000000-0005-0000-0000-0000000E0000}"/>
    <cellStyle name="Normal 12 2 3 4 2 2" xfId="8053" xr:uid="{00000000-0005-0000-0000-0000010E0000}"/>
    <cellStyle name="Normal 12 2 3 4 2 2 2" xfId="43571" xr:uid="{62C90902-276B-4675-A918-5A65AD53455F}"/>
    <cellStyle name="Normal 12 2 3 4 2 2 3" xfId="35124" xr:uid="{6D1C9D89-0FE8-4FCD-B205-6DA9A969D79F}"/>
    <cellStyle name="Normal 12 2 3 4 2 2 4" xfId="26676" xr:uid="{A3FEEF33-941C-4DDC-8F2B-4AD2F58EE37D}"/>
    <cellStyle name="Normal 12 2 3 4 2 2 5" xfId="17379" xr:uid="{AF3B02D0-76D9-42B4-A468-0BE4FA099E9E}"/>
    <cellStyle name="Normal 12 2 3 4 2 3" xfId="39354" xr:uid="{57F38AC3-5E4D-4C95-AB8C-AF6ED148F0C0}"/>
    <cellStyle name="Normal 12 2 3 4 2 4" xfId="30906" xr:uid="{B47D3334-8B76-477B-9CB3-529C2DE9C434}"/>
    <cellStyle name="Normal 12 2 3 4 2 5" xfId="22459" xr:uid="{D89DE0B6-3169-4959-AEF2-7D9BEBADCBB6}"/>
    <cellStyle name="Normal 12 2 3 4 2 6" xfId="13162" xr:uid="{D227E81F-EFB2-4757-A8B5-F859EBA7CB7B}"/>
    <cellStyle name="Normal 12 2 3 4 3" xfId="5908" xr:uid="{00000000-0005-0000-0000-0000020E0000}"/>
    <cellStyle name="Normal 12 2 3 4 3 2" xfId="41426" xr:uid="{B1E7317B-0DB3-47FC-99FF-954CE76CE2B0}"/>
    <cellStyle name="Normal 12 2 3 4 3 3" xfId="32979" xr:uid="{CE3B9EA4-6FF6-4973-8DCC-48EDBD523649}"/>
    <cellStyle name="Normal 12 2 3 4 3 4" xfId="24531" xr:uid="{CC491100-E1C4-43CC-92E7-0A49C07C786E}"/>
    <cellStyle name="Normal 12 2 3 4 3 5" xfId="15234" xr:uid="{DBEB54CF-9193-4207-8A3C-009C6D274CD2}"/>
    <cellStyle name="Normal 12 2 3 4 4" xfId="37209" xr:uid="{A6C84351-7AC5-4910-8CBA-A24CF3BDA2E4}"/>
    <cellStyle name="Normal 12 2 3 4 5" xfId="28761" xr:uid="{04301313-9F0B-4E5D-BD44-75DD360B2564}"/>
    <cellStyle name="Normal 12 2 3 4 6" xfId="20314" xr:uid="{9E288279-E410-458C-A0D9-DC5FB452B36C}"/>
    <cellStyle name="Normal 12 2 3 4 7" xfId="11017" xr:uid="{87ED6116-07DA-469F-9F24-87B2359C1ACD}"/>
    <cellStyle name="Normal 12 2 3 5" xfId="2015" xr:uid="{00000000-0005-0000-0000-0000030E0000}"/>
    <cellStyle name="Normal 12 2 3 5 2" xfId="4244" xr:uid="{00000000-0005-0000-0000-0000040E0000}"/>
    <cellStyle name="Normal 12 2 3 5 2 2" xfId="8466" xr:uid="{00000000-0005-0000-0000-0000050E0000}"/>
    <cellStyle name="Normal 12 2 3 5 2 2 2" xfId="43984" xr:uid="{CB78D723-6529-4241-B018-CBB090CE4B87}"/>
    <cellStyle name="Normal 12 2 3 5 2 2 3" xfId="35537" xr:uid="{E9616345-CBDF-4945-8D6E-49F835FD8B12}"/>
    <cellStyle name="Normal 12 2 3 5 2 2 4" xfId="27089" xr:uid="{5868F42F-ED69-4401-92EF-0FDD8A10FC37}"/>
    <cellStyle name="Normal 12 2 3 5 2 2 5" xfId="17792" xr:uid="{C7536488-99E1-454C-85B5-96CC6856B0DD}"/>
    <cellStyle name="Normal 12 2 3 5 2 3" xfId="39767" xr:uid="{48F1170D-77DF-49F8-9348-149D2F5A7333}"/>
    <cellStyle name="Normal 12 2 3 5 2 4" xfId="31319" xr:uid="{25B93AA6-3CFE-49A6-ABB6-ED49148597ED}"/>
    <cellStyle name="Normal 12 2 3 5 2 5" xfId="22872" xr:uid="{592C9985-67E8-41FD-8E40-B4D338708C90}"/>
    <cellStyle name="Normal 12 2 3 5 2 6" xfId="13575" xr:uid="{DF5F30E1-6F4B-4E2E-A8BA-E82DF71EFDEE}"/>
    <cellStyle name="Normal 12 2 3 5 3" xfId="6321" xr:uid="{00000000-0005-0000-0000-0000060E0000}"/>
    <cellStyle name="Normal 12 2 3 5 3 2" xfId="41839" xr:uid="{FEDDF03C-96CC-472D-B1E5-2CC64AAC5191}"/>
    <cellStyle name="Normal 12 2 3 5 3 3" xfId="33392" xr:uid="{307E3F15-2513-4290-9ABA-12BD843AC4D0}"/>
    <cellStyle name="Normal 12 2 3 5 3 4" xfId="24944" xr:uid="{33DE9641-B94C-401D-A877-7220F75D163C}"/>
    <cellStyle name="Normal 12 2 3 5 3 5" xfId="15647" xr:uid="{58D02376-FE43-4DFC-B4EE-144357332E66}"/>
    <cellStyle name="Normal 12 2 3 5 4" xfId="37622" xr:uid="{185A6FDB-E55A-43A5-B948-E804011EF857}"/>
    <cellStyle name="Normal 12 2 3 5 5" xfId="29174" xr:uid="{F9445367-55E3-4044-8E3A-A87DA46A2513}"/>
    <cellStyle name="Normal 12 2 3 5 6" xfId="20727" xr:uid="{45AA1016-00A5-4747-824C-C46356AEDE7A}"/>
    <cellStyle name="Normal 12 2 3 5 7" xfId="11430" xr:uid="{9D1C2499-7684-448C-86F5-8FD32D9BC7CA}"/>
    <cellStyle name="Normal 12 2 3 6" xfId="2451" xr:uid="{00000000-0005-0000-0000-0000070E0000}"/>
    <cellStyle name="Normal 12 2 3 6 2" xfId="6734" xr:uid="{00000000-0005-0000-0000-0000080E0000}"/>
    <cellStyle name="Normal 12 2 3 6 2 2" xfId="42252" xr:uid="{DDC6DD45-246D-4F64-B160-C3162EE458C6}"/>
    <cellStyle name="Normal 12 2 3 6 2 3" xfId="33805" xr:uid="{B969D584-08D9-4B7E-8681-8648750E49A5}"/>
    <cellStyle name="Normal 12 2 3 6 2 4" xfId="25357" xr:uid="{98F21327-A899-4903-907E-049DC2F80BF5}"/>
    <cellStyle name="Normal 12 2 3 6 2 5" xfId="16060" xr:uid="{47FFC152-6FFD-4177-A14A-F96B9E2A3C36}"/>
    <cellStyle name="Normal 12 2 3 6 3" xfId="38035" xr:uid="{5D5FDE41-88F4-4F14-A8C0-493AC5E525D3}"/>
    <cellStyle name="Normal 12 2 3 6 4" xfId="29587" xr:uid="{15139E79-E3B2-4EC8-8524-BF13A344EF03}"/>
    <cellStyle name="Normal 12 2 3 6 5" xfId="21140" xr:uid="{8C96B854-E323-4225-8995-64AABB0A74BB}"/>
    <cellStyle name="Normal 12 2 3 6 6" xfId="11843" xr:uid="{A3361BB6-D95C-409F-9720-C9C3170FFFB0}"/>
    <cellStyle name="Normal 12 2 3 7" xfId="4668" xr:uid="{00000000-0005-0000-0000-0000090E0000}"/>
    <cellStyle name="Normal 12 2 3 7 2" xfId="40186" xr:uid="{E5FFE6D0-F2EF-48D5-ABD8-9330735BCE2E}"/>
    <cellStyle name="Normal 12 2 3 7 3" xfId="31739" xr:uid="{D6D807DE-68F1-4BA4-927E-FB68CDCA09ED}"/>
    <cellStyle name="Normal 12 2 3 7 4" xfId="23291" xr:uid="{CFD26AD1-8F51-43BF-8DB9-F23F1AF67FA8}"/>
    <cellStyle name="Normal 12 2 3 7 5" xfId="13994" xr:uid="{2A1302D5-E897-43F3-A04E-B36D6FD5B1E9}"/>
    <cellStyle name="Normal 12 2 3 8" xfId="9018" xr:uid="{C3F41DC6-3A80-4145-A68D-169ABB54B6D0}"/>
    <cellStyle name="Normal 12 2 3 8 2" xfId="35969" xr:uid="{51B80FAE-F220-4E50-8AAB-CADFB6276427}"/>
    <cellStyle name="Normal 12 2 3 8 3" xfId="18341" xr:uid="{03C483A3-B30B-4E31-A41B-A70F401C06F2}"/>
    <cellStyle name="Normal 12 2 3 9" xfId="27521" xr:uid="{DE6E55B0-51A3-4506-B506-FD28B9DAAD79}"/>
    <cellStyle name="Normal 12 2 4" xfId="761" xr:uid="{00000000-0005-0000-0000-00000A0E0000}"/>
    <cellStyle name="Normal 12 2 4 2" xfId="3002" xr:uid="{00000000-0005-0000-0000-00000B0E0000}"/>
    <cellStyle name="Normal 12 2 4 2 2" xfId="7224" xr:uid="{00000000-0005-0000-0000-00000C0E0000}"/>
    <cellStyle name="Normal 12 2 4 2 2 2" xfId="42742" xr:uid="{D6C4C965-E4DD-4027-BF73-77D40760390B}"/>
    <cellStyle name="Normal 12 2 4 2 2 3" xfId="34295" xr:uid="{B3967FAD-4E10-4D40-807C-2BE6AA1E0399}"/>
    <cellStyle name="Normal 12 2 4 2 2 4" xfId="25847" xr:uid="{7716B596-91B7-4E29-B07A-ED4CD50EE4EA}"/>
    <cellStyle name="Normal 12 2 4 2 2 5" xfId="16550" xr:uid="{9B76A118-FFAA-4ADB-93AB-F934C3818FB5}"/>
    <cellStyle name="Normal 12 2 4 2 3" xfId="38525" xr:uid="{B8AEB40A-A242-43BB-A741-CC53F3DE2BB2}"/>
    <cellStyle name="Normal 12 2 4 2 4" xfId="30077" xr:uid="{4336F8E5-E057-453A-9C5C-0317833B29BF}"/>
    <cellStyle name="Normal 12 2 4 2 5" xfId="21630" xr:uid="{67F513F2-90A5-4289-9277-9DB92EB59D5D}"/>
    <cellStyle name="Normal 12 2 4 2 6" xfId="12333" xr:uid="{E9A3C2EB-83FC-4AC9-B2D0-4B426539E4F9}"/>
    <cellStyle name="Normal 12 2 4 3" xfId="5079" xr:uid="{00000000-0005-0000-0000-00000D0E0000}"/>
    <cellStyle name="Normal 12 2 4 3 2" xfId="40597" xr:uid="{28EA01BF-5128-480B-9520-C35E16A36BC8}"/>
    <cellStyle name="Normal 12 2 4 3 3" xfId="32150" xr:uid="{EECF8B34-D565-4975-8665-013F1EAC6398}"/>
    <cellStyle name="Normal 12 2 4 3 4" xfId="23702" xr:uid="{4BA4B67D-F0E1-4A76-A259-405DD90CA444}"/>
    <cellStyle name="Normal 12 2 4 3 5" xfId="14405" xr:uid="{C28ECBC5-A422-41FB-AF15-506082562AEA}"/>
    <cellStyle name="Normal 12 2 4 4" xfId="9236" xr:uid="{C3D0196D-4BB3-4870-9762-A3CF40E5B45B}"/>
    <cellStyle name="Normal 12 2 4 4 2" xfId="36380" xr:uid="{95BF6C5F-EECF-41D3-8087-F81E9E0A8382}"/>
    <cellStyle name="Normal 12 2 4 4 3" xfId="18549" xr:uid="{3D475688-0305-4891-8EDA-8054A05CCA58}"/>
    <cellStyle name="Normal 12 2 4 5" xfId="27932" xr:uid="{210C23BC-B581-40D0-8801-A8EA9689D68F}"/>
    <cellStyle name="Normal 12 2 4 6" xfId="19485" xr:uid="{D1C402FA-43C1-49B3-90D8-F7190547F3D4}"/>
    <cellStyle name="Normal 12 2 4 7" xfId="10188" xr:uid="{5DF65BBC-C624-45E0-9463-2243CD2519F6}"/>
    <cellStyle name="Normal 12 2 5" xfId="1184" xr:uid="{00000000-0005-0000-0000-00000E0E0000}"/>
    <cellStyle name="Normal 12 2 5 2" xfId="3415" xr:uid="{00000000-0005-0000-0000-00000F0E0000}"/>
    <cellStyle name="Normal 12 2 5 2 2" xfId="7637" xr:uid="{00000000-0005-0000-0000-0000100E0000}"/>
    <cellStyle name="Normal 12 2 5 2 2 2" xfId="43155" xr:uid="{D695CD09-FAC5-44C4-BA7E-D6E4F1F235A2}"/>
    <cellStyle name="Normal 12 2 5 2 2 3" xfId="34708" xr:uid="{A4A4439C-82EF-4BB2-B199-2BCD3849FA8A}"/>
    <cellStyle name="Normal 12 2 5 2 2 4" xfId="26260" xr:uid="{1052C675-C2F4-4DBD-BEC1-029F1F09A9DD}"/>
    <cellStyle name="Normal 12 2 5 2 2 5" xfId="16963" xr:uid="{1D76A78D-67A2-4C99-B403-6ADD90BDD320}"/>
    <cellStyle name="Normal 12 2 5 2 3" xfId="38938" xr:uid="{AFECC7FC-63F6-4F57-8950-7FFCF3E64867}"/>
    <cellStyle name="Normal 12 2 5 2 4" xfId="30490" xr:uid="{91FCA881-034A-4F72-ACA5-5EA062FC9139}"/>
    <cellStyle name="Normal 12 2 5 2 5" xfId="22043" xr:uid="{18489CBF-1160-4F02-B290-BB025110B08D}"/>
    <cellStyle name="Normal 12 2 5 2 6" xfId="12746" xr:uid="{49E8FC9F-5956-4ACA-B65F-85485D1FFE07}"/>
    <cellStyle name="Normal 12 2 5 3" xfId="5492" xr:uid="{00000000-0005-0000-0000-0000110E0000}"/>
    <cellStyle name="Normal 12 2 5 3 2" xfId="41010" xr:uid="{D63736F5-67E4-4191-A0D0-6FE62E823464}"/>
    <cellStyle name="Normal 12 2 5 3 3" xfId="32563" xr:uid="{353B6031-782E-4B0A-A908-67200B629290}"/>
    <cellStyle name="Normal 12 2 5 3 4" xfId="24115" xr:uid="{9CB2AD3A-DDC9-4310-9799-CFFB8EC11744}"/>
    <cellStyle name="Normal 12 2 5 3 5" xfId="14818" xr:uid="{8BB3CE29-9CDE-42BE-AA28-811CCC5A81F1}"/>
    <cellStyle name="Normal 12 2 5 4" xfId="36793" xr:uid="{70346381-E856-4038-8430-04C560D59996}"/>
    <cellStyle name="Normal 12 2 5 5" xfId="28345" xr:uid="{4339B1EC-D568-4C41-AFC8-299DF8F67F5E}"/>
    <cellStyle name="Normal 12 2 5 6" xfId="19898" xr:uid="{0DCDF7C4-73D6-40D6-B8B2-D930F512BCF8}"/>
    <cellStyle name="Normal 12 2 5 7" xfId="10601" xr:uid="{13A4E00D-F302-470A-85CE-AA967CE30207}"/>
    <cellStyle name="Normal 12 2 6" xfId="1598" xr:uid="{00000000-0005-0000-0000-0000120E0000}"/>
    <cellStyle name="Normal 12 2 6 2" xfId="3828" xr:uid="{00000000-0005-0000-0000-0000130E0000}"/>
    <cellStyle name="Normal 12 2 6 2 2" xfId="8050" xr:uid="{00000000-0005-0000-0000-0000140E0000}"/>
    <cellStyle name="Normal 12 2 6 2 2 2" xfId="43568" xr:uid="{7DED37F2-08BF-43CD-B9E3-7787D0A878E3}"/>
    <cellStyle name="Normal 12 2 6 2 2 3" xfId="35121" xr:uid="{2AAFFFBD-40A2-424D-9894-54E5CA674A2B}"/>
    <cellStyle name="Normal 12 2 6 2 2 4" xfId="26673" xr:uid="{91571771-74D5-4EDD-BEBD-35D94FCEE72C}"/>
    <cellStyle name="Normal 12 2 6 2 2 5" xfId="17376" xr:uid="{D61D8835-15AC-4D52-ACF2-695A4E1B90EF}"/>
    <cellStyle name="Normal 12 2 6 2 3" xfId="39351" xr:uid="{DE4AA6F5-D39C-4F8E-8301-FB725EAA48DC}"/>
    <cellStyle name="Normal 12 2 6 2 4" xfId="30903" xr:uid="{BD8FCEE3-5D02-44FD-9902-F934AB47F5C2}"/>
    <cellStyle name="Normal 12 2 6 2 5" xfId="22456" xr:uid="{A051042A-272F-4090-82E6-FB3A8B0C26E4}"/>
    <cellStyle name="Normal 12 2 6 2 6" xfId="13159" xr:uid="{DB357E86-2434-4001-9854-BEC06565F1A7}"/>
    <cellStyle name="Normal 12 2 6 3" xfId="5905" xr:uid="{00000000-0005-0000-0000-0000150E0000}"/>
    <cellStyle name="Normal 12 2 6 3 2" xfId="41423" xr:uid="{BBE8204F-C20A-4E75-9206-ECBED0996065}"/>
    <cellStyle name="Normal 12 2 6 3 3" xfId="32976" xr:uid="{EAD9FA63-70ED-4B53-9E35-49BC77D64D83}"/>
    <cellStyle name="Normal 12 2 6 3 4" xfId="24528" xr:uid="{2B8B6043-37F1-44C5-BB46-12968F34F859}"/>
    <cellStyle name="Normal 12 2 6 3 5" xfId="15231" xr:uid="{2A756AF9-C2C8-4562-A048-0E64B0932588}"/>
    <cellStyle name="Normal 12 2 6 4" xfId="37206" xr:uid="{840970BD-2DCA-4DAA-977A-83CFB5D329F1}"/>
    <cellStyle name="Normal 12 2 6 5" xfId="28758" xr:uid="{F5AF7479-8B68-4469-B157-0FD62E2309C4}"/>
    <cellStyle name="Normal 12 2 6 6" xfId="20311" xr:uid="{ADBC8C77-3332-4CC8-B9C6-C352DB43B094}"/>
    <cellStyle name="Normal 12 2 6 7" xfId="11014" xr:uid="{089800A8-387F-4371-99DA-6AC860D3176B}"/>
    <cellStyle name="Normal 12 2 7" xfId="2012" xr:uid="{00000000-0005-0000-0000-0000160E0000}"/>
    <cellStyle name="Normal 12 2 7 2" xfId="4241" xr:uid="{00000000-0005-0000-0000-0000170E0000}"/>
    <cellStyle name="Normal 12 2 7 2 2" xfId="8463" xr:uid="{00000000-0005-0000-0000-0000180E0000}"/>
    <cellStyle name="Normal 12 2 7 2 2 2" xfId="43981" xr:uid="{3AB395E1-EA9D-44E2-9894-A78D39206D8E}"/>
    <cellStyle name="Normal 12 2 7 2 2 3" xfId="35534" xr:uid="{3CA30C3B-5A29-437F-A1BD-8003BEF8C0DA}"/>
    <cellStyle name="Normal 12 2 7 2 2 4" xfId="27086" xr:uid="{8CACC232-5044-49F4-AC09-9B3CF8263E1F}"/>
    <cellStyle name="Normal 12 2 7 2 2 5" xfId="17789" xr:uid="{48E0D337-72ED-443C-AEFA-577BCB4D6F90}"/>
    <cellStyle name="Normal 12 2 7 2 3" xfId="39764" xr:uid="{90420063-6CFE-48E5-8647-949B409FEF63}"/>
    <cellStyle name="Normal 12 2 7 2 4" xfId="31316" xr:uid="{FD116424-05AE-4747-950F-CED8240280CE}"/>
    <cellStyle name="Normal 12 2 7 2 5" xfId="22869" xr:uid="{6D2380A8-1564-4FFD-9E1E-A06F14139C33}"/>
    <cellStyle name="Normal 12 2 7 2 6" xfId="13572" xr:uid="{7BDA3311-F069-4390-B782-EB86D438E2E8}"/>
    <cellStyle name="Normal 12 2 7 3" xfId="6318" xr:uid="{00000000-0005-0000-0000-0000190E0000}"/>
    <cellStyle name="Normal 12 2 7 3 2" xfId="41836" xr:uid="{AF58BC17-D657-4D76-AB97-FED3A370BB31}"/>
    <cellStyle name="Normal 12 2 7 3 3" xfId="33389" xr:uid="{B041A48A-A9E0-4DDC-BB07-3ECB91A44F10}"/>
    <cellStyle name="Normal 12 2 7 3 4" xfId="24941" xr:uid="{2549D77C-5B42-42C4-AE94-B2B4BFFC7150}"/>
    <cellStyle name="Normal 12 2 7 3 5" xfId="15644" xr:uid="{5E03A321-55FD-430D-9E75-01DA8A024C77}"/>
    <cellStyle name="Normal 12 2 7 4" xfId="37619" xr:uid="{216E7351-77D2-4733-B30B-5C41796AD16E}"/>
    <cellStyle name="Normal 12 2 7 5" xfId="29171" xr:uid="{435604E3-D52E-49D3-A989-6BC065667828}"/>
    <cellStyle name="Normal 12 2 7 6" xfId="20724" xr:uid="{343A7182-6A82-4154-81C7-E3D49C536EAB}"/>
    <cellStyle name="Normal 12 2 7 7" xfId="11427" xr:uid="{69169139-C6AB-47DA-808D-476AE0722601}"/>
    <cellStyle name="Normal 12 2 8" xfId="2448" xr:uid="{00000000-0005-0000-0000-00001A0E0000}"/>
    <cellStyle name="Normal 12 2 8 2" xfId="6731" xr:uid="{00000000-0005-0000-0000-00001B0E0000}"/>
    <cellStyle name="Normal 12 2 8 2 2" xfId="42249" xr:uid="{B4EA5C96-6DED-4187-8996-91B847E389AD}"/>
    <cellStyle name="Normal 12 2 8 2 3" xfId="33802" xr:uid="{166CCB66-07E9-452B-84B8-63F94FFE6844}"/>
    <cellStyle name="Normal 12 2 8 2 4" xfId="25354" xr:uid="{D0457A72-14FD-4EA3-8C46-D307C283CA7C}"/>
    <cellStyle name="Normal 12 2 8 2 5" xfId="16057" xr:uid="{DDE801A8-68DD-4171-9A2D-3912A973EA5E}"/>
    <cellStyle name="Normal 12 2 8 3" xfId="38032" xr:uid="{0D10B1F8-7922-4698-B598-BE1F40D7DF22}"/>
    <cellStyle name="Normal 12 2 8 4" xfId="29584" xr:uid="{EB17BF7A-09D7-42A1-9164-8CBFC798A168}"/>
    <cellStyle name="Normal 12 2 8 5" xfId="21137" xr:uid="{9FA31E21-52AB-45B9-A79E-CA73ED53ECF0}"/>
    <cellStyle name="Normal 12 2 8 6" xfId="11840" xr:uid="{29A6AE20-E920-46F5-B503-05CF102202C2}"/>
    <cellStyle name="Normal 12 2 9" xfId="4665" xr:uid="{00000000-0005-0000-0000-00001C0E0000}"/>
    <cellStyle name="Normal 12 2 9 2" xfId="40183" xr:uid="{CA561886-A043-4531-AD50-3A7EE53A01AD}"/>
    <cellStyle name="Normal 12 2 9 3" xfId="31736" xr:uid="{C1B47094-32E8-4DFB-8294-9582BDFA91B8}"/>
    <cellStyle name="Normal 12 2 9 4" xfId="23288" xr:uid="{65F39B61-E460-49FE-83AF-0ACDF0300E12}"/>
    <cellStyle name="Normal 12 2 9 5" xfId="13991" xr:uid="{1B69CB6A-1DBB-4892-8292-AFC8C3254977}"/>
    <cellStyle name="Normal 12 3" xfId="264" xr:uid="{00000000-0005-0000-0000-00001D0E0000}"/>
    <cellStyle name="Normal 12 3 10" xfId="27522" xr:uid="{491CE4D4-0E5C-4314-92C2-6482BE7801C5}"/>
    <cellStyle name="Normal 12 3 11" xfId="19075" xr:uid="{C472413A-CB47-4DF7-AA6C-8563DBA9EE27}"/>
    <cellStyle name="Normal 12 3 12" xfId="9778" xr:uid="{EDA448A3-B0DE-493B-B716-84572D765D97}"/>
    <cellStyle name="Normal 12 3 2" xfId="265" xr:uid="{00000000-0005-0000-0000-00001E0E0000}"/>
    <cellStyle name="Normal 12 3 2 10" xfId="19076" xr:uid="{B16A6341-3B06-403E-91FF-7F1C56D8095F}"/>
    <cellStyle name="Normal 12 3 2 11" xfId="9779" xr:uid="{8FF1A028-6EFD-45A5-ACE1-9444B6E80F84}"/>
    <cellStyle name="Normal 12 3 2 2" xfId="766" xr:uid="{00000000-0005-0000-0000-00001F0E0000}"/>
    <cellStyle name="Normal 12 3 2 2 2" xfId="3007" xr:uid="{00000000-0005-0000-0000-0000200E0000}"/>
    <cellStyle name="Normal 12 3 2 2 2 2" xfId="7229" xr:uid="{00000000-0005-0000-0000-0000210E0000}"/>
    <cellStyle name="Normal 12 3 2 2 2 2 2" xfId="42747" xr:uid="{D793F4BE-50BA-44AF-8B4E-BE675382D4AA}"/>
    <cellStyle name="Normal 12 3 2 2 2 2 3" xfId="34300" xr:uid="{872F2FC0-446A-4ABB-AEE8-FD8167C1B2E5}"/>
    <cellStyle name="Normal 12 3 2 2 2 2 4" xfId="25852" xr:uid="{12BEE92A-B2F4-4F61-B818-2873A85D37C5}"/>
    <cellStyle name="Normal 12 3 2 2 2 2 5" xfId="16555" xr:uid="{93C54F6D-4964-4367-AA3E-011C95864279}"/>
    <cellStyle name="Normal 12 3 2 2 2 3" xfId="38530" xr:uid="{FF83C2F7-1887-4064-8742-F88F62A970DF}"/>
    <cellStyle name="Normal 12 3 2 2 2 4" xfId="30082" xr:uid="{6B974ECE-39AD-4B6E-900B-F4A584383609}"/>
    <cellStyle name="Normal 12 3 2 2 2 5" xfId="21635" xr:uid="{9B6C061F-18E0-449A-A345-70110D22E321}"/>
    <cellStyle name="Normal 12 3 2 2 2 6" xfId="12338" xr:uid="{9C02833E-30CA-47FD-89CE-502EEC0FB64F}"/>
    <cellStyle name="Normal 12 3 2 2 3" xfId="5084" xr:uid="{00000000-0005-0000-0000-0000220E0000}"/>
    <cellStyle name="Normal 12 3 2 2 3 2" xfId="40602" xr:uid="{8C099579-80C3-46F7-95D4-CA775764112D}"/>
    <cellStyle name="Normal 12 3 2 2 3 3" xfId="32155" xr:uid="{16C130FD-8FBD-47BE-B7AA-E7AE1E9FBA84}"/>
    <cellStyle name="Normal 12 3 2 2 3 4" xfId="23707" xr:uid="{88AD9C3F-81B2-4B15-A586-A697F46EEAEC}"/>
    <cellStyle name="Normal 12 3 2 2 3 5" xfId="14410" xr:uid="{D9A11B6B-9A35-411B-AAB7-B62E8BCDF52A}"/>
    <cellStyle name="Normal 12 3 2 2 4" xfId="9505" xr:uid="{B127619B-367D-40AD-851E-01DDBB2DCD13}"/>
    <cellStyle name="Normal 12 3 2 2 4 2" xfId="36385" xr:uid="{6F238A49-7477-48C6-9C91-98E5268D037C}"/>
    <cellStyle name="Normal 12 3 2 2 4 3" xfId="18818" xr:uid="{DEB6122F-BB06-412E-BC94-7DFD01A17135}"/>
    <cellStyle name="Normal 12 3 2 2 5" xfId="27937" xr:uid="{BA8F3666-B02E-4569-B669-EEAF2F92F069}"/>
    <cellStyle name="Normal 12 3 2 2 6" xfId="19490" xr:uid="{76BFDC77-D58B-4E4B-860E-EB63FCED25FD}"/>
    <cellStyle name="Normal 12 3 2 2 7" xfId="10193" xr:uid="{00E15EB4-C322-4D40-BA6E-F76453EB4F51}"/>
    <cellStyle name="Normal 12 3 2 3" xfId="1189" xr:uid="{00000000-0005-0000-0000-0000230E0000}"/>
    <cellStyle name="Normal 12 3 2 3 2" xfId="3420" xr:uid="{00000000-0005-0000-0000-0000240E0000}"/>
    <cellStyle name="Normal 12 3 2 3 2 2" xfId="7642" xr:uid="{00000000-0005-0000-0000-0000250E0000}"/>
    <cellStyle name="Normal 12 3 2 3 2 2 2" xfId="43160" xr:uid="{B74A42EE-DFEF-41FB-B6F8-331E05C7ACE7}"/>
    <cellStyle name="Normal 12 3 2 3 2 2 3" xfId="34713" xr:uid="{A404CB8C-3455-405B-977B-7D0A191AEB4D}"/>
    <cellStyle name="Normal 12 3 2 3 2 2 4" xfId="26265" xr:uid="{242C8087-5367-416B-87D9-C99B53320CFB}"/>
    <cellStyle name="Normal 12 3 2 3 2 2 5" xfId="16968" xr:uid="{DB8EB9B4-1C95-4C26-BC9B-5B1058C5568A}"/>
    <cellStyle name="Normal 12 3 2 3 2 3" xfId="38943" xr:uid="{145B13F5-2E2E-4C5D-8FDE-C447D5B1BE70}"/>
    <cellStyle name="Normal 12 3 2 3 2 4" xfId="30495" xr:uid="{6AAAA30F-4106-4422-986A-C8E9A10F4214}"/>
    <cellStyle name="Normal 12 3 2 3 2 5" xfId="22048" xr:uid="{70BDE7B9-A119-48AE-B81B-0F9EAF3CC08C}"/>
    <cellStyle name="Normal 12 3 2 3 2 6" xfId="12751" xr:uid="{E300FD66-198F-4C37-8606-469982B39975}"/>
    <cellStyle name="Normal 12 3 2 3 3" xfId="5497" xr:uid="{00000000-0005-0000-0000-0000260E0000}"/>
    <cellStyle name="Normal 12 3 2 3 3 2" xfId="41015" xr:uid="{7B05FC37-8FBF-4170-A9EF-6C285C75C17F}"/>
    <cellStyle name="Normal 12 3 2 3 3 3" xfId="32568" xr:uid="{A53A343E-02E8-4661-8821-3C5E4D7200DF}"/>
    <cellStyle name="Normal 12 3 2 3 3 4" xfId="24120" xr:uid="{C32201D6-3DC9-44E7-A04B-48D57EB6A614}"/>
    <cellStyle name="Normal 12 3 2 3 3 5" xfId="14823" xr:uid="{DB762D92-1065-48BB-BC5E-283DF9BBB9F1}"/>
    <cellStyle name="Normal 12 3 2 3 4" xfId="36798" xr:uid="{83F923F8-5FA1-4784-A7D2-04C5DA7EFFB1}"/>
    <cellStyle name="Normal 12 3 2 3 5" xfId="28350" xr:uid="{03A01D53-A508-4E11-8985-5E00C1311FB1}"/>
    <cellStyle name="Normal 12 3 2 3 6" xfId="19903" xr:uid="{607EAECF-FE91-46D3-A280-DDBBC9E47D6B}"/>
    <cellStyle name="Normal 12 3 2 3 7" xfId="10606" xr:uid="{39D5C8B6-288B-4B0A-8254-C7B49D046523}"/>
    <cellStyle name="Normal 12 3 2 4" xfId="1603" xr:uid="{00000000-0005-0000-0000-0000270E0000}"/>
    <cellStyle name="Normal 12 3 2 4 2" xfId="3833" xr:uid="{00000000-0005-0000-0000-0000280E0000}"/>
    <cellStyle name="Normal 12 3 2 4 2 2" xfId="8055" xr:uid="{00000000-0005-0000-0000-0000290E0000}"/>
    <cellStyle name="Normal 12 3 2 4 2 2 2" xfId="43573" xr:uid="{A7746807-9300-423D-BE05-F1DCFE1DD29C}"/>
    <cellStyle name="Normal 12 3 2 4 2 2 3" xfId="35126" xr:uid="{8DA07ECD-F044-45B7-9855-C2AD5F34D214}"/>
    <cellStyle name="Normal 12 3 2 4 2 2 4" xfId="26678" xr:uid="{EBC8D1B7-3F12-4AF7-90AE-CBA0A5E97E6C}"/>
    <cellStyle name="Normal 12 3 2 4 2 2 5" xfId="17381" xr:uid="{6EF11914-ABDD-4019-83DC-42B1ABDFCF19}"/>
    <cellStyle name="Normal 12 3 2 4 2 3" xfId="39356" xr:uid="{C0F7398F-B356-40CB-9696-61387DE908D0}"/>
    <cellStyle name="Normal 12 3 2 4 2 4" xfId="30908" xr:uid="{964068C4-AADB-4779-9468-D58884EE1251}"/>
    <cellStyle name="Normal 12 3 2 4 2 5" xfId="22461" xr:uid="{863C83C5-C65D-4117-9DAD-3CC77209F5A4}"/>
    <cellStyle name="Normal 12 3 2 4 2 6" xfId="13164" xr:uid="{9183EA85-DDC2-4CBC-92E0-50132F4FB42D}"/>
    <cellStyle name="Normal 12 3 2 4 3" xfId="5910" xr:uid="{00000000-0005-0000-0000-00002A0E0000}"/>
    <cellStyle name="Normal 12 3 2 4 3 2" xfId="41428" xr:uid="{8A817156-8A2F-4716-951B-4D2292D49892}"/>
    <cellStyle name="Normal 12 3 2 4 3 3" xfId="32981" xr:uid="{C3F63C38-B30D-4894-839A-D4BF31B324CA}"/>
    <cellStyle name="Normal 12 3 2 4 3 4" xfId="24533" xr:uid="{EFE35779-E620-453F-A251-3030A763C9C4}"/>
    <cellStyle name="Normal 12 3 2 4 3 5" xfId="15236" xr:uid="{DD0DEE13-52C9-452C-B2FA-7CF34F31FAD5}"/>
    <cellStyle name="Normal 12 3 2 4 4" xfId="37211" xr:uid="{3EADFC95-B1B4-49B2-95B4-491A2950BEF1}"/>
    <cellStyle name="Normal 12 3 2 4 5" xfId="28763" xr:uid="{3995C9BE-D70F-466C-9B9E-8EDF3651A967}"/>
    <cellStyle name="Normal 12 3 2 4 6" xfId="20316" xr:uid="{0A1F36F5-1CB2-471A-BD69-427BAE541675}"/>
    <cellStyle name="Normal 12 3 2 4 7" xfId="11019" xr:uid="{74E4C33A-008F-4112-9797-309B1B5C93B2}"/>
    <cellStyle name="Normal 12 3 2 5" xfId="2017" xr:uid="{00000000-0005-0000-0000-00002B0E0000}"/>
    <cellStyle name="Normal 12 3 2 5 2" xfId="4246" xr:uid="{00000000-0005-0000-0000-00002C0E0000}"/>
    <cellStyle name="Normal 12 3 2 5 2 2" xfId="8468" xr:uid="{00000000-0005-0000-0000-00002D0E0000}"/>
    <cellStyle name="Normal 12 3 2 5 2 2 2" xfId="43986" xr:uid="{2863A14A-3A24-400B-B1B9-4F1E6B522B61}"/>
    <cellStyle name="Normal 12 3 2 5 2 2 3" xfId="35539" xr:uid="{5B705C69-D7CD-4B21-BB00-6E0E6AE0624B}"/>
    <cellStyle name="Normal 12 3 2 5 2 2 4" xfId="27091" xr:uid="{6422C4F8-D4B4-4BB0-BA49-EFFE9762B28F}"/>
    <cellStyle name="Normal 12 3 2 5 2 2 5" xfId="17794" xr:uid="{3780E0AA-526B-4182-846C-C5B726D090BE}"/>
    <cellStyle name="Normal 12 3 2 5 2 3" xfId="39769" xr:uid="{E59FBD02-566E-40BD-A181-E2E11C457C8F}"/>
    <cellStyle name="Normal 12 3 2 5 2 4" xfId="31321" xr:uid="{F6B5B754-3F58-4244-B5CE-3929D02D5224}"/>
    <cellStyle name="Normal 12 3 2 5 2 5" xfId="22874" xr:uid="{73266D32-C8DE-4B03-91CF-D50D2C305BEC}"/>
    <cellStyle name="Normal 12 3 2 5 2 6" xfId="13577" xr:uid="{D1231D05-7116-40F7-BF42-7BAA2360BE79}"/>
    <cellStyle name="Normal 12 3 2 5 3" xfId="6323" xr:uid="{00000000-0005-0000-0000-00002E0E0000}"/>
    <cellStyle name="Normal 12 3 2 5 3 2" xfId="41841" xr:uid="{A4A74B54-B5F5-4518-B3F0-FE6E99C90A25}"/>
    <cellStyle name="Normal 12 3 2 5 3 3" xfId="33394" xr:uid="{8B7D42E1-A236-4934-A5B8-4A0CE0154089}"/>
    <cellStyle name="Normal 12 3 2 5 3 4" xfId="24946" xr:uid="{25F8B3F5-0178-4DFA-863D-688B8BB6DABA}"/>
    <cellStyle name="Normal 12 3 2 5 3 5" xfId="15649" xr:uid="{4935EFB6-16F7-4088-AA70-1FE799E66FF5}"/>
    <cellStyle name="Normal 12 3 2 5 4" xfId="37624" xr:uid="{9063BFE4-4570-458D-BEEC-D993803B52DB}"/>
    <cellStyle name="Normal 12 3 2 5 5" xfId="29176" xr:uid="{05D9B44B-99B5-441B-9428-0B6AA0F46441}"/>
    <cellStyle name="Normal 12 3 2 5 6" xfId="20729" xr:uid="{D48CEF8A-092B-436B-8175-18E3DEE46E57}"/>
    <cellStyle name="Normal 12 3 2 5 7" xfId="11432" xr:uid="{F1082CF7-E03D-48F8-8BDC-5BFD6B2BA300}"/>
    <cellStyle name="Normal 12 3 2 6" xfId="2453" xr:uid="{00000000-0005-0000-0000-00002F0E0000}"/>
    <cellStyle name="Normal 12 3 2 6 2" xfId="6736" xr:uid="{00000000-0005-0000-0000-0000300E0000}"/>
    <cellStyle name="Normal 12 3 2 6 2 2" xfId="42254" xr:uid="{9605006F-F6D5-4BD4-9E68-FDF57F26D49E}"/>
    <cellStyle name="Normal 12 3 2 6 2 3" xfId="33807" xr:uid="{8B7CF468-AD3A-4AF3-A978-C5A5BEC17112}"/>
    <cellStyle name="Normal 12 3 2 6 2 4" xfId="25359" xr:uid="{41F3A25F-380E-4082-B17D-711E016102FF}"/>
    <cellStyle name="Normal 12 3 2 6 2 5" xfId="16062" xr:uid="{F7FDEB2B-119C-43E8-9EBB-4299C8790EB6}"/>
    <cellStyle name="Normal 12 3 2 6 3" xfId="38037" xr:uid="{7DD2FEB2-4B1F-4B10-B6DA-9A58206661F8}"/>
    <cellStyle name="Normal 12 3 2 6 4" xfId="29589" xr:uid="{DA35B9A1-1AB3-4CF7-96DA-F84AE86C41EC}"/>
    <cellStyle name="Normal 12 3 2 6 5" xfId="21142" xr:uid="{FC0E3794-DA28-4BCF-87C3-755F413D0270}"/>
    <cellStyle name="Normal 12 3 2 6 6" xfId="11845" xr:uid="{8960A3EE-95FB-4832-9931-AE62BE1B9B23}"/>
    <cellStyle name="Normal 12 3 2 7" xfId="4670" xr:uid="{00000000-0005-0000-0000-0000310E0000}"/>
    <cellStyle name="Normal 12 3 2 7 2" xfId="40188" xr:uid="{C682ECD6-0610-429E-8725-08F70866B578}"/>
    <cellStyle name="Normal 12 3 2 7 3" xfId="31741" xr:uid="{0C0BC086-2A91-4DD9-8257-3F2C1D3387E7}"/>
    <cellStyle name="Normal 12 3 2 7 4" xfId="23293" xr:uid="{AEDC0CEA-E53F-4D4C-A76F-EB4ADCEFA950}"/>
    <cellStyle name="Normal 12 3 2 7 5" xfId="13996" xr:uid="{18211614-FF39-4290-AB97-76E5C5BC68D0}"/>
    <cellStyle name="Normal 12 3 2 8" xfId="9080" xr:uid="{403F3083-4A9F-4295-B676-C31241B8936E}"/>
    <cellStyle name="Normal 12 3 2 8 2" xfId="35971" xr:uid="{A7227EBE-7707-4BF1-8A3E-B24CE50D3AA5}"/>
    <cellStyle name="Normal 12 3 2 8 3" xfId="18403" xr:uid="{C6D09846-DD8D-4DDF-AA4C-6D2054684B38}"/>
    <cellStyle name="Normal 12 3 2 9" xfId="27523" xr:uid="{E035426E-4DF6-4D58-A7BB-9270E8A2CFD9}"/>
    <cellStyle name="Normal 12 3 3" xfId="765" xr:uid="{00000000-0005-0000-0000-0000320E0000}"/>
    <cellStyle name="Normal 12 3 3 2" xfId="3006" xr:uid="{00000000-0005-0000-0000-0000330E0000}"/>
    <cellStyle name="Normal 12 3 3 2 2" xfId="7228" xr:uid="{00000000-0005-0000-0000-0000340E0000}"/>
    <cellStyle name="Normal 12 3 3 2 2 2" xfId="42746" xr:uid="{063CCEDE-4C82-4022-8881-A1A9C5E35DD7}"/>
    <cellStyle name="Normal 12 3 3 2 2 3" xfId="34299" xr:uid="{880DA152-16FE-410E-A5BC-8D130C6776E1}"/>
    <cellStyle name="Normal 12 3 3 2 2 4" xfId="25851" xr:uid="{AC9444A6-4899-496B-AAEE-571F9DDC161B}"/>
    <cellStyle name="Normal 12 3 3 2 2 5" xfId="16554" xr:uid="{D6F2AB5D-7FD9-4E8F-9570-DF0C4069DD9F}"/>
    <cellStyle name="Normal 12 3 3 2 3" xfId="38529" xr:uid="{A9189547-26A8-4DE2-8953-3B8CE412E754}"/>
    <cellStyle name="Normal 12 3 3 2 4" xfId="30081" xr:uid="{317E4CA7-DBD2-47CE-9A6F-A6A97A307A6C}"/>
    <cellStyle name="Normal 12 3 3 2 5" xfId="21634" xr:uid="{2CC92DC3-4C1A-496F-8720-6D373D1B9E22}"/>
    <cellStyle name="Normal 12 3 3 2 6" xfId="12337" xr:uid="{4446C52E-2BCB-43E7-A286-6C4AAF835C4F}"/>
    <cellStyle name="Normal 12 3 3 3" xfId="5083" xr:uid="{00000000-0005-0000-0000-0000350E0000}"/>
    <cellStyle name="Normal 12 3 3 3 2" xfId="40601" xr:uid="{D35B0361-DAF8-4905-9D0C-06077BA49083}"/>
    <cellStyle name="Normal 12 3 3 3 3" xfId="32154" xr:uid="{0791744D-805A-4BC6-B15E-5221956FE478}"/>
    <cellStyle name="Normal 12 3 3 3 4" xfId="23706" xr:uid="{5265A153-12C4-4ED7-AD71-9265405DEBFA}"/>
    <cellStyle name="Normal 12 3 3 3 5" xfId="14409" xr:uid="{A56F0CEA-0A0B-4F28-A976-7393304D70F0}"/>
    <cellStyle name="Normal 12 3 3 4" xfId="9298" xr:uid="{A6F9D711-F86A-406D-B160-91678C261745}"/>
    <cellStyle name="Normal 12 3 3 4 2" xfId="36384" xr:uid="{DC6D3D08-034F-4C5C-B7E9-2F9990991CBF}"/>
    <cellStyle name="Normal 12 3 3 4 3" xfId="18611" xr:uid="{1F8790B9-0665-4A9F-9EFF-3BDEA2F9BE45}"/>
    <cellStyle name="Normal 12 3 3 5" xfId="27936" xr:uid="{804ECBAA-5F32-494C-BF9A-7AE78A518E67}"/>
    <cellStyle name="Normal 12 3 3 6" xfId="19489" xr:uid="{843D4719-BEBA-455E-9E32-682A4FA90D2A}"/>
    <cellStyle name="Normal 12 3 3 7" xfId="10192" xr:uid="{CDA9527C-D12F-4C9A-8060-A1EBDADE8776}"/>
    <cellStyle name="Normal 12 3 4" xfId="1188" xr:uid="{00000000-0005-0000-0000-0000360E0000}"/>
    <cellStyle name="Normal 12 3 4 2" xfId="3419" xr:uid="{00000000-0005-0000-0000-0000370E0000}"/>
    <cellStyle name="Normal 12 3 4 2 2" xfId="7641" xr:uid="{00000000-0005-0000-0000-0000380E0000}"/>
    <cellStyle name="Normal 12 3 4 2 2 2" xfId="43159" xr:uid="{61608730-B237-4269-8E18-87F6D0D104E0}"/>
    <cellStyle name="Normal 12 3 4 2 2 3" xfId="34712" xr:uid="{CBD181ED-3396-488F-BDD2-CFB07486971D}"/>
    <cellStyle name="Normal 12 3 4 2 2 4" xfId="26264" xr:uid="{498814C7-73D1-4EEE-A4B0-5E408755D76D}"/>
    <cellStyle name="Normal 12 3 4 2 2 5" xfId="16967" xr:uid="{EADD380B-1041-444E-AFC9-FC200A8C207A}"/>
    <cellStyle name="Normal 12 3 4 2 3" xfId="38942" xr:uid="{6C8CE74A-E7B0-4405-801F-14F217530265}"/>
    <cellStyle name="Normal 12 3 4 2 4" xfId="30494" xr:uid="{C5AC0AF5-5F7F-4DA1-8376-656801CF1C4B}"/>
    <cellStyle name="Normal 12 3 4 2 5" xfId="22047" xr:uid="{399888F3-8A00-42EB-8902-44812E46FE00}"/>
    <cellStyle name="Normal 12 3 4 2 6" xfId="12750" xr:uid="{DF7F5191-2CD8-4B71-87FE-5D2EB63E4095}"/>
    <cellStyle name="Normal 12 3 4 3" xfId="5496" xr:uid="{00000000-0005-0000-0000-0000390E0000}"/>
    <cellStyle name="Normal 12 3 4 3 2" xfId="41014" xr:uid="{CDAC1D2E-4160-4731-860F-D36E5A9A6A72}"/>
    <cellStyle name="Normal 12 3 4 3 3" xfId="32567" xr:uid="{FDB841BF-F842-4F06-B613-582A95B55DA1}"/>
    <cellStyle name="Normal 12 3 4 3 4" xfId="24119" xr:uid="{61F1FC49-64F4-457A-853C-4D1BF9F6095F}"/>
    <cellStyle name="Normal 12 3 4 3 5" xfId="14822" xr:uid="{F34181CD-DD93-4399-8E0A-280B1C8F3741}"/>
    <cellStyle name="Normal 12 3 4 4" xfId="36797" xr:uid="{E456040C-50BA-4CEF-8C80-F5AD8DC2B3D0}"/>
    <cellStyle name="Normal 12 3 4 5" xfId="28349" xr:uid="{A44B7A5F-C321-4911-AF7F-B0A9D504B29D}"/>
    <cellStyle name="Normal 12 3 4 6" xfId="19902" xr:uid="{B0D86B1F-7EBE-4106-A659-3CE6D45C8E91}"/>
    <cellStyle name="Normal 12 3 4 7" xfId="10605" xr:uid="{E44B48C0-771A-4DCA-8B68-C63C1359998F}"/>
    <cellStyle name="Normal 12 3 5" xfId="1602" xr:uid="{00000000-0005-0000-0000-00003A0E0000}"/>
    <cellStyle name="Normal 12 3 5 2" xfId="3832" xr:uid="{00000000-0005-0000-0000-00003B0E0000}"/>
    <cellStyle name="Normal 12 3 5 2 2" xfId="8054" xr:uid="{00000000-0005-0000-0000-00003C0E0000}"/>
    <cellStyle name="Normal 12 3 5 2 2 2" xfId="43572" xr:uid="{25216685-5D3D-4C51-B70F-63AE7BA0D7EE}"/>
    <cellStyle name="Normal 12 3 5 2 2 3" xfId="35125" xr:uid="{125FCC50-08B9-4076-B7D9-7A46C06AD983}"/>
    <cellStyle name="Normal 12 3 5 2 2 4" xfId="26677" xr:uid="{141E27AF-9650-4F00-BB1B-705BB95B0248}"/>
    <cellStyle name="Normal 12 3 5 2 2 5" xfId="17380" xr:uid="{69EE5D5F-FAD5-4727-91A6-CC28E0309150}"/>
    <cellStyle name="Normal 12 3 5 2 3" xfId="39355" xr:uid="{D85B046C-30D0-41D3-969C-432584CDA064}"/>
    <cellStyle name="Normal 12 3 5 2 4" xfId="30907" xr:uid="{E6EB0342-052A-4149-B37F-E627211CFF74}"/>
    <cellStyle name="Normal 12 3 5 2 5" xfId="22460" xr:uid="{524A06E8-5F34-4A4D-9748-71D006860638}"/>
    <cellStyle name="Normal 12 3 5 2 6" xfId="13163" xr:uid="{980970CE-29C3-4F4C-9A5F-353488AA4593}"/>
    <cellStyle name="Normal 12 3 5 3" xfId="5909" xr:uid="{00000000-0005-0000-0000-00003D0E0000}"/>
    <cellStyle name="Normal 12 3 5 3 2" xfId="41427" xr:uid="{91CB36FF-7583-470D-A266-5A4879EAF26E}"/>
    <cellStyle name="Normal 12 3 5 3 3" xfId="32980" xr:uid="{374101AF-D893-4B2A-86D9-2EC5DE9CAA39}"/>
    <cellStyle name="Normal 12 3 5 3 4" xfId="24532" xr:uid="{FFCD5BD3-22D1-405A-B6FF-99C8EA3DFD07}"/>
    <cellStyle name="Normal 12 3 5 3 5" xfId="15235" xr:uid="{7DD2F9CE-498B-49A7-9E0B-D7D778E7D76A}"/>
    <cellStyle name="Normal 12 3 5 4" xfId="37210" xr:uid="{6BDB3F75-CFD6-4C56-8C6F-9F9307317575}"/>
    <cellStyle name="Normal 12 3 5 5" xfId="28762" xr:uid="{634A5CF5-EAA6-44C4-B0E7-186C801E5B22}"/>
    <cellStyle name="Normal 12 3 5 6" xfId="20315" xr:uid="{A055B18A-F602-49EA-B47B-3F090FCC5DBF}"/>
    <cellStyle name="Normal 12 3 5 7" xfId="11018" xr:uid="{F077FD83-FE05-463E-B5C5-043DED8993DE}"/>
    <cellStyle name="Normal 12 3 6" xfId="2016" xr:uid="{00000000-0005-0000-0000-00003E0E0000}"/>
    <cellStyle name="Normal 12 3 6 2" xfId="4245" xr:uid="{00000000-0005-0000-0000-00003F0E0000}"/>
    <cellStyle name="Normal 12 3 6 2 2" xfId="8467" xr:uid="{00000000-0005-0000-0000-0000400E0000}"/>
    <cellStyle name="Normal 12 3 6 2 2 2" xfId="43985" xr:uid="{F39D3295-20DE-477E-9AE3-38C017D45DCD}"/>
    <cellStyle name="Normal 12 3 6 2 2 3" xfId="35538" xr:uid="{9E20B1FB-D3CE-49DD-B384-A8D2B729A578}"/>
    <cellStyle name="Normal 12 3 6 2 2 4" xfId="27090" xr:uid="{25501BE3-C5BA-4B11-BD0F-96A0CF4DD97E}"/>
    <cellStyle name="Normal 12 3 6 2 2 5" xfId="17793" xr:uid="{52187773-C880-4959-B291-C7FD0F558FE0}"/>
    <cellStyle name="Normal 12 3 6 2 3" xfId="39768" xr:uid="{D1C236A2-4985-4F15-BEF9-2326CC1E6D4E}"/>
    <cellStyle name="Normal 12 3 6 2 4" xfId="31320" xr:uid="{C2E21823-EA17-4E6F-AFCC-32F97C4733CC}"/>
    <cellStyle name="Normal 12 3 6 2 5" xfId="22873" xr:uid="{24DC7840-C467-4D59-8650-DC1121682581}"/>
    <cellStyle name="Normal 12 3 6 2 6" xfId="13576" xr:uid="{FE2075CD-DFCC-41E6-B6F5-5027C12F57EC}"/>
    <cellStyle name="Normal 12 3 6 3" xfId="6322" xr:uid="{00000000-0005-0000-0000-0000410E0000}"/>
    <cellStyle name="Normal 12 3 6 3 2" xfId="41840" xr:uid="{B0847B71-F50E-420A-914C-180013A9ADF4}"/>
    <cellStyle name="Normal 12 3 6 3 3" xfId="33393" xr:uid="{0616D181-CBBB-4C1D-A500-31C769FAE771}"/>
    <cellStyle name="Normal 12 3 6 3 4" xfId="24945" xr:uid="{730AFE83-C6FB-48A9-AD81-AAB894FF122C}"/>
    <cellStyle name="Normal 12 3 6 3 5" xfId="15648" xr:uid="{D291908B-7BE0-4B94-A2AB-75D2D958BEB3}"/>
    <cellStyle name="Normal 12 3 6 4" xfId="37623" xr:uid="{8AFE2DBE-CEB1-40B8-B53E-49BBA91DD8EC}"/>
    <cellStyle name="Normal 12 3 6 5" xfId="29175" xr:uid="{64D20AB8-D352-4493-A112-86472448B6CA}"/>
    <cellStyle name="Normal 12 3 6 6" xfId="20728" xr:uid="{37822804-738B-4396-8EC9-3E300E06FAB4}"/>
    <cellStyle name="Normal 12 3 6 7" xfId="11431" xr:uid="{DF559B79-2E32-40ED-B212-A319F7A1AF27}"/>
    <cellStyle name="Normal 12 3 7" xfId="2452" xr:uid="{00000000-0005-0000-0000-0000420E0000}"/>
    <cellStyle name="Normal 12 3 7 2" xfId="6735" xr:uid="{00000000-0005-0000-0000-0000430E0000}"/>
    <cellStyle name="Normal 12 3 7 2 2" xfId="42253" xr:uid="{2172C6EE-F694-46E0-A081-44DC6EA531D8}"/>
    <cellStyle name="Normal 12 3 7 2 3" xfId="33806" xr:uid="{1C4B65C2-15C9-40D1-A469-D1C43C3921C0}"/>
    <cellStyle name="Normal 12 3 7 2 4" xfId="25358" xr:uid="{5E8F176D-8CC8-45EF-988E-A5C60E3363C2}"/>
    <cellStyle name="Normal 12 3 7 2 5" xfId="16061" xr:uid="{534C7862-DA0F-45C5-A380-DF1F515894C8}"/>
    <cellStyle name="Normal 12 3 7 3" xfId="38036" xr:uid="{C6F733A5-3A7B-4389-8E80-D89BB3E3DBCE}"/>
    <cellStyle name="Normal 12 3 7 4" xfId="29588" xr:uid="{021A4610-FBE9-4BFD-9056-D8B4838D3541}"/>
    <cellStyle name="Normal 12 3 7 5" xfId="21141" xr:uid="{F10AE5E1-9B8C-429B-8F8B-706F41F36CA1}"/>
    <cellStyle name="Normal 12 3 7 6" xfId="11844" xr:uid="{A611ACF4-BED2-4C44-8F7F-9C07EC50E29C}"/>
    <cellStyle name="Normal 12 3 8" xfId="4669" xr:uid="{00000000-0005-0000-0000-0000440E0000}"/>
    <cellStyle name="Normal 12 3 8 2" xfId="40187" xr:uid="{BD268572-4BC9-4275-AEA3-C0230684EE1A}"/>
    <cellStyle name="Normal 12 3 8 3" xfId="31740" xr:uid="{9E048479-248B-4569-8F92-22D0916D9E1E}"/>
    <cellStyle name="Normal 12 3 8 4" xfId="23292" xr:uid="{56D19B4E-5296-481E-9402-5FF67886677C}"/>
    <cellStyle name="Normal 12 3 8 5" xfId="13995" xr:uid="{DC4906C6-F4AC-4E1A-8AB4-002536B67425}"/>
    <cellStyle name="Normal 12 3 9" xfId="8873" xr:uid="{72AE7E6C-F254-4BFC-80A7-F73848FA4F21}"/>
    <cellStyle name="Normal 12 3 9 2" xfId="35970" xr:uid="{6BBE8EF4-D16A-4B64-AB07-C239EA99F7EB}"/>
    <cellStyle name="Normal 12 3 9 3" xfId="18196" xr:uid="{820497D2-63BC-44FB-B1F8-42BEC4C293B7}"/>
    <cellStyle name="Normal 12 4" xfId="266" xr:uid="{00000000-0005-0000-0000-0000450E0000}"/>
    <cellStyle name="Normal 12 4 10" xfId="19077" xr:uid="{5447FA33-5BA2-4D79-B304-C0C822DB8BC3}"/>
    <cellStyle name="Normal 12 4 11" xfId="9780" xr:uid="{E60B406A-46AD-482B-B218-9514A79EC389}"/>
    <cellStyle name="Normal 12 4 2" xfId="767" xr:uid="{00000000-0005-0000-0000-0000460E0000}"/>
    <cellStyle name="Normal 12 4 2 2" xfId="3008" xr:uid="{00000000-0005-0000-0000-0000470E0000}"/>
    <cellStyle name="Normal 12 4 2 2 2" xfId="7230" xr:uid="{00000000-0005-0000-0000-0000480E0000}"/>
    <cellStyle name="Normal 12 4 2 2 2 2" xfId="42748" xr:uid="{FB11260C-4A95-40A6-9D50-A26FD1C2B8D7}"/>
    <cellStyle name="Normal 12 4 2 2 2 3" xfId="34301" xr:uid="{D39BB4B9-B655-45A1-8827-D644C14B0AEB}"/>
    <cellStyle name="Normal 12 4 2 2 2 4" xfId="25853" xr:uid="{AFBFA5EA-E668-43F8-95BA-DAF889C982AB}"/>
    <cellStyle name="Normal 12 4 2 2 2 5" xfId="16556" xr:uid="{EF95D21D-5F7D-4560-ABD8-76FDDBBDC20D}"/>
    <cellStyle name="Normal 12 4 2 2 3" xfId="38531" xr:uid="{5229F65D-ED98-4318-A784-9FE5BA079A89}"/>
    <cellStyle name="Normal 12 4 2 2 4" xfId="30083" xr:uid="{B3F37942-A755-49C7-A568-925E829C0B35}"/>
    <cellStyle name="Normal 12 4 2 2 5" xfId="21636" xr:uid="{5CAD5C38-F135-4F87-8E61-5FBF2D8AB4DF}"/>
    <cellStyle name="Normal 12 4 2 2 6" xfId="12339" xr:uid="{EE74460F-C997-40B9-A444-C2AC05666F3A}"/>
    <cellStyle name="Normal 12 4 2 3" xfId="5085" xr:uid="{00000000-0005-0000-0000-0000490E0000}"/>
    <cellStyle name="Normal 12 4 2 3 2" xfId="40603" xr:uid="{74CE01F9-7EEC-46FE-AA3B-600CAF215708}"/>
    <cellStyle name="Normal 12 4 2 3 3" xfId="32156" xr:uid="{2D06946E-B0E3-4280-B9A4-1429E236BF80}"/>
    <cellStyle name="Normal 12 4 2 3 4" xfId="23708" xr:uid="{E3DB03A3-AAC7-405E-BCCA-EA78C894491B}"/>
    <cellStyle name="Normal 12 4 2 3 5" xfId="14411" xr:uid="{B597DE01-8654-4325-978F-E3C5E6A73AB7}"/>
    <cellStyle name="Normal 12 4 2 4" xfId="9402" xr:uid="{F40C9AB7-F4D0-4A65-BBAA-FF5409160FE5}"/>
    <cellStyle name="Normal 12 4 2 4 2" xfId="36386" xr:uid="{C43E901F-1789-4D3F-AB76-40C7B4EC94C3}"/>
    <cellStyle name="Normal 12 4 2 4 3" xfId="18715" xr:uid="{A533C62F-CDAB-48EB-94FE-709638B7E4AB}"/>
    <cellStyle name="Normal 12 4 2 5" xfId="27938" xr:uid="{6ADAB7F0-BCB3-4D3B-B456-C173BF5FE7FC}"/>
    <cellStyle name="Normal 12 4 2 6" xfId="19491" xr:uid="{0DFC1B4A-2081-4782-924A-B24231832414}"/>
    <cellStyle name="Normal 12 4 2 7" xfId="10194" xr:uid="{DDF8F857-49F3-4BB6-A851-76F647A3DD32}"/>
    <cellStyle name="Normal 12 4 3" xfId="1190" xr:uid="{00000000-0005-0000-0000-00004A0E0000}"/>
    <cellStyle name="Normal 12 4 3 2" xfId="3421" xr:uid="{00000000-0005-0000-0000-00004B0E0000}"/>
    <cellStyle name="Normal 12 4 3 2 2" xfId="7643" xr:uid="{00000000-0005-0000-0000-00004C0E0000}"/>
    <cellStyle name="Normal 12 4 3 2 2 2" xfId="43161" xr:uid="{B52A338E-97A4-4D28-AAF6-088EFEE5F0F9}"/>
    <cellStyle name="Normal 12 4 3 2 2 3" xfId="34714" xr:uid="{C4FC8A66-CEC6-4130-BD92-F4D1AE5A4DE2}"/>
    <cellStyle name="Normal 12 4 3 2 2 4" xfId="26266" xr:uid="{1F22697E-A336-469F-975E-2E6E94459A4B}"/>
    <cellStyle name="Normal 12 4 3 2 2 5" xfId="16969" xr:uid="{5EDE1057-C468-4AC8-AB58-6D1156B63C49}"/>
    <cellStyle name="Normal 12 4 3 2 3" xfId="38944" xr:uid="{9CDDC387-A1EA-4C94-85C8-224E31FAB3B9}"/>
    <cellStyle name="Normal 12 4 3 2 4" xfId="30496" xr:uid="{036902CF-89E0-423D-88D4-7C3C6EE544FB}"/>
    <cellStyle name="Normal 12 4 3 2 5" xfId="22049" xr:uid="{3327DB8F-E0CF-4EC6-950A-EE3B72C935C1}"/>
    <cellStyle name="Normal 12 4 3 2 6" xfId="12752" xr:uid="{57413523-E37A-489E-94B9-608CAD5ACD78}"/>
    <cellStyle name="Normal 12 4 3 3" xfId="5498" xr:uid="{00000000-0005-0000-0000-00004D0E0000}"/>
    <cellStyle name="Normal 12 4 3 3 2" xfId="41016" xr:uid="{4CAF1BD0-E36E-43DA-9FEA-B8AD67373872}"/>
    <cellStyle name="Normal 12 4 3 3 3" xfId="32569" xr:uid="{9949443C-9A61-4C93-9F2C-A4F118AB3E93}"/>
    <cellStyle name="Normal 12 4 3 3 4" xfId="24121" xr:uid="{4EB35161-8652-4AC6-AA25-F75125F3B57D}"/>
    <cellStyle name="Normal 12 4 3 3 5" xfId="14824" xr:uid="{C1120554-23A0-492D-8899-1DF6EE0FD8D1}"/>
    <cellStyle name="Normal 12 4 3 4" xfId="36799" xr:uid="{469584EF-4342-4E76-92DD-BC5CEDF9DABA}"/>
    <cellStyle name="Normal 12 4 3 5" xfId="28351" xr:uid="{811BBCEB-5905-42CD-96DC-D4689B88C185}"/>
    <cellStyle name="Normal 12 4 3 6" xfId="19904" xr:uid="{325A06B0-4E85-40DD-9DA1-98568512DCDD}"/>
    <cellStyle name="Normal 12 4 3 7" xfId="10607" xr:uid="{D6AFB2B4-C17E-4029-AB51-B2A57B2116F9}"/>
    <cellStyle name="Normal 12 4 4" xfId="1604" xr:uid="{00000000-0005-0000-0000-00004E0E0000}"/>
    <cellStyle name="Normal 12 4 4 2" xfId="3834" xr:uid="{00000000-0005-0000-0000-00004F0E0000}"/>
    <cellStyle name="Normal 12 4 4 2 2" xfId="8056" xr:uid="{00000000-0005-0000-0000-0000500E0000}"/>
    <cellStyle name="Normal 12 4 4 2 2 2" xfId="43574" xr:uid="{5EF20132-C550-4CDC-B1ED-BCD2B828514E}"/>
    <cellStyle name="Normal 12 4 4 2 2 3" xfId="35127" xr:uid="{38A5C551-DC19-4214-ACFA-2091F4C2679F}"/>
    <cellStyle name="Normal 12 4 4 2 2 4" xfId="26679" xr:uid="{B8188A4A-8A06-446A-B6B1-24CC362836EB}"/>
    <cellStyle name="Normal 12 4 4 2 2 5" xfId="17382" xr:uid="{CE94A639-B0B8-4738-93CC-771853F953A9}"/>
    <cellStyle name="Normal 12 4 4 2 3" xfId="39357" xr:uid="{95F82579-1B69-49DB-BEDE-D183738E29E2}"/>
    <cellStyle name="Normal 12 4 4 2 4" xfId="30909" xr:uid="{B5761E61-2771-4A90-B6AD-3528F09797E0}"/>
    <cellStyle name="Normal 12 4 4 2 5" xfId="22462" xr:uid="{31C5A90C-EAB5-4218-92DA-1C2B7F71AF2D}"/>
    <cellStyle name="Normal 12 4 4 2 6" xfId="13165" xr:uid="{95608702-E8C8-4D54-A7FB-F30ACEABA9AF}"/>
    <cellStyle name="Normal 12 4 4 3" xfId="5911" xr:uid="{00000000-0005-0000-0000-0000510E0000}"/>
    <cellStyle name="Normal 12 4 4 3 2" xfId="41429" xr:uid="{22C93673-25A7-4A4B-8A0E-FB1526C6793B}"/>
    <cellStyle name="Normal 12 4 4 3 3" xfId="32982" xr:uid="{484ADBDD-8827-423B-8763-FF39DC8BF349}"/>
    <cellStyle name="Normal 12 4 4 3 4" xfId="24534" xr:uid="{2E893216-4930-4A40-95F0-E6B3B8F0B97D}"/>
    <cellStyle name="Normal 12 4 4 3 5" xfId="15237" xr:uid="{15B43BCE-3A54-48BD-94F1-34AD05DA6653}"/>
    <cellStyle name="Normal 12 4 4 4" xfId="37212" xr:uid="{BD04193D-4249-47C6-8B62-4691D3F9D4A9}"/>
    <cellStyle name="Normal 12 4 4 5" xfId="28764" xr:uid="{F8D8ACB9-C884-4822-8F54-DFFF0D0B63D0}"/>
    <cellStyle name="Normal 12 4 4 6" xfId="20317" xr:uid="{0E74E61F-F499-4466-839A-8F2A6982CD60}"/>
    <cellStyle name="Normal 12 4 4 7" xfId="11020" xr:uid="{2DD6B539-A30B-418B-AC71-FE7F3938ED75}"/>
    <cellStyle name="Normal 12 4 5" xfId="2018" xr:uid="{00000000-0005-0000-0000-0000520E0000}"/>
    <cellStyle name="Normal 12 4 5 2" xfId="4247" xr:uid="{00000000-0005-0000-0000-0000530E0000}"/>
    <cellStyle name="Normal 12 4 5 2 2" xfId="8469" xr:uid="{00000000-0005-0000-0000-0000540E0000}"/>
    <cellStyle name="Normal 12 4 5 2 2 2" xfId="43987" xr:uid="{892E20A2-40D1-4C8C-A6E1-7C1A54D887CD}"/>
    <cellStyle name="Normal 12 4 5 2 2 3" xfId="35540" xr:uid="{220E7080-7898-4EA0-A03B-0A37E933C4C0}"/>
    <cellStyle name="Normal 12 4 5 2 2 4" xfId="27092" xr:uid="{9980805B-8CEA-4DB5-8C06-6335497F3302}"/>
    <cellStyle name="Normal 12 4 5 2 2 5" xfId="17795" xr:uid="{54E7E22D-2966-480F-BE5A-A50758A33A67}"/>
    <cellStyle name="Normal 12 4 5 2 3" xfId="39770" xr:uid="{C53265CD-3094-42C3-A241-6B8E31A19EAA}"/>
    <cellStyle name="Normal 12 4 5 2 4" xfId="31322" xr:uid="{D1743570-BEEC-4239-85C6-840D7D31D3D0}"/>
    <cellStyle name="Normal 12 4 5 2 5" xfId="22875" xr:uid="{99F1A216-2556-4714-9D5C-E75F4ECB7933}"/>
    <cellStyle name="Normal 12 4 5 2 6" xfId="13578" xr:uid="{8930E6D6-3CD8-4FE3-AE2A-ECCD50DED98E}"/>
    <cellStyle name="Normal 12 4 5 3" xfId="6324" xr:uid="{00000000-0005-0000-0000-0000550E0000}"/>
    <cellStyle name="Normal 12 4 5 3 2" xfId="41842" xr:uid="{6EBFCD73-D0D5-4A39-9426-D156B057A249}"/>
    <cellStyle name="Normal 12 4 5 3 3" xfId="33395" xr:uid="{900F7359-7746-44D0-8B09-3C80E744BF28}"/>
    <cellStyle name="Normal 12 4 5 3 4" xfId="24947" xr:uid="{A6685CE7-86C2-4CD9-8B8E-642203395E67}"/>
    <cellStyle name="Normal 12 4 5 3 5" xfId="15650" xr:uid="{D3162C72-2944-42E8-880D-1B433A668351}"/>
    <cellStyle name="Normal 12 4 5 4" xfId="37625" xr:uid="{E58F52B1-876E-4846-9E3A-47965A1877C8}"/>
    <cellStyle name="Normal 12 4 5 5" xfId="29177" xr:uid="{28BE34DF-32EC-4BFF-837E-B6356B09F42E}"/>
    <cellStyle name="Normal 12 4 5 6" xfId="20730" xr:uid="{90D06EC2-D2C5-4956-88FA-FCAA46E09C57}"/>
    <cellStyle name="Normal 12 4 5 7" xfId="11433" xr:uid="{4FB5FF33-A226-4445-86BF-71105D11A5BF}"/>
    <cellStyle name="Normal 12 4 6" xfId="2454" xr:uid="{00000000-0005-0000-0000-0000560E0000}"/>
    <cellStyle name="Normal 12 4 6 2" xfId="6737" xr:uid="{00000000-0005-0000-0000-0000570E0000}"/>
    <cellStyle name="Normal 12 4 6 2 2" xfId="42255" xr:uid="{DD27DE81-DA36-445D-81AE-DFF8AEF95C28}"/>
    <cellStyle name="Normal 12 4 6 2 3" xfId="33808" xr:uid="{E1B36A51-DDF2-4F9B-93C5-6D1B47D07B13}"/>
    <cellStyle name="Normal 12 4 6 2 4" xfId="25360" xr:uid="{0327D74B-9B2A-4E4F-9218-F568C5857F57}"/>
    <cellStyle name="Normal 12 4 6 2 5" xfId="16063" xr:uid="{5891DEE0-D977-4F48-9E0D-434E31A14F2C}"/>
    <cellStyle name="Normal 12 4 6 3" xfId="38038" xr:uid="{56005178-0519-48DD-840E-6B27609FFC51}"/>
    <cellStyle name="Normal 12 4 6 4" xfId="29590" xr:uid="{EBC51053-BA8F-4110-9279-A7C49E8C25ED}"/>
    <cellStyle name="Normal 12 4 6 5" xfId="21143" xr:uid="{C9B53FFD-F7C7-4FDE-BD1D-5FDF8B2E04D0}"/>
    <cellStyle name="Normal 12 4 6 6" xfId="11846" xr:uid="{727F8B73-CFC6-48E3-8E5C-7ACB83C731C4}"/>
    <cellStyle name="Normal 12 4 7" xfId="4671" xr:uid="{00000000-0005-0000-0000-0000580E0000}"/>
    <cellStyle name="Normal 12 4 7 2" xfId="40189" xr:uid="{2AC5443E-93E1-46FD-A6A1-5C8B362C7F20}"/>
    <cellStyle name="Normal 12 4 7 3" xfId="31742" xr:uid="{1300DED5-EA47-4F08-95E0-A9422FB33BCC}"/>
    <cellStyle name="Normal 12 4 7 4" xfId="23294" xr:uid="{0B7CD338-E05D-4353-ACEF-162C86A43E4E}"/>
    <cellStyle name="Normal 12 4 7 5" xfId="13997" xr:uid="{6D8D8B0B-B1B0-4ADB-B538-BB3347768F0E}"/>
    <cellStyle name="Normal 12 4 8" xfId="8977" xr:uid="{5BFFE5F3-99F6-4DA1-A3EF-BF749B3B7ACB}"/>
    <cellStyle name="Normal 12 4 8 2" xfId="35972" xr:uid="{218A7653-963F-49A1-A179-8DBCB5F91167}"/>
    <cellStyle name="Normal 12 4 8 3" xfId="18300" xr:uid="{FD2E2EC1-2DD0-456D-A515-A6727853C3EB}"/>
    <cellStyle name="Normal 12 4 9" xfId="27524" xr:uid="{E8A395AB-8975-40DE-8450-3D49A3F5C4CB}"/>
    <cellStyle name="Normal 12 5" xfId="267" xr:uid="{00000000-0005-0000-0000-0000590E0000}"/>
    <cellStyle name="Normal 12 5 2" xfId="9579" xr:uid="{43940F87-8803-4E34-B3E0-736FAF89CA32}"/>
    <cellStyle name="Normal 12 5 2 2" xfId="18892" xr:uid="{AD756969-E2DF-4A18-8943-6BCF5D848172}"/>
    <cellStyle name="Normal 12 5 3" xfId="9586" xr:uid="{72B01073-C2DA-4DF8-9E0D-6932F6AF67FF}"/>
    <cellStyle name="Normal 12 5 4" xfId="9156" xr:uid="{4BCB05AE-5738-4A10-9D4D-B3A4CD16FD2C}"/>
    <cellStyle name="Normal 12 5 4 2" xfId="18477" xr:uid="{E8E6A6FA-F822-41FC-95D4-5D576E1AE0B2}"/>
    <cellStyle name="Normal 12 6" xfId="760" xr:uid="{00000000-0005-0000-0000-00005A0E0000}"/>
    <cellStyle name="Normal 12 6 2" xfId="3001" xr:uid="{00000000-0005-0000-0000-00005B0E0000}"/>
    <cellStyle name="Normal 12 6 2 2" xfId="7223" xr:uid="{00000000-0005-0000-0000-00005C0E0000}"/>
    <cellStyle name="Normal 12 6 2 2 2" xfId="42741" xr:uid="{2945EF03-0486-42D5-82C2-E618465F395D}"/>
    <cellStyle name="Normal 12 6 2 2 3" xfId="34294" xr:uid="{597E8524-7EA2-4FC4-8B1E-2B167B4C80BC}"/>
    <cellStyle name="Normal 12 6 2 2 4" xfId="25846" xr:uid="{EA17D4B2-B4FC-4518-83A1-8AB853DC38FF}"/>
    <cellStyle name="Normal 12 6 2 2 5" xfId="16549" xr:uid="{7F1C72A5-D455-4E99-8802-826BC59685F5}"/>
    <cellStyle name="Normal 12 6 2 3" xfId="38524" xr:uid="{3EBA3D9F-0A8F-4650-A5D5-2B3E9CAE49C9}"/>
    <cellStyle name="Normal 12 6 2 4" xfId="30076" xr:uid="{57576EEA-6CE7-42BF-B27D-73A530BF52F2}"/>
    <cellStyle name="Normal 12 6 2 5" xfId="21629" xr:uid="{52ECBA8F-4A23-48F6-AC82-34116044ABA7}"/>
    <cellStyle name="Normal 12 6 2 6" xfId="12332" xr:uid="{6068F2E2-8134-4796-BCF8-98030412DF01}"/>
    <cellStyle name="Normal 12 6 3" xfId="5078" xr:uid="{00000000-0005-0000-0000-00005D0E0000}"/>
    <cellStyle name="Normal 12 6 3 2" xfId="40596" xr:uid="{EC01CC58-F21B-454C-9293-D608B5D3F575}"/>
    <cellStyle name="Normal 12 6 3 3" xfId="32149" xr:uid="{BBFB872A-BADB-456E-A6CA-37DABF4E6F2F}"/>
    <cellStyle name="Normal 12 6 3 4" xfId="23701" xr:uid="{9E43ED71-B628-40D1-A1F6-93012AD556A8}"/>
    <cellStyle name="Normal 12 6 3 5" xfId="14404" xr:uid="{546720EF-1D5D-47C8-9600-A24D1A7938BA}"/>
    <cellStyle name="Normal 12 6 4" xfId="9194" xr:uid="{92D32932-3865-4F6F-A551-9A99EC116A43}"/>
    <cellStyle name="Normal 12 6 4 2" xfId="36379" xr:uid="{67AF4FC2-C55F-47EA-8131-0F6C7185F859}"/>
    <cellStyle name="Normal 12 6 4 3" xfId="18508" xr:uid="{2AAF46F6-E647-4A52-B82F-BB5848723CC5}"/>
    <cellStyle name="Normal 12 6 5" xfId="27931" xr:uid="{F34097F7-D700-4DD0-B42E-AA8CEC0E8FEF}"/>
    <cellStyle name="Normal 12 6 6" xfId="19484" xr:uid="{9CF96522-615B-403F-9BF0-10095543706B}"/>
    <cellStyle name="Normal 12 6 7" xfId="10187" xr:uid="{19C4EDE0-8465-4C51-86AF-9EEFCFCDE5E6}"/>
    <cellStyle name="Normal 12 7" xfId="1183" xr:uid="{00000000-0005-0000-0000-00005E0E0000}"/>
    <cellStyle name="Normal 12 7 2" xfId="3414" xr:uid="{00000000-0005-0000-0000-00005F0E0000}"/>
    <cellStyle name="Normal 12 7 2 2" xfId="7636" xr:uid="{00000000-0005-0000-0000-0000600E0000}"/>
    <cellStyle name="Normal 12 7 2 2 2" xfId="43154" xr:uid="{9E828438-FD3A-4C80-9226-D882C10E5350}"/>
    <cellStyle name="Normal 12 7 2 2 3" xfId="34707" xr:uid="{FBBD83BA-198D-4BE3-BCCF-BD1B33D8CD7F}"/>
    <cellStyle name="Normal 12 7 2 2 4" xfId="26259" xr:uid="{64E9B104-5213-40D6-8FD0-1437B5D283C2}"/>
    <cellStyle name="Normal 12 7 2 2 5" xfId="16962" xr:uid="{BC417D9F-33D2-4188-A750-CD088AECE0D1}"/>
    <cellStyle name="Normal 12 7 2 3" xfId="38937" xr:uid="{9874DBF2-76E8-4E4E-89B0-883DCC39D814}"/>
    <cellStyle name="Normal 12 7 2 4" xfId="30489" xr:uid="{7D14B1AC-D1BF-415B-A2D6-C358A9BD60B9}"/>
    <cellStyle name="Normal 12 7 2 5" xfId="22042" xr:uid="{FE520FDE-F398-475D-855D-B48B0F133738}"/>
    <cellStyle name="Normal 12 7 2 6" xfId="12745" xr:uid="{4575BE0E-D609-4B86-AE8E-9AF848E8FA55}"/>
    <cellStyle name="Normal 12 7 3" xfId="5491" xr:uid="{00000000-0005-0000-0000-0000610E0000}"/>
    <cellStyle name="Normal 12 7 3 2" xfId="41009" xr:uid="{40CAC615-018C-44C7-9D86-AE05FF6F33AE}"/>
    <cellStyle name="Normal 12 7 3 3" xfId="32562" xr:uid="{214A6B71-CBC6-47D9-AB51-11459379F391}"/>
    <cellStyle name="Normal 12 7 3 4" xfId="24114" xr:uid="{0C865BBF-2572-48E6-989B-C8D31EDEBB99}"/>
    <cellStyle name="Normal 12 7 3 5" xfId="14817" xr:uid="{2E61AD3A-E051-4C85-9537-136D7F79FB8A}"/>
    <cellStyle name="Normal 12 7 4" xfId="36792" xr:uid="{6A7CEE02-8ED0-4957-8DDD-96BBF67BC0D5}"/>
    <cellStyle name="Normal 12 7 5" xfId="28344" xr:uid="{E482F402-E0C3-411D-9721-A18C8CB4F710}"/>
    <cellStyle name="Normal 12 7 6" xfId="19897" xr:uid="{3B9B1D1F-F90C-46EB-8CB4-90F29AB5D5F2}"/>
    <cellStyle name="Normal 12 7 7" xfId="10600" xr:uid="{A9F09005-65FE-495B-A4DC-837A49E9E7D8}"/>
    <cellStyle name="Normal 12 8" xfId="1597" xr:uid="{00000000-0005-0000-0000-0000620E0000}"/>
    <cellStyle name="Normal 12 8 2" xfId="3827" xr:uid="{00000000-0005-0000-0000-0000630E0000}"/>
    <cellStyle name="Normal 12 8 2 2" xfId="8049" xr:uid="{00000000-0005-0000-0000-0000640E0000}"/>
    <cellStyle name="Normal 12 8 2 2 2" xfId="43567" xr:uid="{E0AB1878-B6A2-4926-A762-4DF470F35C1D}"/>
    <cellStyle name="Normal 12 8 2 2 3" xfId="35120" xr:uid="{1B1B7599-3D82-40BC-95D4-21F42CD44EE3}"/>
    <cellStyle name="Normal 12 8 2 2 4" xfId="26672" xr:uid="{97F874D4-DDBC-40DF-BE47-B27988D82752}"/>
    <cellStyle name="Normal 12 8 2 2 5" xfId="17375" xr:uid="{714DB010-9166-4543-AD2A-B580950063B7}"/>
    <cellStyle name="Normal 12 8 2 3" xfId="39350" xr:uid="{774EEE1D-7AC8-4212-B266-8FB656032EEF}"/>
    <cellStyle name="Normal 12 8 2 4" xfId="30902" xr:uid="{5291FBD6-23CA-4C7F-AEBF-2B90F53D028A}"/>
    <cellStyle name="Normal 12 8 2 5" xfId="22455" xr:uid="{17BCDC3A-ACE0-4660-8148-FBF9E09835CA}"/>
    <cellStyle name="Normal 12 8 2 6" xfId="13158" xr:uid="{BC6E416C-850A-410A-8886-47229BB85C13}"/>
    <cellStyle name="Normal 12 8 3" xfId="5904" xr:uid="{00000000-0005-0000-0000-0000650E0000}"/>
    <cellStyle name="Normal 12 8 3 2" xfId="41422" xr:uid="{DB4B4E96-7065-4245-B045-45BBF5483736}"/>
    <cellStyle name="Normal 12 8 3 3" xfId="32975" xr:uid="{152FFDA9-2FCC-4289-9E6C-09E5E0D148A4}"/>
    <cellStyle name="Normal 12 8 3 4" xfId="24527" xr:uid="{5478FD2D-6E77-4AF5-8992-021580FD373A}"/>
    <cellStyle name="Normal 12 8 3 5" xfId="15230" xr:uid="{09564FE9-0D55-4E88-AF1D-42A2862E2EE5}"/>
    <cellStyle name="Normal 12 8 4" xfId="37205" xr:uid="{B6E22832-CCC2-4E45-B465-16BDD7515EFC}"/>
    <cellStyle name="Normal 12 8 5" xfId="28757" xr:uid="{021797F4-4341-48BF-AA32-A83BB924925E}"/>
    <cellStyle name="Normal 12 8 6" xfId="20310" xr:uid="{25A2640F-ED58-4C22-B4F5-EAF23EB957ED}"/>
    <cellStyle name="Normal 12 8 7" xfId="11013" xr:uid="{CC6F3C9B-B0E8-4B1F-955F-4A898C3B5570}"/>
    <cellStyle name="Normal 12 9" xfId="2011" xr:uid="{00000000-0005-0000-0000-0000660E0000}"/>
    <cellStyle name="Normal 12 9 2" xfId="4240" xr:uid="{00000000-0005-0000-0000-0000670E0000}"/>
    <cellStyle name="Normal 12 9 2 2" xfId="8462" xr:uid="{00000000-0005-0000-0000-0000680E0000}"/>
    <cellStyle name="Normal 12 9 2 2 2" xfId="43980" xr:uid="{AE1EDB41-DDD1-49FF-8E82-E070C3A1389F}"/>
    <cellStyle name="Normal 12 9 2 2 3" xfId="35533" xr:uid="{D3C4B130-BA19-4851-BB4D-A0FA99B88335}"/>
    <cellStyle name="Normal 12 9 2 2 4" xfId="27085" xr:uid="{2CE5E7CB-B7BD-426A-B9C3-0DFCF7666C68}"/>
    <cellStyle name="Normal 12 9 2 2 5" xfId="17788" xr:uid="{AAE5CBFA-5197-490D-9374-33CCF126D03A}"/>
    <cellStyle name="Normal 12 9 2 3" xfId="39763" xr:uid="{816EF83B-606A-4B50-9E26-F45745539E8C}"/>
    <cellStyle name="Normal 12 9 2 4" xfId="31315" xr:uid="{351EF83F-4676-4098-82BC-2C06558502E5}"/>
    <cellStyle name="Normal 12 9 2 5" xfId="22868" xr:uid="{8B6FC8DB-4023-4FFA-8F6C-EB043D45CE2A}"/>
    <cellStyle name="Normal 12 9 2 6" xfId="13571" xr:uid="{E1BAB2AF-7B99-40B4-BC83-ACF9D50B68AA}"/>
    <cellStyle name="Normal 12 9 3" xfId="6317" xr:uid="{00000000-0005-0000-0000-0000690E0000}"/>
    <cellStyle name="Normal 12 9 3 2" xfId="41835" xr:uid="{FA1CED15-4652-4EAB-A84C-34D97E9C864F}"/>
    <cellStyle name="Normal 12 9 3 3" xfId="33388" xr:uid="{0F4C4120-82CE-4D47-BC93-A386C4EDA606}"/>
    <cellStyle name="Normal 12 9 3 4" xfId="24940" xr:uid="{F860B31E-FC71-4960-A9A9-1857687EAEC0}"/>
    <cellStyle name="Normal 12 9 3 5" xfId="15643" xr:uid="{AFF11519-7E3A-483D-806A-7CAD093C1D83}"/>
    <cellStyle name="Normal 12 9 4" xfId="37618" xr:uid="{9D4FD72A-FE50-44A2-841B-70E2064741A0}"/>
    <cellStyle name="Normal 12 9 5" xfId="29170" xr:uid="{1EB3432E-1D3A-4C5B-AEB2-B1C2A445794D}"/>
    <cellStyle name="Normal 12 9 6" xfId="20723" xr:uid="{1670B5EB-E349-493E-82B2-B74467869186}"/>
    <cellStyle name="Normal 12 9 7" xfId="11426" xr:uid="{3ABD4875-645B-4059-9F98-732EB6AC0AED}"/>
    <cellStyle name="Normal 13" xfId="268" xr:uid="{00000000-0005-0000-0000-00006A0E0000}"/>
    <cellStyle name="Normal 13 2" xfId="269" xr:uid="{00000000-0005-0000-0000-00006B0E0000}"/>
    <cellStyle name="Normal 14" xfId="270" xr:uid="{00000000-0005-0000-0000-00006C0E0000}"/>
    <cellStyle name="Normal 14 10" xfId="19078" xr:uid="{F3FB6243-D6E8-4F0B-9DC5-59E293A56C76}"/>
    <cellStyle name="Normal 14 11" xfId="9781" xr:uid="{CAEFE468-A797-44E2-B0DD-DD0E3FCB3ACC}"/>
    <cellStyle name="Normal 14 2" xfId="768" xr:uid="{00000000-0005-0000-0000-00006D0E0000}"/>
    <cellStyle name="Normal 14 2 2" xfId="3009" xr:uid="{00000000-0005-0000-0000-00006E0E0000}"/>
    <cellStyle name="Normal 14 2 2 2" xfId="7231" xr:uid="{00000000-0005-0000-0000-00006F0E0000}"/>
    <cellStyle name="Normal 14 2 2 2 2" xfId="42749" xr:uid="{FF2F28AA-2F18-458A-BB1A-1C06410ADEFE}"/>
    <cellStyle name="Normal 14 2 2 2 3" xfId="34302" xr:uid="{2D6E0C2D-A23C-42C0-BA90-5A4015D9AEB5}"/>
    <cellStyle name="Normal 14 2 2 2 4" xfId="25854" xr:uid="{56CBA78C-0D79-469A-B37B-1685B7789F2D}"/>
    <cellStyle name="Normal 14 2 2 2 5" xfId="16557" xr:uid="{C3B3675F-CBEB-46B4-BC8A-0CB5BB824564}"/>
    <cellStyle name="Normal 14 2 2 3" xfId="38532" xr:uid="{BA3FA2F2-7C50-480E-A2CD-CC8F36DE9C9E}"/>
    <cellStyle name="Normal 14 2 2 4" xfId="30084" xr:uid="{ED47A3F8-73D7-4850-8F0D-6BF02B8A3961}"/>
    <cellStyle name="Normal 14 2 2 5" xfId="21637" xr:uid="{EEC8D112-7B7F-41B4-A55A-610DEEC173AE}"/>
    <cellStyle name="Normal 14 2 2 6" xfId="12340" xr:uid="{8EC4B573-CA01-48BE-9D01-A21BB96C8B32}"/>
    <cellStyle name="Normal 14 2 3" xfId="5086" xr:uid="{00000000-0005-0000-0000-0000700E0000}"/>
    <cellStyle name="Normal 14 2 3 2" xfId="40604" xr:uid="{01641B24-FAC5-4CB0-B678-FD8C79E613D4}"/>
    <cellStyle name="Normal 14 2 3 3" xfId="32157" xr:uid="{7451EE8E-6F3A-49A6-B008-7230CB9263CC}"/>
    <cellStyle name="Normal 14 2 3 4" xfId="23709" xr:uid="{5C6BDCE8-E839-4E24-8A7F-6BCFCDDA460A}"/>
    <cellStyle name="Normal 14 2 3 5" xfId="14412" xr:uid="{8B49A8F6-4777-4D1D-99CF-7D82D04DE49B}"/>
    <cellStyle name="Normal 14 2 4" xfId="9371" xr:uid="{E1AFB5B4-F468-480A-B09F-3374B2F03BDA}"/>
    <cellStyle name="Normal 14 2 4 2" xfId="36387" xr:uid="{56DC2CF9-016A-40FF-9931-02662A44899D}"/>
    <cellStyle name="Normal 14 2 4 3" xfId="18684" xr:uid="{CCD216B6-7400-4C1C-8711-B2CC2AB3E0E6}"/>
    <cellStyle name="Normal 14 2 5" xfId="27939" xr:uid="{05966767-97A9-40D8-B5F8-E2FA7B4E68E2}"/>
    <cellStyle name="Normal 14 2 6" xfId="19492" xr:uid="{6D5DA90C-B6B3-4406-AC69-45F1372D8D6C}"/>
    <cellStyle name="Normal 14 2 7" xfId="10195" xr:uid="{F3DFCAF9-A349-484A-8066-FF3495608030}"/>
    <cellStyle name="Normal 14 3" xfId="1191" xr:uid="{00000000-0005-0000-0000-0000710E0000}"/>
    <cellStyle name="Normal 14 3 2" xfId="3422" xr:uid="{00000000-0005-0000-0000-0000720E0000}"/>
    <cellStyle name="Normal 14 3 2 2" xfId="7644" xr:uid="{00000000-0005-0000-0000-0000730E0000}"/>
    <cellStyle name="Normal 14 3 2 2 2" xfId="43162" xr:uid="{4E7FC9CD-A1BC-4D51-8EEE-A3F3BC3032DA}"/>
    <cellStyle name="Normal 14 3 2 2 3" xfId="34715" xr:uid="{13C353EC-15A3-4AB2-BAF6-E0DAE30CAB4A}"/>
    <cellStyle name="Normal 14 3 2 2 4" xfId="26267" xr:uid="{97692BDD-E822-4D2B-AF31-2A72D373060F}"/>
    <cellStyle name="Normal 14 3 2 2 5" xfId="16970" xr:uid="{B72EDAC5-7C92-4E81-B90D-CDAF1729E680}"/>
    <cellStyle name="Normal 14 3 2 3" xfId="38945" xr:uid="{CE361D64-9801-4881-A2CF-D0CFD928E5F2}"/>
    <cellStyle name="Normal 14 3 2 4" xfId="30497" xr:uid="{2462FB14-F468-432C-9C88-C23E2DFD5BA9}"/>
    <cellStyle name="Normal 14 3 2 5" xfId="22050" xr:uid="{C806F64A-C585-4340-B13B-F2BD2B0210D4}"/>
    <cellStyle name="Normal 14 3 2 6" xfId="12753" xr:uid="{A62230C5-F392-46E8-9264-A62A5B89D23A}"/>
    <cellStyle name="Normal 14 3 3" xfId="5499" xr:uid="{00000000-0005-0000-0000-0000740E0000}"/>
    <cellStyle name="Normal 14 3 3 2" xfId="41017" xr:uid="{0403CDF1-093A-4CBA-8B7C-E4C4A99EB71F}"/>
    <cellStyle name="Normal 14 3 3 3" xfId="32570" xr:uid="{08876BDA-1AAA-48D7-8B37-EDB192A52E15}"/>
    <cellStyle name="Normal 14 3 3 4" xfId="24122" xr:uid="{88A3E550-A657-4731-A503-4FB9352F74C1}"/>
    <cellStyle name="Normal 14 3 3 5" xfId="14825" xr:uid="{0EB29F6A-0181-4738-9EBE-D53A78303063}"/>
    <cellStyle name="Normal 14 3 4" xfId="36800" xr:uid="{7656BA36-3341-4AC9-AB5E-E09915678A37}"/>
    <cellStyle name="Normal 14 3 5" xfId="28352" xr:uid="{185198EE-6208-4352-AB2C-71DE83F7F3E7}"/>
    <cellStyle name="Normal 14 3 6" xfId="19905" xr:uid="{DDB6E21D-0D7C-4459-B5C8-0844911D6FFC}"/>
    <cellStyle name="Normal 14 3 7" xfId="10608" xr:uid="{F4E52A8E-9AC9-4706-A241-CC934B0CFEE2}"/>
    <cellStyle name="Normal 14 4" xfId="1605" xr:uid="{00000000-0005-0000-0000-0000750E0000}"/>
    <cellStyle name="Normal 14 4 2" xfId="3835" xr:uid="{00000000-0005-0000-0000-0000760E0000}"/>
    <cellStyle name="Normal 14 4 2 2" xfId="8057" xr:uid="{00000000-0005-0000-0000-0000770E0000}"/>
    <cellStyle name="Normal 14 4 2 2 2" xfId="43575" xr:uid="{E9C4BC30-CDA5-4EB5-8CC8-E6B67FE0AE94}"/>
    <cellStyle name="Normal 14 4 2 2 3" xfId="35128" xr:uid="{081F506B-6B7A-41EA-A43C-F601E8D5E012}"/>
    <cellStyle name="Normal 14 4 2 2 4" xfId="26680" xr:uid="{B6BF95AB-D05F-4716-8226-F2267029ED4D}"/>
    <cellStyle name="Normal 14 4 2 2 5" xfId="17383" xr:uid="{9C9DB753-2E00-471D-B0AF-EA95A2B92ADF}"/>
    <cellStyle name="Normal 14 4 2 3" xfId="39358" xr:uid="{0B9E8DBD-4B66-4491-AF04-D0A3AB186179}"/>
    <cellStyle name="Normal 14 4 2 4" xfId="30910" xr:uid="{7386B19C-CD92-40DA-AD4B-F1AAB7AD87D8}"/>
    <cellStyle name="Normal 14 4 2 5" xfId="22463" xr:uid="{47A7654D-6D4D-491C-8E72-84D94CE4208B}"/>
    <cellStyle name="Normal 14 4 2 6" xfId="13166" xr:uid="{45EFF572-2BE8-4460-8D10-BF740E36887F}"/>
    <cellStyle name="Normal 14 4 3" xfId="5912" xr:uid="{00000000-0005-0000-0000-0000780E0000}"/>
    <cellStyle name="Normal 14 4 3 2" xfId="41430" xr:uid="{93C7B3A0-6BB2-43DF-A94C-A9FFB96B59D1}"/>
    <cellStyle name="Normal 14 4 3 3" xfId="32983" xr:uid="{51FEE4DF-27A1-4547-BA0A-028A6DF311E2}"/>
    <cellStyle name="Normal 14 4 3 4" xfId="24535" xr:uid="{9A117000-6228-4ECB-8C88-33BF050879B3}"/>
    <cellStyle name="Normal 14 4 3 5" xfId="15238" xr:uid="{61C06791-A5E9-45E5-8CDE-6D06267A7AD6}"/>
    <cellStyle name="Normal 14 4 4" xfId="37213" xr:uid="{E3AD0C24-5C29-41C7-88FD-C883BBEB2E93}"/>
    <cellStyle name="Normal 14 4 5" xfId="28765" xr:uid="{04C92559-155A-4C0F-B658-9A5EFACA851A}"/>
    <cellStyle name="Normal 14 4 6" xfId="20318" xr:uid="{2573A7F3-C570-4D28-819A-ACB5AE74E51F}"/>
    <cellStyle name="Normal 14 4 7" xfId="11021" xr:uid="{31956331-0B5B-4642-B03A-817E43033AF1}"/>
    <cellStyle name="Normal 14 5" xfId="2019" xr:uid="{00000000-0005-0000-0000-0000790E0000}"/>
    <cellStyle name="Normal 14 5 2" xfId="4248" xr:uid="{00000000-0005-0000-0000-00007A0E0000}"/>
    <cellStyle name="Normal 14 5 2 2" xfId="8470" xr:uid="{00000000-0005-0000-0000-00007B0E0000}"/>
    <cellStyle name="Normal 14 5 2 2 2" xfId="43988" xr:uid="{215485AB-2172-4E55-8D02-2DD3B785CEDE}"/>
    <cellStyle name="Normal 14 5 2 2 3" xfId="35541" xr:uid="{ADC828CF-14E7-4BE8-AD47-CB453B0D5B2E}"/>
    <cellStyle name="Normal 14 5 2 2 4" xfId="27093" xr:uid="{11199E00-8DAE-4F84-94D1-F5578A43A687}"/>
    <cellStyle name="Normal 14 5 2 2 5" xfId="17796" xr:uid="{72465A2C-235A-490F-B93C-88DC6AF5EFCE}"/>
    <cellStyle name="Normal 14 5 2 3" xfId="39771" xr:uid="{94CAE0ED-1E66-44A6-A061-1F9FE4C5C555}"/>
    <cellStyle name="Normal 14 5 2 4" xfId="31323" xr:uid="{08B9F86D-007B-40D9-80F3-F74C9E158BCF}"/>
    <cellStyle name="Normal 14 5 2 5" xfId="22876" xr:uid="{3E9361C0-B209-49A9-8C5A-DB04A1F6308D}"/>
    <cellStyle name="Normal 14 5 2 6" xfId="13579" xr:uid="{1C931648-A303-49FD-AF9B-12558CDC4E1D}"/>
    <cellStyle name="Normal 14 5 3" xfId="6325" xr:uid="{00000000-0005-0000-0000-00007C0E0000}"/>
    <cellStyle name="Normal 14 5 3 2" xfId="41843" xr:uid="{6831545D-AD58-44D1-84E3-6BAAD2E8B712}"/>
    <cellStyle name="Normal 14 5 3 3" xfId="33396" xr:uid="{0D9A25BD-6F4E-471C-9812-0AFC20A980D6}"/>
    <cellStyle name="Normal 14 5 3 4" xfId="24948" xr:uid="{F8038185-D6C5-4638-B73C-FCE2976F3B70}"/>
    <cellStyle name="Normal 14 5 3 5" xfId="15651" xr:uid="{CBAE16AE-AC44-4B2B-B7B8-C42FE2057F54}"/>
    <cellStyle name="Normal 14 5 4" xfId="37626" xr:uid="{C16D1F13-BC74-46CD-AB2C-30F8D071FAA3}"/>
    <cellStyle name="Normal 14 5 5" xfId="29178" xr:uid="{1C8A668D-A5F0-446D-B235-CF8D486FAB9A}"/>
    <cellStyle name="Normal 14 5 6" xfId="20731" xr:uid="{159EB5D4-EF21-4223-AA48-41641DA257FC}"/>
    <cellStyle name="Normal 14 5 7" xfId="11434" xr:uid="{F00CAFF2-2CE3-4050-A6A2-82888DF9A825}"/>
    <cellStyle name="Normal 14 6" xfId="2455" xr:uid="{00000000-0005-0000-0000-00007D0E0000}"/>
    <cellStyle name="Normal 14 6 2" xfId="6738" xr:uid="{00000000-0005-0000-0000-00007E0E0000}"/>
    <cellStyle name="Normal 14 6 2 2" xfId="42256" xr:uid="{8D1522CB-A7F4-4A4F-BF54-07BA533EF4ED}"/>
    <cellStyle name="Normal 14 6 2 3" xfId="33809" xr:uid="{C0F51FAF-C31A-4216-A7D1-7DF2982CD176}"/>
    <cellStyle name="Normal 14 6 2 4" xfId="25361" xr:uid="{C309E43A-C1AE-40E0-B118-5599ACA57F96}"/>
    <cellStyle name="Normal 14 6 2 5" xfId="16064" xr:uid="{B0CE5DA3-5C94-4F27-B574-C35B0A7ACADF}"/>
    <cellStyle name="Normal 14 6 3" xfId="38039" xr:uid="{630784C5-3346-4710-B7B8-9AB733BE036E}"/>
    <cellStyle name="Normal 14 6 4" xfId="29591" xr:uid="{760A2096-4C86-4BF4-BEE5-1BC53ED00419}"/>
    <cellStyle name="Normal 14 6 5" xfId="21144" xr:uid="{4D59F2E7-015A-4EF8-976D-8E32B384BC30}"/>
    <cellStyle name="Normal 14 6 6" xfId="11847" xr:uid="{DA190E0C-20B3-427F-A4D4-CA4E7199BA88}"/>
    <cellStyle name="Normal 14 7" xfId="4672" xr:uid="{00000000-0005-0000-0000-00007F0E0000}"/>
    <cellStyle name="Normal 14 7 2" xfId="40190" xr:uid="{191597FA-3EB9-427F-9A11-50D0E57E2481}"/>
    <cellStyle name="Normal 14 7 3" xfId="31743" xr:uid="{E4A40627-918C-4D04-A86D-76FAEC36D581}"/>
    <cellStyle name="Normal 14 7 4" xfId="23295" xr:uid="{5A8D0DC2-B6C5-49A6-9F02-81058ACDFCFD}"/>
    <cellStyle name="Normal 14 7 5" xfId="13998" xr:uid="{03FDD93D-4923-4E00-84BA-527BDA235EAC}"/>
    <cellStyle name="Normal 14 8" xfId="8946" xr:uid="{DD997A1C-6669-41AA-8AC1-78121AFC796C}"/>
    <cellStyle name="Normal 14 8 2" xfId="35973" xr:uid="{D4244AC1-3218-434F-801F-499345ADCA37}"/>
    <cellStyle name="Normal 14 8 3" xfId="18269" xr:uid="{5D91141D-B86A-47E2-B442-D06FE44E33FE}"/>
    <cellStyle name="Normal 14 9" xfId="27525" xr:uid="{4689AEFB-C92A-4B07-8180-C1ED85E4BCDA}"/>
    <cellStyle name="Normal 15" xfId="4496" xr:uid="{00000000-0005-0000-0000-0000800E0000}"/>
    <cellStyle name="Normal 15 2" xfId="9578" xr:uid="{99513E76-E7E2-49D8-ADC5-F882C61FFC79}"/>
    <cellStyle name="Normal 15 2 2" xfId="40016" xr:uid="{03C1C539-6756-423C-825A-B997B7DC5BDE}"/>
    <cellStyle name="Normal 15 2 3" xfId="18891" xr:uid="{FAAC3CBF-8122-4443-9507-66511B14DC34}"/>
    <cellStyle name="Normal 15 3" xfId="9155" xr:uid="{47700DD8-A88A-4CB4-BFAD-BA75A2D4FC8E}"/>
    <cellStyle name="Normal 15 3 2" xfId="31569" xr:uid="{3CC9D300-FF52-4AD6-8D63-D06E5C726437}"/>
    <cellStyle name="Normal 15 3 3" xfId="18476" xr:uid="{5470DD46-0B77-44F0-84D3-9FEECC1F66E2}"/>
    <cellStyle name="Normal 15 4" xfId="23121" xr:uid="{9875D168-7469-4DE7-958C-F088457716D6}"/>
    <cellStyle name="Normal 15 5" xfId="13824" xr:uid="{37F6249D-5101-4654-97CA-E5693A2F88AA}"/>
    <cellStyle name="Normal 16" xfId="4500" xr:uid="{00000000-0005-0000-0000-0000810E0000}"/>
    <cellStyle name="Normal 16 2" xfId="8715" xr:uid="{00000000-0005-0000-0000-0000820E0000}"/>
    <cellStyle name="Normal 16 2 2" xfId="44233" xr:uid="{B011047C-90CE-4A42-BD08-CDA17E106194}"/>
    <cellStyle name="Normal 16 2 3" xfId="35786" xr:uid="{4BEB0DCC-6310-43A5-83FE-3F5DF8180B38}"/>
    <cellStyle name="Normal 16 2 4" xfId="27338" xr:uid="{6719EE5E-7A36-401E-9017-18A7B94D3023}"/>
    <cellStyle name="Normal 16 2 5" xfId="18041" xr:uid="{C33BB20B-366D-4B2B-84C0-67AC5ED40C67}"/>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3 2 2 2 2 2 2" xfId="44249" xr:uid="{D01EFBDE-CB02-4E08-B7A0-FF32DCC02027}"/>
    <cellStyle name="Normal 16 3 2 2 2 2 2 3" xfId="18060" xr:uid="{2C0BC8C2-8900-420C-A3CE-19F74D8ACB31}"/>
    <cellStyle name="Normal 16 3 2 2 2 2 3" xfId="35802" xr:uid="{20970307-1B68-4A12-9B3D-4A5773229346}"/>
    <cellStyle name="Normal 16 3 2 2 2 2 4" xfId="27354" xr:uid="{F75F05E6-C433-4A0E-9DB6-48C404941969}"/>
    <cellStyle name="Normal 16 3 2 2 2 2 5" xfId="18057" xr:uid="{689F8750-C4CB-47F5-B989-A436D54B84DB}"/>
    <cellStyle name="Normal 16 3 2 2 2 3" xfId="44246" xr:uid="{8FB3BF7C-90BA-4ED6-91B2-1E7AD8165B67}"/>
    <cellStyle name="Normal 16 3 2 2 2 4" xfId="35799" xr:uid="{4C9B1272-013C-4EFC-9118-BA4816A2F22F}"/>
    <cellStyle name="Normal 16 3 2 2 2 5" xfId="27351" xr:uid="{458623E8-D5BD-4FE7-B5D8-374D57FABEE9}"/>
    <cellStyle name="Normal 16 3 2 2 2 6" xfId="18054" xr:uid="{B14F8ECC-9A19-45AA-9F45-D46C04E53E2C}"/>
    <cellStyle name="Normal 16 3 2 2 3" xfId="44242" xr:uid="{5B2CCA3C-6A67-4EF3-9EB5-64B4693DE7F0}"/>
    <cellStyle name="Normal 16 3 2 2 4" xfId="35795" xr:uid="{20E3F6C3-1EFD-4FA6-BB93-B20C57821920}"/>
    <cellStyle name="Normal 16 3 2 2 5" xfId="27347" xr:uid="{5D697F8F-351F-43A1-98A1-5557A7B9D3A5}"/>
    <cellStyle name="Normal 16 3 2 2 6" xfId="18050" xr:uid="{8E568D78-62A9-4FA9-BA54-96D1EA6436D4}"/>
    <cellStyle name="Normal 16 3 2 3" xfId="44239" xr:uid="{61D89CBD-E9B5-4453-B7CC-30E672B08C46}"/>
    <cellStyle name="Normal 16 3 2 4" xfId="35792" xr:uid="{C4D29D86-B65E-4064-8F16-F710902B38C4}"/>
    <cellStyle name="Normal 16 3 2 5" xfId="27344" xr:uid="{3060B0C5-F3F5-4F1C-A213-6A0C8B146B29}"/>
    <cellStyle name="Normal 16 3 2 6" xfId="18047" xr:uid="{83361B56-15E7-4223-AB9E-7607689137B6}"/>
    <cellStyle name="Normal 16 3 3" xfId="44236" xr:uid="{1E1B2C8C-CA64-4B64-9709-90358A071AD8}"/>
    <cellStyle name="Normal 16 3 4" xfId="35789" xr:uid="{B34770F4-5560-49C8-97BB-9F8DEDCA505F}"/>
    <cellStyle name="Normal 16 3 5" xfId="27341" xr:uid="{8A2E6DA0-F783-44AF-BE88-404D54C82D86}"/>
    <cellStyle name="Normal 16 3 6" xfId="18044" xr:uid="{A86D17FD-C659-4261-81E0-26CDB258C8F5}"/>
    <cellStyle name="Normal 16 4" xfId="9612" xr:uid="{8729F6E8-3534-4DAE-B0B2-B2AF3CDCD313}"/>
    <cellStyle name="Normal 16 4 2" xfId="40019" xr:uid="{8137F3B4-B8E7-4E2C-A3A3-31F93F245CD1}"/>
    <cellStyle name="Normal 16 5" xfId="31572" xr:uid="{3FCAE69A-47D3-4913-AC04-D3973F3532A6}"/>
    <cellStyle name="Normal 16 6" xfId="23124" xr:uid="{127088B3-AF21-4870-81B1-2CB6EB1E69F0}"/>
    <cellStyle name="Normal 16 7" xfId="13827" xr:uid="{7EC4ED9F-A427-4094-8807-3DBB1ACC4C5F}"/>
    <cellStyle name="Normal 17" xfId="8728" xr:uid="{3FF0972C-833B-4475-99D8-1A6907499E71}"/>
    <cellStyle name="Normal 17 2" xfId="9157" xr:uid="{6C872296-5E17-4821-9139-E52AD113B06C}"/>
    <cellStyle name="Normal 17 2 2" xfId="44245" xr:uid="{17268DF1-5AA1-47AA-A8C2-77254D79BBC1}"/>
    <cellStyle name="Normal 17 3" xfId="9154" xr:uid="{DC3FF210-EC1F-47CE-8CCE-F8F5460671B1}"/>
    <cellStyle name="Normal 17 3 2" xfId="35798" xr:uid="{256DCF55-C081-46B1-BE1D-C01C91E6C8AA}"/>
    <cellStyle name="Normal 17 4" xfId="27350" xr:uid="{007F8F16-A470-4641-B465-E6A33B6D2C62}"/>
    <cellStyle name="Normal 17 5" xfId="18053" xr:uid="{58F7F113-C455-4EED-A9A1-6D3C4557BB33}"/>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10 2" xfId="18071" xr:uid="{B90DC7A9-8521-46AB-A836-7315FCAE392F}"/>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43989" xr:uid="{0507E23F-9287-4A27-8CE3-370B7020B232}"/>
    <cellStyle name="Normal 2 4 2 10 2 2 3" xfId="35542" xr:uid="{0DF4A0D9-84DA-4962-83E1-5C96068E36EB}"/>
    <cellStyle name="Normal 2 4 2 10 2 2 4" xfId="27094" xr:uid="{A76C642E-41C5-456D-A89D-C7873FB70967}"/>
    <cellStyle name="Normal 2 4 2 10 2 2 5" xfId="17797" xr:uid="{6C0159A8-8B03-41E5-B281-41309C7540CB}"/>
    <cellStyle name="Normal 2 4 2 10 2 3" xfId="39772" xr:uid="{526A8559-107A-417F-9A0E-3254271379D8}"/>
    <cellStyle name="Normal 2 4 2 10 2 4" xfId="31324" xr:uid="{EA9EDAA0-B5B3-491F-8171-21F157634EA9}"/>
    <cellStyle name="Normal 2 4 2 10 2 5" xfId="22877" xr:uid="{D941C899-B82A-4E54-ADB5-A74CB4CA5DE4}"/>
    <cellStyle name="Normal 2 4 2 10 2 6" xfId="13580" xr:uid="{64869BBF-8ECD-4A48-8B7B-C4E8043A39DE}"/>
    <cellStyle name="Normal 2 4 2 10 3" xfId="6326" xr:uid="{00000000-0005-0000-0000-0000910E0000}"/>
    <cellStyle name="Normal 2 4 2 10 3 2" xfId="41844" xr:uid="{6FDFF100-A198-4BA5-B426-C7768A1D2ADB}"/>
    <cellStyle name="Normal 2 4 2 10 3 3" xfId="33397" xr:uid="{CF2656AE-94EA-40CB-868B-14B5C16C0150}"/>
    <cellStyle name="Normal 2 4 2 10 3 4" xfId="24949" xr:uid="{DF77E705-F498-4BBF-BEA2-C953B83DD10F}"/>
    <cellStyle name="Normal 2 4 2 10 3 5" xfId="15652" xr:uid="{0D5A33C5-312F-4A5E-A029-AF0C59B87E15}"/>
    <cellStyle name="Normal 2 4 2 10 4" xfId="37627" xr:uid="{CA397624-F80C-4D66-9A0E-B9701AAF41F3}"/>
    <cellStyle name="Normal 2 4 2 10 5" xfId="29179" xr:uid="{7ABF8003-C1F9-4E70-9AE2-2CC69B73DD5A}"/>
    <cellStyle name="Normal 2 4 2 10 6" xfId="20732" xr:uid="{533E93B0-35AD-4B45-B797-9F150BAD3643}"/>
    <cellStyle name="Normal 2 4 2 10 7" xfId="11435" xr:uid="{4D550455-8981-4499-B8DC-4DD55FF58542}"/>
    <cellStyle name="Normal 2 4 2 11" xfId="2456" xr:uid="{00000000-0005-0000-0000-0000920E0000}"/>
    <cellStyle name="Normal 2 4 2 11 2" xfId="6739" xr:uid="{00000000-0005-0000-0000-0000930E0000}"/>
    <cellStyle name="Normal 2 4 2 11 2 2" xfId="42257" xr:uid="{174E8DA3-B132-43D1-B498-1DB40C510727}"/>
    <cellStyle name="Normal 2 4 2 11 2 3" xfId="33810" xr:uid="{714005E9-AE14-41AB-8CAC-9CA9E218F832}"/>
    <cellStyle name="Normal 2 4 2 11 2 4" xfId="25362" xr:uid="{0363F772-45DD-42FF-BD40-C4CEF037ED1D}"/>
    <cellStyle name="Normal 2 4 2 11 2 5" xfId="16065" xr:uid="{7C9C252A-E806-42A7-BECF-440E703FFBFA}"/>
    <cellStyle name="Normal 2 4 2 11 3" xfId="38040" xr:uid="{FADAEB60-C27A-4F1C-87FD-4C939AE75021}"/>
    <cellStyle name="Normal 2 4 2 11 4" xfId="29592" xr:uid="{3E933F5E-2B64-455C-A790-608A51E080D9}"/>
    <cellStyle name="Normal 2 4 2 11 5" xfId="21145" xr:uid="{2B6D3B4E-B4BE-490F-ACC7-237286CD660B}"/>
    <cellStyle name="Normal 2 4 2 11 6" xfId="11848" xr:uid="{D5505919-2F0A-4906-AF69-D93E83B4FFC9}"/>
    <cellStyle name="Normal 2 4 2 12" xfId="4673" xr:uid="{00000000-0005-0000-0000-0000940E0000}"/>
    <cellStyle name="Normal 2 4 2 12 2" xfId="40191" xr:uid="{E2CCF6A6-E0F4-4FE2-ACF8-0495EF94DAA7}"/>
    <cellStyle name="Normal 2 4 2 12 3" xfId="31744" xr:uid="{D5ED39F6-90FF-4722-96BD-BB4E8CCC9967}"/>
    <cellStyle name="Normal 2 4 2 12 4" xfId="23296" xr:uid="{494460A6-1FE5-43CE-AC16-2D5219A75D14}"/>
    <cellStyle name="Normal 2 4 2 12 5" xfId="13999" xr:uid="{7B3FC329-D62F-4E65-B615-4808D6E6A50C}"/>
    <cellStyle name="Normal 2 4 2 13" xfId="8757" xr:uid="{563A76DD-F7DD-49F0-A61E-0419F4C31301}"/>
    <cellStyle name="Normal 2 4 2 13 2" xfId="35974" xr:uid="{510B6CCD-8CA0-424B-B3E6-E25529DF2073}"/>
    <cellStyle name="Normal 2 4 2 13 3" xfId="18080" xr:uid="{497385F7-2167-4E51-9170-0AB851E9FAAB}"/>
    <cellStyle name="Normal 2 4 2 14" xfId="27526" xr:uid="{5DF1A3DE-ECF4-4E16-83DD-E65EF4BFBEB4}"/>
    <cellStyle name="Normal 2 4 2 15" xfId="19079" xr:uid="{03F02FC9-79A3-4644-9B80-09638433BB23}"/>
    <cellStyle name="Normal 2 4 2 16" xfId="9782" xr:uid="{AB3A714E-61FC-4FE1-85F7-30974BDE5BB2}"/>
    <cellStyle name="Normal 2 4 2 2" xfId="280" xr:uid="{00000000-0005-0000-0000-0000950E0000}"/>
    <cellStyle name="Normal 2 4 2 3" xfId="281" xr:uid="{00000000-0005-0000-0000-0000960E0000}"/>
    <cellStyle name="Normal 2 4 2 3 10" xfId="4674" xr:uid="{00000000-0005-0000-0000-0000970E0000}"/>
    <cellStyle name="Normal 2 4 2 3 10 2" xfId="40192" xr:uid="{198A500B-1D95-405A-988D-0BE00762B885}"/>
    <cellStyle name="Normal 2 4 2 3 10 3" xfId="31745" xr:uid="{D52E072F-5A85-48E9-B00B-426A6D51BFCE}"/>
    <cellStyle name="Normal 2 4 2 3 10 4" xfId="23297" xr:uid="{7F351F21-2C7E-4D71-9659-EF17BD06928E}"/>
    <cellStyle name="Normal 2 4 2 3 10 5" xfId="14000" xr:uid="{ED7E1F5B-1E87-4EF6-A34F-5BA796794BF4}"/>
    <cellStyle name="Normal 2 4 2 3 11" xfId="8788" xr:uid="{EAD3D227-C8EF-4F54-8D24-EE1EA1F017BB}"/>
    <cellStyle name="Normal 2 4 2 3 11 2" xfId="35975" xr:uid="{0B46CD56-DF47-419D-A064-16B44AD5AFCB}"/>
    <cellStyle name="Normal 2 4 2 3 11 3" xfId="18111" xr:uid="{CEE3C6FA-40A6-4652-B949-C6212788C827}"/>
    <cellStyle name="Normal 2 4 2 3 12" xfId="27527" xr:uid="{107663D6-3599-4C67-BC7E-A5BAAA06C3F8}"/>
    <cellStyle name="Normal 2 4 2 3 13" xfId="19080" xr:uid="{468CA958-9764-4F42-8D62-5A792123C0D9}"/>
    <cellStyle name="Normal 2 4 2 3 14" xfId="9783" xr:uid="{2C5F2F5C-0805-4C10-AEFB-A58FC6C3D03E}"/>
    <cellStyle name="Normal 2 4 2 3 2" xfId="282" xr:uid="{00000000-0005-0000-0000-0000980E0000}"/>
    <cellStyle name="Normal 2 4 2 3 2 10" xfId="8813" xr:uid="{C03AE35D-2438-4E07-AE9C-6D04EC6DA2B7}"/>
    <cellStyle name="Normal 2 4 2 3 2 10 2" xfId="35976" xr:uid="{1DDFC7F0-62A5-4BD4-9872-E9DBBF31DE66}"/>
    <cellStyle name="Normal 2 4 2 3 2 10 3" xfId="18136" xr:uid="{2AEF5B98-E84A-411F-A9CC-4A32B76E412D}"/>
    <cellStyle name="Normal 2 4 2 3 2 11" xfId="27528" xr:uid="{974BC5F1-49B6-4EDA-8822-FBED7D4EE0F6}"/>
    <cellStyle name="Normal 2 4 2 3 2 12" xfId="19081" xr:uid="{E0191EC4-D876-4ADD-8DC7-2DC966945372}"/>
    <cellStyle name="Normal 2 4 2 3 2 13" xfId="9784" xr:uid="{A27BF2C7-784F-4B95-B70E-18948AE88221}"/>
    <cellStyle name="Normal 2 4 2 3 2 2" xfId="283" xr:uid="{00000000-0005-0000-0000-0000990E0000}"/>
    <cellStyle name="Normal 2 4 2 3 2 2 10" xfId="27529" xr:uid="{1CB2FAC3-4473-42DA-9AAC-7BB37B677B4A}"/>
    <cellStyle name="Normal 2 4 2 3 2 2 11" xfId="19082" xr:uid="{5C20DC84-BF58-4738-9ECB-AA4333C1D5CA}"/>
    <cellStyle name="Normal 2 4 2 3 2 2 12" xfId="9785" xr:uid="{93544B64-B2E0-4AD6-A0DB-2B3848ACE9B6}"/>
    <cellStyle name="Normal 2 4 2 3 2 2 2" xfId="284" xr:uid="{00000000-0005-0000-0000-00009A0E0000}"/>
    <cellStyle name="Normal 2 4 2 3 2 2 2 10" xfId="19083" xr:uid="{D2435E3E-4F94-4EAC-A96A-F33D47F99993}"/>
    <cellStyle name="Normal 2 4 2 3 2 2 2 11" xfId="9786" xr:uid="{47CA4FF0-65F9-4E0D-928F-F29D94612898}"/>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42754" xr:uid="{18D85876-E1F3-43BE-A7C7-24A53B52A2EC}"/>
    <cellStyle name="Normal 2 4 2 3 2 2 2 2 2 2 3" xfId="34307" xr:uid="{D42F348C-3FDC-41CA-818C-1C8C6B217B1D}"/>
    <cellStyle name="Normal 2 4 2 3 2 2 2 2 2 2 4" xfId="25859" xr:uid="{958C13CC-BDC7-4167-B327-E2560ECA3118}"/>
    <cellStyle name="Normal 2 4 2 3 2 2 2 2 2 2 5" xfId="16562" xr:uid="{EDCE9DAE-EE9A-4B4D-AABB-837AD6655481}"/>
    <cellStyle name="Normal 2 4 2 3 2 2 2 2 2 3" xfId="38537" xr:uid="{64C0D15C-D93B-4D91-A101-14CD72BD31B1}"/>
    <cellStyle name="Normal 2 4 2 3 2 2 2 2 2 4" xfId="30089" xr:uid="{A1D99882-7BCF-43E1-8456-4F1DE65A4CBB}"/>
    <cellStyle name="Normal 2 4 2 3 2 2 2 2 2 5" xfId="21642" xr:uid="{B02B30A7-B55B-41CB-AFE9-FD738A1EE22E}"/>
    <cellStyle name="Normal 2 4 2 3 2 2 2 2 2 6" xfId="12345" xr:uid="{DBE5B973-D279-4D0E-AB7E-0895E5076815}"/>
    <cellStyle name="Normal 2 4 2 3 2 2 2 2 3" xfId="5091" xr:uid="{00000000-0005-0000-0000-00009E0E0000}"/>
    <cellStyle name="Normal 2 4 2 3 2 2 2 2 3 2" xfId="40609" xr:uid="{4D3F4CF3-909B-4E56-A00C-2F62956723F7}"/>
    <cellStyle name="Normal 2 4 2 3 2 2 2 2 3 3" xfId="32162" xr:uid="{4596687F-CD68-45FC-94CE-D861D54853F6}"/>
    <cellStyle name="Normal 2 4 2 3 2 2 2 2 3 4" xfId="23714" xr:uid="{1A2D9424-3525-47E3-B3FF-2C0720AE960A}"/>
    <cellStyle name="Normal 2 4 2 3 2 2 2 2 3 5" xfId="14417" xr:uid="{88A88588-87E6-455F-AA3C-832F7B47B79C}"/>
    <cellStyle name="Normal 2 4 2 3 2 2 2 2 4" xfId="9548" xr:uid="{29E7289E-B3F4-4F63-9B9C-B531B0E50CEB}"/>
    <cellStyle name="Normal 2 4 2 3 2 2 2 2 4 2" xfId="36392" xr:uid="{F4ECBD76-34CC-4D43-A052-347C84FD2F7F}"/>
    <cellStyle name="Normal 2 4 2 3 2 2 2 2 4 3" xfId="18861" xr:uid="{27A9D548-1899-4E91-865C-CAADA0251FC6}"/>
    <cellStyle name="Normal 2 4 2 3 2 2 2 2 5" xfId="27944" xr:uid="{CF92FEC2-E25C-4217-8546-15D7C2DD44A7}"/>
    <cellStyle name="Normal 2 4 2 3 2 2 2 2 6" xfId="19497" xr:uid="{39149B42-5E14-4212-B50E-3CF971A7E536}"/>
    <cellStyle name="Normal 2 4 2 3 2 2 2 2 7" xfId="10200" xr:uid="{DF408B7F-1236-45C0-B982-2EDFCA1A3A19}"/>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43167" xr:uid="{42CC5441-3706-457F-A347-EA97E395DE57}"/>
    <cellStyle name="Normal 2 4 2 3 2 2 2 3 2 2 3" xfId="34720" xr:uid="{9C0F9909-AF54-4A0E-A27E-041DAE301FBC}"/>
    <cellStyle name="Normal 2 4 2 3 2 2 2 3 2 2 4" xfId="26272" xr:uid="{27705042-879F-426F-BD75-48F7F1355AB5}"/>
    <cellStyle name="Normal 2 4 2 3 2 2 2 3 2 2 5" xfId="16975" xr:uid="{79B458E3-0942-4F90-8799-7907FF18AE8C}"/>
    <cellStyle name="Normal 2 4 2 3 2 2 2 3 2 3" xfId="38950" xr:uid="{98CFE43D-8648-4EB7-9E2E-066FBE1BFF9D}"/>
    <cellStyle name="Normal 2 4 2 3 2 2 2 3 2 4" xfId="30502" xr:uid="{01F2E3C5-30BD-47C6-8D99-FFFECA7078D6}"/>
    <cellStyle name="Normal 2 4 2 3 2 2 2 3 2 5" xfId="22055" xr:uid="{2E885A69-9378-4699-B620-1D7F610F3970}"/>
    <cellStyle name="Normal 2 4 2 3 2 2 2 3 2 6" xfId="12758" xr:uid="{C1B07565-A854-4278-A907-57707D24B887}"/>
    <cellStyle name="Normal 2 4 2 3 2 2 2 3 3" xfId="5504" xr:uid="{00000000-0005-0000-0000-0000A20E0000}"/>
    <cellStyle name="Normal 2 4 2 3 2 2 2 3 3 2" xfId="41022" xr:uid="{8F3CFFD3-5902-41B7-A779-CEC748F172E8}"/>
    <cellStyle name="Normal 2 4 2 3 2 2 2 3 3 3" xfId="32575" xr:uid="{D61A1613-2B3C-4FB0-9770-481C6DD07DBC}"/>
    <cellStyle name="Normal 2 4 2 3 2 2 2 3 3 4" xfId="24127" xr:uid="{11434809-B6F4-4123-A5C6-A6B864F45214}"/>
    <cellStyle name="Normal 2 4 2 3 2 2 2 3 3 5" xfId="14830" xr:uid="{E2AC6AB9-C77C-4CA6-B1EF-DD4A83FD6805}"/>
    <cellStyle name="Normal 2 4 2 3 2 2 2 3 4" xfId="36805" xr:uid="{E0BEE238-06B1-4260-BA6F-F3EDE88782C9}"/>
    <cellStyle name="Normal 2 4 2 3 2 2 2 3 5" xfId="28357" xr:uid="{8A945D9F-B27B-4FDC-9FBE-CF6BDBB873B1}"/>
    <cellStyle name="Normal 2 4 2 3 2 2 2 3 6" xfId="19910" xr:uid="{A6E518DE-41F7-4D2D-AD9F-726C5E845C1C}"/>
    <cellStyle name="Normal 2 4 2 3 2 2 2 3 7" xfId="10613" xr:uid="{A8487F58-3073-41A6-B75E-FDB8F59B4C23}"/>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43580" xr:uid="{535FF8FB-FEAF-4336-8603-B6BB00C8E40E}"/>
    <cellStyle name="Normal 2 4 2 3 2 2 2 4 2 2 3" xfId="35133" xr:uid="{C9500EBF-869B-43E9-9468-C4BA702523B4}"/>
    <cellStyle name="Normal 2 4 2 3 2 2 2 4 2 2 4" xfId="26685" xr:uid="{3E59E0BD-2BD6-4E6F-9F91-677394BDB941}"/>
    <cellStyle name="Normal 2 4 2 3 2 2 2 4 2 2 5" xfId="17388" xr:uid="{DD14AB6E-7FE1-460E-86C6-3633BF243C8B}"/>
    <cellStyle name="Normal 2 4 2 3 2 2 2 4 2 3" xfId="39363" xr:uid="{A7CD76C8-5161-4671-B823-4003FCCAEC75}"/>
    <cellStyle name="Normal 2 4 2 3 2 2 2 4 2 4" xfId="30915" xr:uid="{F835F9D0-E6F0-40B8-BFCA-FCF91EB42A32}"/>
    <cellStyle name="Normal 2 4 2 3 2 2 2 4 2 5" xfId="22468" xr:uid="{E26AD467-1466-472C-84F2-8668AFBD8B57}"/>
    <cellStyle name="Normal 2 4 2 3 2 2 2 4 2 6" xfId="13171" xr:uid="{39C73350-A7FD-4FAE-B633-7B22F0414265}"/>
    <cellStyle name="Normal 2 4 2 3 2 2 2 4 3" xfId="5917" xr:uid="{00000000-0005-0000-0000-0000A60E0000}"/>
    <cellStyle name="Normal 2 4 2 3 2 2 2 4 3 2" xfId="41435" xr:uid="{F4DD2BB3-1C1B-4EE5-ADDD-E9975A570E10}"/>
    <cellStyle name="Normal 2 4 2 3 2 2 2 4 3 3" xfId="32988" xr:uid="{20829526-C719-4377-9B5A-D3CF7258CFF9}"/>
    <cellStyle name="Normal 2 4 2 3 2 2 2 4 3 4" xfId="24540" xr:uid="{7C075812-34C0-4C12-9682-A115D54775E3}"/>
    <cellStyle name="Normal 2 4 2 3 2 2 2 4 3 5" xfId="15243" xr:uid="{4A065331-039F-4AC5-9CCB-CE68E276CC1F}"/>
    <cellStyle name="Normal 2 4 2 3 2 2 2 4 4" xfId="37218" xr:uid="{8539FEC1-4C31-450C-A5FA-C31B94077CA4}"/>
    <cellStyle name="Normal 2 4 2 3 2 2 2 4 5" xfId="28770" xr:uid="{A2244C51-1DEA-4C75-A36D-ABB28B0847B4}"/>
    <cellStyle name="Normal 2 4 2 3 2 2 2 4 6" xfId="20323" xr:uid="{E99E7C11-7C64-4CF7-BAF7-EB4A87F95082}"/>
    <cellStyle name="Normal 2 4 2 3 2 2 2 4 7" xfId="11026" xr:uid="{8DA132FE-CD7F-4765-9895-736B2FCF7519}"/>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43993" xr:uid="{DD5B8BCD-B493-4584-A290-AA2F73D8FC0E}"/>
    <cellStyle name="Normal 2 4 2 3 2 2 2 5 2 2 3" xfId="35546" xr:uid="{E7E21E97-136F-48D6-AB04-5A329924BEB7}"/>
    <cellStyle name="Normal 2 4 2 3 2 2 2 5 2 2 4" xfId="27098" xr:uid="{C0E138D1-A669-4050-A239-38819D8A1B55}"/>
    <cellStyle name="Normal 2 4 2 3 2 2 2 5 2 2 5" xfId="17801" xr:uid="{0F584730-FE91-422B-82DD-13B35C0ED560}"/>
    <cellStyle name="Normal 2 4 2 3 2 2 2 5 2 3" xfId="39776" xr:uid="{76E181AB-04AA-43C4-A75D-FEA450244FB9}"/>
    <cellStyle name="Normal 2 4 2 3 2 2 2 5 2 4" xfId="31328" xr:uid="{2257F3F5-B18C-4EF3-9E28-4782A1A97CF2}"/>
    <cellStyle name="Normal 2 4 2 3 2 2 2 5 2 5" xfId="22881" xr:uid="{B98A3C56-EEF1-4287-AAC1-0F546F38E05C}"/>
    <cellStyle name="Normal 2 4 2 3 2 2 2 5 2 6" xfId="13584" xr:uid="{C26B698C-A15B-47DB-99EF-7A8D3481D853}"/>
    <cellStyle name="Normal 2 4 2 3 2 2 2 5 3" xfId="6330" xr:uid="{00000000-0005-0000-0000-0000AA0E0000}"/>
    <cellStyle name="Normal 2 4 2 3 2 2 2 5 3 2" xfId="41848" xr:uid="{A186AA56-403E-46DA-A82C-F7288B63EE05}"/>
    <cellStyle name="Normal 2 4 2 3 2 2 2 5 3 3" xfId="33401" xr:uid="{08066E88-B914-4DDB-B724-F2D1A6992642}"/>
    <cellStyle name="Normal 2 4 2 3 2 2 2 5 3 4" xfId="24953" xr:uid="{00C312B4-FC88-4164-938F-7DDC4EC8445B}"/>
    <cellStyle name="Normal 2 4 2 3 2 2 2 5 3 5" xfId="15656" xr:uid="{B866FD24-EB7F-4559-89BD-8B5E6B156613}"/>
    <cellStyle name="Normal 2 4 2 3 2 2 2 5 4" xfId="37631" xr:uid="{97E9925C-8C60-4BF1-AD8D-07650B8FF245}"/>
    <cellStyle name="Normal 2 4 2 3 2 2 2 5 5" xfId="29183" xr:uid="{295A47B1-0E49-4228-B806-32349F53E49C}"/>
    <cellStyle name="Normal 2 4 2 3 2 2 2 5 6" xfId="20736" xr:uid="{022E0226-C568-4273-8308-128C44DCAF62}"/>
    <cellStyle name="Normal 2 4 2 3 2 2 2 5 7" xfId="11439" xr:uid="{07670CB7-CB4A-4567-A079-CBA9E8D19BA9}"/>
    <cellStyle name="Normal 2 4 2 3 2 2 2 6" xfId="2460" xr:uid="{00000000-0005-0000-0000-0000AB0E0000}"/>
    <cellStyle name="Normal 2 4 2 3 2 2 2 6 2" xfId="6743" xr:uid="{00000000-0005-0000-0000-0000AC0E0000}"/>
    <cellStyle name="Normal 2 4 2 3 2 2 2 6 2 2" xfId="42261" xr:uid="{8C4EB114-C4F6-41CB-962F-6CA41A286420}"/>
    <cellStyle name="Normal 2 4 2 3 2 2 2 6 2 3" xfId="33814" xr:uid="{69AB502B-0095-4483-B705-F6F6EEE2FD76}"/>
    <cellStyle name="Normal 2 4 2 3 2 2 2 6 2 4" xfId="25366" xr:uid="{60F9081A-F544-46B3-A928-AEA4B8D0C862}"/>
    <cellStyle name="Normal 2 4 2 3 2 2 2 6 2 5" xfId="16069" xr:uid="{0DEB3D79-A71A-473E-88FA-9152A7155C7C}"/>
    <cellStyle name="Normal 2 4 2 3 2 2 2 6 3" xfId="38044" xr:uid="{F47636D8-24D4-408C-A63D-E101DB192E72}"/>
    <cellStyle name="Normal 2 4 2 3 2 2 2 6 4" xfId="29596" xr:uid="{577466E2-4C1C-4AFA-8577-0DFE409893BD}"/>
    <cellStyle name="Normal 2 4 2 3 2 2 2 6 5" xfId="21149" xr:uid="{F34B791A-85BD-45E6-A3E7-2AFA7E7E8899}"/>
    <cellStyle name="Normal 2 4 2 3 2 2 2 6 6" xfId="11852" xr:uid="{256EB6D6-CB97-4450-BC90-AD3D8F66FA92}"/>
    <cellStyle name="Normal 2 4 2 3 2 2 2 7" xfId="4677" xr:uid="{00000000-0005-0000-0000-0000AD0E0000}"/>
    <cellStyle name="Normal 2 4 2 3 2 2 2 7 2" xfId="40195" xr:uid="{2A75931E-CA6F-4E0E-AFA9-8D3E4CE03389}"/>
    <cellStyle name="Normal 2 4 2 3 2 2 2 7 3" xfId="31748" xr:uid="{23B241DE-FC06-4745-9A9A-101C694513F6}"/>
    <cellStyle name="Normal 2 4 2 3 2 2 2 7 4" xfId="23300" xr:uid="{C6D47044-E750-4FD7-A6C5-04C41ABCCAB3}"/>
    <cellStyle name="Normal 2 4 2 3 2 2 2 7 5" xfId="14003" xr:uid="{826B723F-19C6-4555-BB6A-A64777425343}"/>
    <cellStyle name="Normal 2 4 2 3 2 2 2 8" xfId="9123" xr:uid="{9F0183A9-880D-46D9-BB7D-5696E4723F5F}"/>
    <cellStyle name="Normal 2 4 2 3 2 2 2 8 2" xfId="35978" xr:uid="{D5B023F0-FB29-41C9-82A5-DC5A3D9A768E}"/>
    <cellStyle name="Normal 2 4 2 3 2 2 2 8 3" xfId="18446" xr:uid="{BC175CD3-30A5-4030-AEED-EF189C7F2CFD}"/>
    <cellStyle name="Normal 2 4 2 3 2 2 2 9" xfId="27530" xr:uid="{A89A808A-E85F-4919-BFB3-4425D9457C53}"/>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42753" xr:uid="{BE4AEB1B-622C-4D4E-9A34-337C6277AE45}"/>
    <cellStyle name="Normal 2 4 2 3 2 2 3 2 2 3" xfId="34306" xr:uid="{883C9A9D-4355-46DF-A4E9-16E259C55233}"/>
    <cellStyle name="Normal 2 4 2 3 2 2 3 2 2 4" xfId="25858" xr:uid="{30D0B993-3620-49E4-9874-CA62D8C84AF2}"/>
    <cellStyle name="Normal 2 4 2 3 2 2 3 2 2 5" xfId="16561" xr:uid="{2BE865FF-46C8-44DE-B527-3FEF0888F7AF}"/>
    <cellStyle name="Normal 2 4 2 3 2 2 3 2 3" xfId="38536" xr:uid="{8855447E-7498-40D3-94DA-E21F49EFB00C}"/>
    <cellStyle name="Normal 2 4 2 3 2 2 3 2 4" xfId="30088" xr:uid="{116CF974-D875-4450-84CF-B30070BE3CBB}"/>
    <cellStyle name="Normal 2 4 2 3 2 2 3 2 5" xfId="21641" xr:uid="{585FA2F2-8B57-41BF-85B4-1AFD2E7096A6}"/>
    <cellStyle name="Normal 2 4 2 3 2 2 3 2 6" xfId="12344" xr:uid="{B2AAD602-8E14-40B1-9E13-B5AE636EC4A7}"/>
    <cellStyle name="Normal 2 4 2 3 2 2 3 3" xfId="5090" xr:uid="{00000000-0005-0000-0000-0000B10E0000}"/>
    <cellStyle name="Normal 2 4 2 3 2 2 3 3 2" xfId="40608" xr:uid="{E4779EF8-CF30-46CD-B066-85ABC4C1C52E}"/>
    <cellStyle name="Normal 2 4 2 3 2 2 3 3 3" xfId="32161" xr:uid="{51B3D019-EE7D-45A9-84DC-47FC49E8FA18}"/>
    <cellStyle name="Normal 2 4 2 3 2 2 3 3 4" xfId="23713" xr:uid="{7F5B1E8F-5416-4AC1-A2AE-CBBD62247F24}"/>
    <cellStyle name="Normal 2 4 2 3 2 2 3 3 5" xfId="14416" xr:uid="{6D6EDC1A-00D4-4DEF-A2F2-5ACD997626E2}"/>
    <cellStyle name="Normal 2 4 2 3 2 2 3 4" xfId="9341" xr:uid="{4F113FF5-050D-47D1-A7D5-F829C93D993D}"/>
    <cellStyle name="Normal 2 4 2 3 2 2 3 4 2" xfId="36391" xr:uid="{E36DCD5C-B750-453A-8380-9C0D07124121}"/>
    <cellStyle name="Normal 2 4 2 3 2 2 3 4 3" xfId="18654" xr:uid="{6CA79275-3E5C-4423-AB51-7321F45FF66E}"/>
    <cellStyle name="Normal 2 4 2 3 2 2 3 5" xfId="27943" xr:uid="{3281C832-E04B-4983-8EFB-3957E19F07C5}"/>
    <cellStyle name="Normal 2 4 2 3 2 2 3 6" xfId="19496" xr:uid="{5A121C81-DD49-4DCE-A3DD-3E3AEA3B6DCC}"/>
    <cellStyle name="Normal 2 4 2 3 2 2 3 7" xfId="10199" xr:uid="{4FB8D829-AC1C-4AF8-A7A3-1AA10505E1F9}"/>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43166" xr:uid="{EB549892-EC29-4F8C-9AFE-0A0D6373A5B9}"/>
    <cellStyle name="Normal 2 4 2 3 2 2 4 2 2 3" xfId="34719" xr:uid="{C7DFEC6D-5233-498A-B288-A47BD1DDF3DD}"/>
    <cellStyle name="Normal 2 4 2 3 2 2 4 2 2 4" xfId="26271" xr:uid="{9586ED6D-D057-4C12-9012-8AA77BE70A26}"/>
    <cellStyle name="Normal 2 4 2 3 2 2 4 2 2 5" xfId="16974" xr:uid="{6A3D4423-EE53-4C9F-915F-A1EA40DCA561}"/>
    <cellStyle name="Normal 2 4 2 3 2 2 4 2 3" xfId="38949" xr:uid="{E2101321-3EE5-46A2-BFFB-B2ADF627F63C}"/>
    <cellStyle name="Normal 2 4 2 3 2 2 4 2 4" xfId="30501" xr:uid="{32322650-1D09-4906-9C4B-9EC4EB272DF3}"/>
    <cellStyle name="Normal 2 4 2 3 2 2 4 2 5" xfId="22054" xr:uid="{C57B299C-AE88-4859-A7A3-F72EC43493C2}"/>
    <cellStyle name="Normal 2 4 2 3 2 2 4 2 6" xfId="12757" xr:uid="{6E12B86B-26CC-4B99-8A6E-C0C24EEC577F}"/>
    <cellStyle name="Normal 2 4 2 3 2 2 4 3" xfId="5503" xr:uid="{00000000-0005-0000-0000-0000B50E0000}"/>
    <cellStyle name="Normal 2 4 2 3 2 2 4 3 2" xfId="41021" xr:uid="{B541A534-3D45-4DDC-B84D-86767F7C297A}"/>
    <cellStyle name="Normal 2 4 2 3 2 2 4 3 3" xfId="32574" xr:uid="{7956E2EF-A2D5-4BF4-B418-5D35B3C27EA9}"/>
    <cellStyle name="Normal 2 4 2 3 2 2 4 3 4" xfId="24126" xr:uid="{8A5831B3-7BE4-4118-9845-D7EA40CCA7BC}"/>
    <cellStyle name="Normal 2 4 2 3 2 2 4 3 5" xfId="14829" xr:uid="{F1271CC6-0A84-47B4-80E4-8EAC025E318C}"/>
    <cellStyle name="Normal 2 4 2 3 2 2 4 4" xfId="36804" xr:uid="{06025B55-ACDC-4DE8-BAE9-20F7E6AB59F0}"/>
    <cellStyle name="Normal 2 4 2 3 2 2 4 5" xfId="28356" xr:uid="{871C3D6B-22C5-455F-826E-33ACA3FA7FCF}"/>
    <cellStyle name="Normal 2 4 2 3 2 2 4 6" xfId="19909" xr:uid="{84ED96B0-6F57-490C-9A13-1EFF10CA8B3F}"/>
    <cellStyle name="Normal 2 4 2 3 2 2 4 7" xfId="10612" xr:uid="{C4F05C14-C5F0-4707-9A9C-1BFB3937DAB4}"/>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43579" xr:uid="{98643DF5-6050-49C9-9355-F736B0606670}"/>
    <cellStyle name="Normal 2 4 2 3 2 2 5 2 2 3" xfId="35132" xr:uid="{594533E0-233E-4B6F-A6A5-47F667793646}"/>
    <cellStyle name="Normal 2 4 2 3 2 2 5 2 2 4" xfId="26684" xr:uid="{820AC958-3101-49FC-99C4-BAAD3ED70028}"/>
    <cellStyle name="Normal 2 4 2 3 2 2 5 2 2 5" xfId="17387" xr:uid="{FE3650B4-0B73-4A13-862C-C21C8295ED98}"/>
    <cellStyle name="Normal 2 4 2 3 2 2 5 2 3" xfId="39362" xr:uid="{7AC9377F-A716-415B-B508-20EEABDE5193}"/>
    <cellStyle name="Normal 2 4 2 3 2 2 5 2 4" xfId="30914" xr:uid="{AE937FB8-12B2-48E8-98D7-C6CD626C36DA}"/>
    <cellStyle name="Normal 2 4 2 3 2 2 5 2 5" xfId="22467" xr:uid="{D682EA7A-63ED-4900-8F20-6B517D1FFCB2}"/>
    <cellStyle name="Normal 2 4 2 3 2 2 5 2 6" xfId="13170" xr:uid="{731C9E2E-93E5-4C5F-9219-4DEAF401D77C}"/>
    <cellStyle name="Normal 2 4 2 3 2 2 5 3" xfId="5916" xr:uid="{00000000-0005-0000-0000-0000B90E0000}"/>
    <cellStyle name="Normal 2 4 2 3 2 2 5 3 2" xfId="41434" xr:uid="{0CC8DBDE-E3C2-4AD6-823B-95475BAEBCA1}"/>
    <cellStyle name="Normal 2 4 2 3 2 2 5 3 3" xfId="32987" xr:uid="{E88B6142-1258-41F6-8DD4-97814FD010B9}"/>
    <cellStyle name="Normal 2 4 2 3 2 2 5 3 4" xfId="24539" xr:uid="{ADE8713A-D520-49FD-B5F8-05048D6EDA6A}"/>
    <cellStyle name="Normal 2 4 2 3 2 2 5 3 5" xfId="15242" xr:uid="{ABB2301A-418A-4301-BAB2-280EAA4E3664}"/>
    <cellStyle name="Normal 2 4 2 3 2 2 5 4" xfId="37217" xr:uid="{1AEF15AA-EC76-4DA1-8FEE-AB44B45332E3}"/>
    <cellStyle name="Normal 2 4 2 3 2 2 5 5" xfId="28769" xr:uid="{8B911D77-1C3F-4910-81ED-50DAF1BCF97D}"/>
    <cellStyle name="Normal 2 4 2 3 2 2 5 6" xfId="20322" xr:uid="{EFE53F67-7E75-4EDD-9803-A6A368BA401A}"/>
    <cellStyle name="Normal 2 4 2 3 2 2 5 7" xfId="11025" xr:uid="{6D37C238-E29D-486D-BD7F-A3EBDE2D1CB2}"/>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43992" xr:uid="{5C390FEB-861A-44DB-8E01-8BD5A2105A36}"/>
    <cellStyle name="Normal 2 4 2 3 2 2 6 2 2 3" xfId="35545" xr:uid="{6C138E16-0634-4F49-A39D-E1FB1122BCFB}"/>
    <cellStyle name="Normal 2 4 2 3 2 2 6 2 2 4" xfId="27097" xr:uid="{A1EDAF95-68D1-43F4-9698-42A3AF8B8E1B}"/>
    <cellStyle name="Normal 2 4 2 3 2 2 6 2 2 5" xfId="17800" xr:uid="{3B160D72-2456-45B5-9ED7-63FD96A98C49}"/>
    <cellStyle name="Normal 2 4 2 3 2 2 6 2 3" xfId="39775" xr:uid="{A33D76AE-93B8-4BBE-9091-59B0120D96AA}"/>
    <cellStyle name="Normal 2 4 2 3 2 2 6 2 4" xfId="31327" xr:uid="{C29393BF-372E-4A86-9B8C-E7BB5941663B}"/>
    <cellStyle name="Normal 2 4 2 3 2 2 6 2 5" xfId="22880" xr:uid="{A9E18744-C559-47F4-894A-1B713C43906C}"/>
    <cellStyle name="Normal 2 4 2 3 2 2 6 2 6" xfId="13583" xr:uid="{222366B9-A330-42F8-965A-148CE61203DA}"/>
    <cellStyle name="Normal 2 4 2 3 2 2 6 3" xfId="6329" xr:uid="{00000000-0005-0000-0000-0000BD0E0000}"/>
    <cellStyle name="Normal 2 4 2 3 2 2 6 3 2" xfId="41847" xr:uid="{009BC221-99B9-43DF-8E99-B76AA459A3D2}"/>
    <cellStyle name="Normal 2 4 2 3 2 2 6 3 3" xfId="33400" xr:uid="{3EFB2EFB-F10C-4DB5-AFB0-A64785516F92}"/>
    <cellStyle name="Normal 2 4 2 3 2 2 6 3 4" xfId="24952" xr:uid="{0D91A2A6-EBAA-48EB-8177-D640E0D53B62}"/>
    <cellStyle name="Normal 2 4 2 3 2 2 6 3 5" xfId="15655" xr:uid="{2E55E0A3-BB86-4BAC-B20E-C67253A18048}"/>
    <cellStyle name="Normal 2 4 2 3 2 2 6 4" xfId="37630" xr:uid="{D34E12DA-CB5A-4AB5-A68A-2629C28878ED}"/>
    <cellStyle name="Normal 2 4 2 3 2 2 6 5" xfId="29182" xr:uid="{816D925E-4823-4DD3-8195-8E307676D547}"/>
    <cellStyle name="Normal 2 4 2 3 2 2 6 6" xfId="20735" xr:uid="{017E4EDB-2480-4655-9895-C3776377A7C4}"/>
    <cellStyle name="Normal 2 4 2 3 2 2 6 7" xfId="11438" xr:uid="{E47F1F77-1074-4704-B369-2B547B381B20}"/>
    <cellStyle name="Normal 2 4 2 3 2 2 7" xfId="2459" xr:uid="{00000000-0005-0000-0000-0000BE0E0000}"/>
    <cellStyle name="Normal 2 4 2 3 2 2 7 2" xfId="6742" xr:uid="{00000000-0005-0000-0000-0000BF0E0000}"/>
    <cellStyle name="Normal 2 4 2 3 2 2 7 2 2" xfId="42260" xr:uid="{2F07AACE-CFED-47CE-9EC8-85957AC2C427}"/>
    <cellStyle name="Normal 2 4 2 3 2 2 7 2 3" xfId="33813" xr:uid="{73E4005B-5E55-4761-BB15-8B637591083E}"/>
    <cellStyle name="Normal 2 4 2 3 2 2 7 2 4" xfId="25365" xr:uid="{5C9E2574-05E0-4C3D-8592-2240BD956498}"/>
    <cellStyle name="Normal 2 4 2 3 2 2 7 2 5" xfId="16068" xr:uid="{61B0ED39-BAB3-42CF-A866-A6ADEB7FCA3F}"/>
    <cellStyle name="Normal 2 4 2 3 2 2 7 3" xfId="38043" xr:uid="{8E8DC1A7-884B-4F05-9409-4811F67F265F}"/>
    <cellStyle name="Normal 2 4 2 3 2 2 7 4" xfId="29595" xr:uid="{72C5C7CC-6E37-4FA5-B4AD-E0AAD152B67A}"/>
    <cellStyle name="Normal 2 4 2 3 2 2 7 5" xfId="21148" xr:uid="{8A71C34B-FD0B-4F1F-8B8A-BCD58BEB529D}"/>
    <cellStyle name="Normal 2 4 2 3 2 2 7 6" xfId="11851" xr:uid="{77E48C30-910E-4DF5-AD85-53DF27A2D6B5}"/>
    <cellStyle name="Normal 2 4 2 3 2 2 8" xfId="4676" xr:uid="{00000000-0005-0000-0000-0000C00E0000}"/>
    <cellStyle name="Normal 2 4 2 3 2 2 8 2" xfId="40194" xr:uid="{DC0218D7-76F8-402F-86B6-1ED3B6969637}"/>
    <cellStyle name="Normal 2 4 2 3 2 2 8 3" xfId="31747" xr:uid="{E6402599-4E2F-4EC7-A664-4D0E8A10A0FB}"/>
    <cellStyle name="Normal 2 4 2 3 2 2 8 4" xfId="23299" xr:uid="{FF216AA4-7CFC-4AC4-83E1-B6E678F0CEA5}"/>
    <cellStyle name="Normal 2 4 2 3 2 2 8 5" xfId="14002" xr:uid="{4390FB1E-0B9C-4893-931D-0256C883AA7C}"/>
    <cellStyle name="Normal 2 4 2 3 2 2 9" xfId="8916" xr:uid="{1EF18CC7-44BB-43EB-8DB6-D193CEF128C1}"/>
    <cellStyle name="Normal 2 4 2 3 2 2 9 2" xfId="35977" xr:uid="{D44BB12F-3BFC-4967-92A3-4452D7682694}"/>
    <cellStyle name="Normal 2 4 2 3 2 2 9 3" xfId="18239" xr:uid="{98043E25-3736-40F4-9892-CBCB904E4D49}"/>
    <cellStyle name="Normal 2 4 2 3 2 3" xfId="285" xr:uid="{00000000-0005-0000-0000-0000C10E0000}"/>
    <cellStyle name="Normal 2 4 2 3 2 3 10" xfId="19084" xr:uid="{673B18F5-66F9-47D0-B791-15193BCAF81B}"/>
    <cellStyle name="Normal 2 4 2 3 2 3 11" xfId="9787" xr:uid="{2D2DD7A6-8A4F-41C6-AA04-10638DA06292}"/>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42755" xr:uid="{5BBEC9F3-5868-42B9-8901-CCA373D3102C}"/>
    <cellStyle name="Normal 2 4 2 3 2 3 2 2 2 3" xfId="34308" xr:uid="{E5EC15C0-AD7F-487C-A0CA-0F80A0B48C36}"/>
    <cellStyle name="Normal 2 4 2 3 2 3 2 2 2 4" xfId="25860" xr:uid="{2D3A2DA0-8718-462D-92DB-2379110BC015}"/>
    <cellStyle name="Normal 2 4 2 3 2 3 2 2 2 5" xfId="16563" xr:uid="{073CBB58-CC4D-4144-8EC7-18071133F1FD}"/>
    <cellStyle name="Normal 2 4 2 3 2 3 2 2 3" xfId="38538" xr:uid="{83EAE52E-489B-4B9F-A928-ABC15D245A31}"/>
    <cellStyle name="Normal 2 4 2 3 2 3 2 2 4" xfId="30090" xr:uid="{744A38EE-A8A3-4C88-A119-9447AA0D4883}"/>
    <cellStyle name="Normal 2 4 2 3 2 3 2 2 5" xfId="21643" xr:uid="{2BAB33EF-F1E8-4D3F-BFEF-4DB6649363D9}"/>
    <cellStyle name="Normal 2 4 2 3 2 3 2 2 6" xfId="12346" xr:uid="{AA3CF535-D107-4FE2-AEEB-2B3A25B7CAFD}"/>
    <cellStyle name="Normal 2 4 2 3 2 3 2 3" xfId="5092" xr:uid="{00000000-0005-0000-0000-0000C50E0000}"/>
    <cellStyle name="Normal 2 4 2 3 2 3 2 3 2" xfId="40610" xr:uid="{027BD525-090C-43E8-A2A5-AE721C7877AB}"/>
    <cellStyle name="Normal 2 4 2 3 2 3 2 3 3" xfId="32163" xr:uid="{1EA7A6FB-6075-499A-9309-E7E26718117F}"/>
    <cellStyle name="Normal 2 4 2 3 2 3 2 3 4" xfId="23715" xr:uid="{60EFC61E-D79A-42C1-B406-B2E6F17EE98A}"/>
    <cellStyle name="Normal 2 4 2 3 2 3 2 3 5" xfId="14418" xr:uid="{100AC06A-32CC-45FC-A5D8-3D1A9033C11D}"/>
    <cellStyle name="Normal 2 4 2 3 2 3 2 4" xfId="9445" xr:uid="{67F9E33C-8554-469D-8D7A-1147F632F3B0}"/>
    <cellStyle name="Normal 2 4 2 3 2 3 2 4 2" xfId="36393" xr:uid="{43FB9247-C3D1-4CE8-9A6A-B3B99C094888}"/>
    <cellStyle name="Normal 2 4 2 3 2 3 2 4 3" xfId="18758" xr:uid="{2C0E112D-29F7-4BAF-93E5-18F9104FEC39}"/>
    <cellStyle name="Normal 2 4 2 3 2 3 2 5" xfId="27945" xr:uid="{6EB3CAAE-E5B6-46E8-8BB2-DE54F985BB03}"/>
    <cellStyle name="Normal 2 4 2 3 2 3 2 6" xfId="19498" xr:uid="{471A91DE-029F-4F5D-AD0F-22735F5A882E}"/>
    <cellStyle name="Normal 2 4 2 3 2 3 2 7" xfId="10201" xr:uid="{5EC0A3B9-5A03-4179-A3E1-13B1AAC7CA69}"/>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43168" xr:uid="{F2538071-44B3-4605-87D3-17921125FC67}"/>
    <cellStyle name="Normal 2 4 2 3 2 3 3 2 2 3" xfId="34721" xr:uid="{0602FD46-0BB8-47A8-8829-D4ED5EBE65C9}"/>
    <cellStyle name="Normal 2 4 2 3 2 3 3 2 2 4" xfId="26273" xr:uid="{603FA3A7-3903-422F-83D2-0EE68E7302A3}"/>
    <cellStyle name="Normal 2 4 2 3 2 3 3 2 2 5" xfId="16976" xr:uid="{9A4723FA-E9F6-42FE-AA5A-02449A2D6B83}"/>
    <cellStyle name="Normal 2 4 2 3 2 3 3 2 3" xfId="38951" xr:uid="{356151B8-56D2-4846-A0EE-361ACB43CEEA}"/>
    <cellStyle name="Normal 2 4 2 3 2 3 3 2 4" xfId="30503" xr:uid="{67D4E184-E574-47B9-B3C1-2A002D294366}"/>
    <cellStyle name="Normal 2 4 2 3 2 3 3 2 5" xfId="22056" xr:uid="{8A1EBA7A-58B7-49E3-828D-B397DFC3B8C8}"/>
    <cellStyle name="Normal 2 4 2 3 2 3 3 2 6" xfId="12759" xr:uid="{C2ED6629-02B7-4761-A893-D166DC09AEAE}"/>
    <cellStyle name="Normal 2 4 2 3 2 3 3 3" xfId="5505" xr:uid="{00000000-0005-0000-0000-0000C90E0000}"/>
    <cellStyle name="Normal 2 4 2 3 2 3 3 3 2" xfId="41023" xr:uid="{47E97B2C-D059-484C-AB98-478DB7BAD56A}"/>
    <cellStyle name="Normal 2 4 2 3 2 3 3 3 3" xfId="32576" xr:uid="{4CFD9182-CDDA-4B2F-BFB2-5FA346F8294D}"/>
    <cellStyle name="Normal 2 4 2 3 2 3 3 3 4" xfId="24128" xr:uid="{0ADD7C70-DA4D-450A-AED9-6A329159B772}"/>
    <cellStyle name="Normal 2 4 2 3 2 3 3 3 5" xfId="14831" xr:uid="{D4DDEF3F-F325-4138-A4FA-75388C6C1A27}"/>
    <cellStyle name="Normal 2 4 2 3 2 3 3 4" xfId="36806" xr:uid="{A2CB213A-89FC-4F22-80BE-98A3D68727A0}"/>
    <cellStyle name="Normal 2 4 2 3 2 3 3 5" xfId="28358" xr:uid="{CFAB45AA-B169-43FC-A2F7-01640A188355}"/>
    <cellStyle name="Normal 2 4 2 3 2 3 3 6" xfId="19911" xr:uid="{043FBB7B-FDD9-4B8E-A660-F2660448CE9A}"/>
    <cellStyle name="Normal 2 4 2 3 2 3 3 7" xfId="10614" xr:uid="{4636B7BF-10B6-420C-B5E3-E8B7CA8D0BC4}"/>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43581" xr:uid="{B2B7FC3B-3ECA-4D8A-A565-DFC03FFC754E}"/>
    <cellStyle name="Normal 2 4 2 3 2 3 4 2 2 3" xfId="35134" xr:uid="{D14F197E-A72C-4F5E-AA9C-065912FF87A6}"/>
    <cellStyle name="Normal 2 4 2 3 2 3 4 2 2 4" xfId="26686" xr:uid="{201C2420-4B5E-4B71-BBCB-3A9151DA9FF2}"/>
    <cellStyle name="Normal 2 4 2 3 2 3 4 2 2 5" xfId="17389" xr:uid="{FB8CB83B-0F2A-4C01-B9B0-EDC230FCEDE8}"/>
    <cellStyle name="Normal 2 4 2 3 2 3 4 2 3" xfId="39364" xr:uid="{CD3538D7-AE12-49E1-A872-EE49196FB7F5}"/>
    <cellStyle name="Normal 2 4 2 3 2 3 4 2 4" xfId="30916" xr:uid="{D552FF72-1F57-4E96-8CA3-83069ED70315}"/>
    <cellStyle name="Normal 2 4 2 3 2 3 4 2 5" xfId="22469" xr:uid="{A1DBA349-0FC6-4603-B003-CAD7EF0DEA12}"/>
    <cellStyle name="Normal 2 4 2 3 2 3 4 2 6" xfId="13172" xr:uid="{2AFE298D-3BFD-419C-B0B0-BA70786805AE}"/>
    <cellStyle name="Normal 2 4 2 3 2 3 4 3" xfId="5918" xr:uid="{00000000-0005-0000-0000-0000CD0E0000}"/>
    <cellStyle name="Normal 2 4 2 3 2 3 4 3 2" xfId="41436" xr:uid="{9EC2BD69-556E-4192-8BB4-1DC8E4478444}"/>
    <cellStyle name="Normal 2 4 2 3 2 3 4 3 3" xfId="32989" xr:uid="{168F05A8-5727-4613-BF32-A81433EADF37}"/>
    <cellStyle name="Normal 2 4 2 3 2 3 4 3 4" xfId="24541" xr:uid="{CDF01187-6118-4630-A7C2-AD3BA9270C1A}"/>
    <cellStyle name="Normal 2 4 2 3 2 3 4 3 5" xfId="15244" xr:uid="{D64F8BA8-91DD-439D-ACAC-27E050B071A3}"/>
    <cellStyle name="Normal 2 4 2 3 2 3 4 4" xfId="37219" xr:uid="{EEABCA80-08F1-493D-A6F4-5FB2570E2BBC}"/>
    <cellStyle name="Normal 2 4 2 3 2 3 4 5" xfId="28771" xr:uid="{15F6CD16-A3F9-463F-A6AF-AB628CE1615C}"/>
    <cellStyle name="Normal 2 4 2 3 2 3 4 6" xfId="20324" xr:uid="{0FD155E9-380E-4E1F-85AA-4A176EC63F6C}"/>
    <cellStyle name="Normal 2 4 2 3 2 3 4 7" xfId="11027" xr:uid="{2CBADCAA-CD99-492F-8A47-546A974F7277}"/>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43994" xr:uid="{8295ACEB-DA9A-46B0-863D-F0DC86FF6C78}"/>
    <cellStyle name="Normal 2 4 2 3 2 3 5 2 2 3" xfId="35547" xr:uid="{AFCFCE85-B8F2-44CF-B70F-75864E7F835F}"/>
    <cellStyle name="Normal 2 4 2 3 2 3 5 2 2 4" xfId="27099" xr:uid="{542D06D8-980D-4091-A9C7-EC42FED148FD}"/>
    <cellStyle name="Normal 2 4 2 3 2 3 5 2 2 5" xfId="17802" xr:uid="{4FB3CCB6-68EC-40C8-854B-8DB863598C84}"/>
    <cellStyle name="Normal 2 4 2 3 2 3 5 2 3" xfId="39777" xr:uid="{7055AD10-9A28-4F7E-846A-19DA97D1C2C3}"/>
    <cellStyle name="Normal 2 4 2 3 2 3 5 2 4" xfId="31329" xr:uid="{9CC96C79-0BD2-43E0-A22D-EB6BF206C196}"/>
    <cellStyle name="Normal 2 4 2 3 2 3 5 2 5" xfId="22882" xr:uid="{593A2B96-BFC8-45AA-97E0-1516E0759725}"/>
    <cellStyle name="Normal 2 4 2 3 2 3 5 2 6" xfId="13585" xr:uid="{DDBA53A0-55DA-470E-B63D-3AD8F44934B7}"/>
    <cellStyle name="Normal 2 4 2 3 2 3 5 3" xfId="6331" xr:uid="{00000000-0005-0000-0000-0000D10E0000}"/>
    <cellStyle name="Normal 2 4 2 3 2 3 5 3 2" xfId="41849" xr:uid="{E82100F3-D850-444A-BF47-666B90A536E8}"/>
    <cellStyle name="Normal 2 4 2 3 2 3 5 3 3" xfId="33402" xr:uid="{8768CEC7-6903-4085-9354-871F96A0E84A}"/>
    <cellStyle name="Normal 2 4 2 3 2 3 5 3 4" xfId="24954" xr:uid="{20E0D18B-5BD6-40BE-BC32-363555A29309}"/>
    <cellStyle name="Normal 2 4 2 3 2 3 5 3 5" xfId="15657" xr:uid="{5B9B3BF9-6846-42E4-8434-0303CC22D9AF}"/>
    <cellStyle name="Normal 2 4 2 3 2 3 5 4" xfId="37632" xr:uid="{42E40C39-17E8-4CEE-BD3C-BA1BE8FDAAD5}"/>
    <cellStyle name="Normal 2 4 2 3 2 3 5 5" xfId="29184" xr:uid="{4D3094DC-F217-40B0-B399-0916CE122FB7}"/>
    <cellStyle name="Normal 2 4 2 3 2 3 5 6" xfId="20737" xr:uid="{2E5FFE72-37F6-4B2F-A900-A2B5DBB06BA7}"/>
    <cellStyle name="Normal 2 4 2 3 2 3 5 7" xfId="11440" xr:uid="{7A52D673-3C2C-40FE-8582-9A81823677E3}"/>
    <cellStyle name="Normal 2 4 2 3 2 3 6" xfId="2461" xr:uid="{00000000-0005-0000-0000-0000D20E0000}"/>
    <cellStyle name="Normal 2 4 2 3 2 3 6 2" xfId="6744" xr:uid="{00000000-0005-0000-0000-0000D30E0000}"/>
    <cellStyle name="Normal 2 4 2 3 2 3 6 2 2" xfId="42262" xr:uid="{B9267CB1-3748-4CFC-8EC6-927CE9080695}"/>
    <cellStyle name="Normal 2 4 2 3 2 3 6 2 3" xfId="33815" xr:uid="{23000A71-AB12-4A73-AFE1-EC15F824B894}"/>
    <cellStyle name="Normal 2 4 2 3 2 3 6 2 4" xfId="25367" xr:uid="{911F1E7A-B013-4B28-BC18-268CE000BDB7}"/>
    <cellStyle name="Normal 2 4 2 3 2 3 6 2 5" xfId="16070" xr:uid="{590BB0D4-9FB6-4171-9A7F-E9C9C9D7D0E8}"/>
    <cellStyle name="Normal 2 4 2 3 2 3 6 3" xfId="38045" xr:uid="{B6C6A9FB-1738-45B0-937C-6107916CDEC4}"/>
    <cellStyle name="Normal 2 4 2 3 2 3 6 4" xfId="29597" xr:uid="{FBD836D1-BD9E-4737-BCEE-5DD64EE02915}"/>
    <cellStyle name="Normal 2 4 2 3 2 3 6 5" xfId="21150" xr:uid="{5B140255-E4AE-4D01-BDDD-DEC229D06A4E}"/>
    <cellStyle name="Normal 2 4 2 3 2 3 6 6" xfId="11853" xr:uid="{A4A620A3-5B9C-4560-A362-48B95D391B65}"/>
    <cellStyle name="Normal 2 4 2 3 2 3 7" xfId="4678" xr:uid="{00000000-0005-0000-0000-0000D40E0000}"/>
    <cellStyle name="Normal 2 4 2 3 2 3 7 2" xfId="40196" xr:uid="{15E8B7A9-4E1D-443B-A3A6-62EBAAED4B4F}"/>
    <cellStyle name="Normal 2 4 2 3 2 3 7 3" xfId="31749" xr:uid="{AA788276-36D4-4D40-8B41-CD0B9A970972}"/>
    <cellStyle name="Normal 2 4 2 3 2 3 7 4" xfId="23301" xr:uid="{9908506F-4FF4-4D19-A349-667124F35A66}"/>
    <cellStyle name="Normal 2 4 2 3 2 3 7 5" xfId="14004" xr:uid="{24CE9D67-A046-464F-886D-874E837440F3}"/>
    <cellStyle name="Normal 2 4 2 3 2 3 8" xfId="9020" xr:uid="{5718F785-8E2C-4B45-91D1-4597173D90A6}"/>
    <cellStyle name="Normal 2 4 2 3 2 3 8 2" xfId="35979" xr:uid="{652AAF72-800E-48C7-854A-C703A6271607}"/>
    <cellStyle name="Normal 2 4 2 3 2 3 8 3" xfId="18343" xr:uid="{3F7F908E-12B4-4E0D-9BA7-509948ED5414}"/>
    <cellStyle name="Normal 2 4 2 3 2 3 9" xfId="27531" xr:uid="{93A028FB-C867-4975-AFD7-F1F9ABEE10DE}"/>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42752" xr:uid="{5041C5E7-7558-4AEC-AE59-A079E8F44090}"/>
    <cellStyle name="Normal 2 4 2 3 2 4 2 2 3" xfId="34305" xr:uid="{C500E342-C746-4881-B876-1ADF2EA80400}"/>
    <cellStyle name="Normal 2 4 2 3 2 4 2 2 4" xfId="25857" xr:uid="{99AE5989-5398-4BB0-AA3E-7BFB3C3A5ECE}"/>
    <cellStyle name="Normal 2 4 2 3 2 4 2 2 5" xfId="16560" xr:uid="{0A0C009A-A5AD-480B-BBF8-0A6A7B5260D0}"/>
    <cellStyle name="Normal 2 4 2 3 2 4 2 3" xfId="38535" xr:uid="{A88D256D-3105-4EC5-8906-893D89D346C7}"/>
    <cellStyle name="Normal 2 4 2 3 2 4 2 4" xfId="30087" xr:uid="{BE4C7301-2ED7-4996-8A6B-FE4FA18A17A5}"/>
    <cellStyle name="Normal 2 4 2 3 2 4 2 5" xfId="21640" xr:uid="{04B8F9AF-27E2-4528-BD46-6F07EFE93CF7}"/>
    <cellStyle name="Normal 2 4 2 3 2 4 2 6" xfId="12343" xr:uid="{8E11F170-3070-4708-B3B6-F26C02764AD3}"/>
    <cellStyle name="Normal 2 4 2 3 2 4 3" xfId="5089" xr:uid="{00000000-0005-0000-0000-0000D80E0000}"/>
    <cellStyle name="Normal 2 4 2 3 2 4 3 2" xfId="40607" xr:uid="{55C1F4C8-5AA6-4D38-BAC1-EF847C4B1DF1}"/>
    <cellStyle name="Normal 2 4 2 3 2 4 3 3" xfId="32160" xr:uid="{CDE75BFA-29C2-45EE-983A-71B9471AA4E2}"/>
    <cellStyle name="Normal 2 4 2 3 2 4 3 4" xfId="23712" xr:uid="{39324FB4-4DEC-4A2E-9594-5AA46BD0EFF6}"/>
    <cellStyle name="Normal 2 4 2 3 2 4 3 5" xfId="14415" xr:uid="{F9C8BC1B-9EB3-4CD0-9420-A3A9389C1C5B}"/>
    <cellStyle name="Normal 2 4 2 3 2 4 4" xfId="9238" xr:uid="{BC6E5A3D-C256-46E9-A109-D643C24AA206}"/>
    <cellStyle name="Normal 2 4 2 3 2 4 4 2" xfId="36390" xr:uid="{F4C99901-786F-4DBA-ADF5-0B611431E08E}"/>
    <cellStyle name="Normal 2 4 2 3 2 4 4 3" xfId="18551" xr:uid="{9D7E10B0-3F69-45F7-83EB-D9846D29A80F}"/>
    <cellStyle name="Normal 2 4 2 3 2 4 5" xfId="27942" xr:uid="{36869B14-750E-4ADB-B858-B96683380EE0}"/>
    <cellStyle name="Normal 2 4 2 3 2 4 6" xfId="19495" xr:uid="{D884661C-0827-4984-B993-F3A25DC938E4}"/>
    <cellStyle name="Normal 2 4 2 3 2 4 7" xfId="10198" xr:uid="{44F2456C-1E72-478E-8EB8-138EDD7213FF}"/>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43165" xr:uid="{576107FC-BD91-4A76-90D8-B6698E63ACF6}"/>
    <cellStyle name="Normal 2 4 2 3 2 5 2 2 3" xfId="34718" xr:uid="{120F6653-7ADA-4797-B2E0-D987A830485D}"/>
    <cellStyle name="Normal 2 4 2 3 2 5 2 2 4" xfId="26270" xr:uid="{DC886081-6D4C-4974-A8E4-C519F8F20B6D}"/>
    <cellStyle name="Normal 2 4 2 3 2 5 2 2 5" xfId="16973" xr:uid="{EAC90EC2-DD8F-41A2-BAF5-9D8AD3DD75A5}"/>
    <cellStyle name="Normal 2 4 2 3 2 5 2 3" xfId="38948" xr:uid="{DAEE14D8-F467-4AF9-AA75-BE4D8945222C}"/>
    <cellStyle name="Normal 2 4 2 3 2 5 2 4" xfId="30500" xr:uid="{20C98F5F-5952-4D92-8610-988854832B38}"/>
    <cellStyle name="Normal 2 4 2 3 2 5 2 5" xfId="22053" xr:uid="{10E5B12F-8D6E-45F9-9799-C3DF7DCAD4FF}"/>
    <cellStyle name="Normal 2 4 2 3 2 5 2 6" xfId="12756" xr:uid="{4DD52DE7-6845-4A49-AFD2-FD4264C53755}"/>
    <cellStyle name="Normal 2 4 2 3 2 5 3" xfId="5502" xr:uid="{00000000-0005-0000-0000-0000DC0E0000}"/>
    <cellStyle name="Normal 2 4 2 3 2 5 3 2" xfId="41020" xr:uid="{9DF6D113-BD06-4424-926F-B20E0F4C3C9C}"/>
    <cellStyle name="Normal 2 4 2 3 2 5 3 3" xfId="32573" xr:uid="{179443DB-B338-4AB2-B17C-96B14970BE24}"/>
    <cellStyle name="Normal 2 4 2 3 2 5 3 4" xfId="24125" xr:uid="{009082FE-4CA9-4AFF-A35B-392CE2E317C7}"/>
    <cellStyle name="Normal 2 4 2 3 2 5 3 5" xfId="14828" xr:uid="{A620E138-FCB5-4722-BA69-66DE3B5F534A}"/>
    <cellStyle name="Normal 2 4 2 3 2 5 4" xfId="36803" xr:uid="{0D7D95C9-7F27-4250-80F1-54B997395413}"/>
    <cellStyle name="Normal 2 4 2 3 2 5 5" xfId="28355" xr:uid="{0BADB260-6D55-4121-8DD1-7BEA4BB5532E}"/>
    <cellStyle name="Normal 2 4 2 3 2 5 6" xfId="19908" xr:uid="{2F67F374-A19D-44CB-AD47-93A8C818959C}"/>
    <cellStyle name="Normal 2 4 2 3 2 5 7" xfId="10611" xr:uid="{9E04F9F5-B0B3-46CD-BAA8-640AC0E7BB32}"/>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43578" xr:uid="{6E322E89-B8AB-4B0F-85EC-AC12E817C4F5}"/>
    <cellStyle name="Normal 2 4 2 3 2 6 2 2 3" xfId="35131" xr:uid="{9AC20553-829C-45B2-8C7B-51082C632386}"/>
    <cellStyle name="Normal 2 4 2 3 2 6 2 2 4" xfId="26683" xr:uid="{A24C57AD-FA78-443F-A359-D5BE549F0CFF}"/>
    <cellStyle name="Normal 2 4 2 3 2 6 2 2 5" xfId="17386" xr:uid="{EE841E87-09A2-4381-A91B-11DA370048AD}"/>
    <cellStyle name="Normal 2 4 2 3 2 6 2 3" xfId="39361" xr:uid="{9896FF86-A734-4253-94AB-BD08EAA4869A}"/>
    <cellStyle name="Normal 2 4 2 3 2 6 2 4" xfId="30913" xr:uid="{37050B53-BDF3-444D-A731-9505083276DE}"/>
    <cellStyle name="Normal 2 4 2 3 2 6 2 5" xfId="22466" xr:uid="{AE235B21-0747-403D-8937-51459BD90B5C}"/>
    <cellStyle name="Normal 2 4 2 3 2 6 2 6" xfId="13169" xr:uid="{4AF29C32-EA58-4047-9740-F3D43C7AD8DD}"/>
    <cellStyle name="Normal 2 4 2 3 2 6 3" xfId="5915" xr:uid="{00000000-0005-0000-0000-0000E00E0000}"/>
    <cellStyle name="Normal 2 4 2 3 2 6 3 2" xfId="41433" xr:uid="{A11D40AE-60F2-46BC-8138-3F6F16A6CB2A}"/>
    <cellStyle name="Normal 2 4 2 3 2 6 3 3" xfId="32986" xr:uid="{E0DA627E-DC7D-4869-B5F2-5B679BB3BF0D}"/>
    <cellStyle name="Normal 2 4 2 3 2 6 3 4" xfId="24538" xr:uid="{CC4AE96E-9D93-4807-A8D6-2B5A4BFBEB13}"/>
    <cellStyle name="Normal 2 4 2 3 2 6 3 5" xfId="15241" xr:uid="{44E1C2F2-EB2F-4585-A143-1A4CBCD9BFF7}"/>
    <cellStyle name="Normal 2 4 2 3 2 6 4" xfId="37216" xr:uid="{F40F86E3-89DB-4AC3-97D0-592F918702D8}"/>
    <cellStyle name="Normal 2 4 2 3 2 6 5" xfId="28768" xr:uid="{DDB60463-B904-412F-90A2-737960D25C15}"/>
    <cellStyle name="Normal 2 4 2 3 2 6 6" xfId="20321" xr:uid="{C83DD728-48F0-47A9-8A1C-8AC31E793D27}"/>
    <cellStyle name="Normal 2 4 2 3 2 6 7" xfId="11024" xr:uid="{FF428310-15DF-4EAA-8F44-32E55E59161F}"/>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43991" xr:uid="{CDA6A5D4-9CB0-432F-AC12-88939340D302}"/>
    <cellStyle name="Normal 2 4 2 3 2 7 2 2 3" xfId="35544" xr:uid="{98ABD5E1-BBAE-4F8B-8FBC-FA55E4DD7EBF}"/>
    <cellStyle name="Normal 2 4 2 3 2 7 2 2 4" xfId="27096" xr:uid="{5A6218AF-9955-48D6-9D84-DA6FF15920CB}"/>
    <cellStyle name="Normal 2 4 2 3 2 7 2 2 5" xfId="17799" xr:uid="{E9AF3F10-7E57-449D-8B05-AA4EDC9BD4E7}"/>
    <cellStyle name="Normal 2 4 2 3 2 7 2 3" xfId="39774" xr:uid="{B5FA19FD-3FBF-4C02-A1FA-0A3D0BE91470}"/>
    <cellStyle name="Normal 2 4 2 3 2 7 2 4" xfId="31326" xr:uid="{A60372E9-A005-44BD-A551-DE8D1B20C870}"/>
    <cellStyle name="Normal 2 4 2 3 2 7 2 5" xfId="22879" xr:uid="{0C2C031E-A749-4083-861F-CC65B838F198}"/>
    <cellStyle name="Normal 2 4 2 3 2 7 2 6" xfId="13582" xr:uid="{62E8945C-FC9C-4F96-A2AF-EAF96F9DB8C8}"/>
    <cellStyle name="Normal 2 4 2 3 2 7 3" xfId="6328" xr:uid="{00000000-0005-0000-0000-0000E40E0000}"/>
    <cellStyle name="Normal 2 4 2 3 2 7 3 2" xfId="41846" xr:uid="{06C0FD09-E547-4708-AB3F-6B0CEC860B98}"/>
    <cellStyle name="Normal 2 4 2 3 2 7 3 3" xfId="33399" xr:uid="{F451EF55-385C-45B8-A105-E8C7DC987CD4}"/>
    <cellStyle name="Normal 2 4 2 3 2 7 3 4" xfId="24951" xr:uid="{16916254-679E-4393-B9CC-2E0FE484C203}"/>
    <cellStyle name="Normal 2 4 2 3 2 7 3 5" xfId="15654" xr:uid="{FAE01E11-8C94-4246-AD3A-F3ECA1820D3D}"/>
    <cellStyle name="Normal 2 4 2 3 2 7 4" xfId="37629" xr:uid="{A886D006-CF6A-4709-81A7-AE9AC2A68C1A}"/>
    <cellStyle name="Normal 2 4 2 3 2 7 5" xfId="29181" xr:uid="{888D1F05-131B-460E-BEA7-1E936E110F4E}"/>
    <cellStyle name="Normal 2 4 2 3 2 7 6" xfId="20734" xr:uid="{E6E7E40E-7876-4BB9-8F58-39AA08D704A0}"/>
    <cellStyle name="Normal 2 4 2 3 2 7 7" xfId="11437" xr:uid="{1203D7AF-0990-4DB3-807C-2060062A6202}"/>
    <cellStyle name="Normal 2 4 2 3 2 8" xfId="2458" xr:uid="{00000000-0005-0000-0000-0000E50E0000}"/>
    <cellStyle name="Normal 2 4 2 3 2 8 2" xfId="6741" xr:uid="{00000000-0005-0000-0000-0000E60E0000}"/>
    <cellStyle name="Normal 2 4 2 3 2 8 2 2" xfId="42259" xr:uid="{C007F921-8D2A-495D-B9FE-4D7CED13B250}"/>
    <cellStyle name="Normal 2 4 2 3 2 8 2 3" xfId="33812" xr:uid="{51A1CBA9-3DA1-45A6-8686-04360B594A65}"/>
    <cellStyle name="Normal 2 4 2 3 2 8 2 4" xfId="25364" xr:uid="{C5F844DC-E52B-4DE5-A3DB-E05A2E70D43A}"/>
    <cellStyle name="Normal 2 4 2 3 2 8 2 5" xfId="16067" xr:uid="{083418B0-084E-486C-9B7D-C0D6B9BD21C3}"/>
    <cellStyle name="Normal 2 4 2 3 2 8 3" xfId="38042" xr:uid="{770B9ED3-D22E-48B1-91F5-C55208C54CC0}"/>
    <cellStyle name="Normal 2 4 2 3 2 8 4" xfId="29594" xr:uid="{FEDBB976-CBAC-4B53-A79F-7408760AD9A2}"/>
    <cellStyle name="Normal 2 4 2 3 2 8 5" xfId="21147" xr:uid="{1049E13F-C9B4-457B-A997-47520286CB6D}"/>
    <cellStyle name="Normal 2 4 2 3 2 8 6" xfId="11850" xr:uid="{2A6673DC-2F5D-4A51-8B4D-C0205783B58B}"/>
    <cellStyle name="Normal 2 4 2 3 2 9" xfId="4675" xr:uid="{00000000-0005-0000-0000-0000E70E0000}"/>
    <cellStyle name="Normal 2 4 2 3 2 9 2" xfId="40193" xr:uid="{F46EE3A5-BE27-4F84-9632-DA2ABD00DFFD}"/>
    <cellStyle name="Normal 2 4 2 3 2 9 3" xfId="31746" xr:uid="{6A5DC0EA-AE30-4795-8D6B-834E527B2716}"/>
    <cellStyle name="Normal 2 4 2 3 2 9 4" xfId="23298" xr:uid="{69A6CB16-CDF1-493C-80BE-1727068784BB}"/>
    <cellStyle name="Normal 2 4 2 3 2 9 5" xfId="14001" xr:uid="{EDE741EA-82A0-4E33-AD09-767A4387C57F}"/>
    <cellStyle name="Normal 2 4 2 3 3" xfId="286" xr:uid="{00000000-0005-0000-0000-0000E80E0000}"/>
    <cellStyle name="Normal 2 4 2 3 3 10" xfId="27532" xr:uid="{090D547E-400C-471C-BC36-27A19EC4096C}"/>
    <cellStyle name="Normal 2 4 2 3 3 11" xfId="19085" xr:uid="{E2EAC6D3-5A4D-46BD-B640-38DE37B0F815}"/>
    <cellStyle name="Normal 2 4 2 3 3 12" xfId="9788" xr:uid="{B383EAD8-BC44-4BC1-9327-6E558AF06F2A}"/>
    <cellStyle name="Normal 2 4 2 3 3 2" xfId="287" xr:uid="{00000000-0005-0000-0000-0000E90E0000}"/>
    <cellStyle name="Normal 2 4 2 3 3 2 10" xfId="19086" xr:uid="{73F837EB-0945-4DD3-BF31-C979298C02FA}"/>
    <cellStyle name="Normal 2 4 2 3 3 2 11" xfId="9789" xr:uid="{3A426815-8CB1-4451-B2FB-B5EAC36FF596}"/>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42757" xr:uid="{7D02062A-3D13-4E1B-B505-07B3E29435E1}"/>
    <cellStyle name="Normal 2 4 2 3 3 2 2 2 2 3" xfId="34310" xr:uid="{D5750A8F-61F2-4008-AB0B-3D20998734A8}"/>
    <cellStyle name="Normal 2 4 2 3 3 2 2 2 2 4" xfId="25862" xr:uid="{30B1E410-48C4-453E-9E18-04B58A0A0CCB}"/>
    <cellStyle name="Normal 2 4 2 3 3 2 2 2 2 5" xfId="16565" xr:uid="{B258E0D4-82EC-4547-B77B-ED9B5D22AEDB}"/>
    <cellStyle name="Normal 2 4 2 3 3 2 2 2 3" xfId="38540" xr:uid="{F403CBB3-63A6-4A5E-B45B-01396BB50069}"/>
    <cellStyle name="Normal 2 4 2 3 3 2 2 2 4" xfId="30092" xr:uid="{6F823899-809C-4C1C-90E3-CDDB5C15143E}"/>
    <cellStyle name="Normal 2 4 2 3 3 2 2 2 5" xfId="21645" xr:uid="{AACABA31-A87E-4CFB-A12E-5FA6AE31FD8C}"/>
    <cellStyle name="Normal 2 4 2 3 3 2 2 2 6" xfId="12348" xr:uid="{0E73280A-5B4A-4321-AC10-CB9413C45564}"/>
    <cellStyle name="Normal 2 4 2 3 3 2 2 3" xfId="5094" xr:uid="{00000000-0005-0000-0000-0000ED0E0000}"/>
    <cellStyle name="Normal 2 4 2 3 3 2 2 3 2" xfId="40612" xr:uid="{ABEA6CD1-AC94-46FB-886B-44DAB892C213}"/>
    <cellStyle name="Normal 2 4 2 3 3 2 2 3 3" xfId="32165" xr:uid="{D6CC7FAE-DD80-495E-8EBF-0FEB3B44FD61}"/>
    <cellStyle name="Normal 2 4 2 3 3 2 2 3 4" xfId="23717" xr:uid="{61136E30-2586-4016-A40C-7CFDCDF801B9}"/>
    <cellStyle name="Normal 2 4 2 3 3 2 2 3 5" xfId="14420" xr:uid="{E75117F4-BE91-48EE-AACB-9AC6E4262A71}"/>
    <cellStyle name="Normal 2 4 2 3 3 2 2 4" xfId="9523" xr:uid="{49BCB42B-3FEB-4D87-8E20-52FE775F87DD}"/>
    <cellStyle name="Normal 2 4 2 3 3 2 2 4 2" xfId="36395" xr:uid="{368C98AF-A301-45DF-AB1F-C5F95EE4DC1F}"/>
    <cellStyle name="Normal 2 4 2 3 3 2 2 4 3" xfId="18836" xr:uid="{7F1287BA-FE14-4BC0-A161-27524F3111B3}"/>
    <cellStyle name="Normal 2 4 2 3 3 2 2 5" xfId="27947" xr:uid="{2FCEF0C4-5082-43F3-A6BE-23BC3EDA16A8}"/>
    <cellStyle name="Normal 2 4 2 3 3 2 2 6" xfId="19500" xr:uid="{009223F3-9359-498B-89C2-9FBE5BA01972}"/>
    <cellStyle name="Normal 2 4 2 3 3 2 2 7" xfId="10203" xr:uid="{8222761B-11F3-4808-958E-4653ADBE513F}"/>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43170" xr:uid="{0CBC73D7-5940-4D1F-9C66-5D483B4B8446}"/>
    <cellStyle name="Normal 2 4 2 3 3 2 3 2 2 3" xfId="34723" xr:uid="{B3116B15-A67E-4E42-AD56-32185F5D9A39}"/>
    <cellStyle name="Normal 2 4 2 3 3 2 3 2 2 4" xfId="26275" xr:uid="{4F05133E-A1B3-426F-A0DE-C1A4A4062249}"/>
    <cellStyle name="Normal 2 4 2 3 3 2 3 2 2 5" xfId="16978" xr:uid="{47B5498D-F633-4E79-91E7-DF8F97E65923}"/>
    <cellStyle name="Normal 2 4 2 3 3 2 3 2 3" xfId="38953" xr:uid="{623796C3-757D-4ACA-81D2-90353FA4B2EB}"/>
    <cellStyle name="Normal 2 4 2 3 3 2 3 2 4" xfId="30505" xr:uid="{8F0BE437-DA57-4F4B-A495-2213D7F643F2}"/>
    <cellStyle name="Normal 2 4 2 3 3 2 3 2 5" xfId="22058" xr:uid="{C590A5E5-6A0B-4FC5-BA1F-D59AA73B1C33}"/>
    <cellStyle name="Normal 2 4 2 3 3 2 3 2 6" xfId="12761" xr:uid="{3309BF40-6A58-4FF1-822A-CD833BF0234C}"/>
    <cellStyle name="Normal 2 4 2 3 3 2 3 3" xfId="5507" xr:uid="{00000000-0005-0000-0000-0000F10E0000}"/>
    <cellStyle name="Normal 2 4 2 3 3 2 3 3 2" xfId="41025" xr:uid="{D0454D73-5013-435D-8AA3-AFB89AEB2CA4}"/>
    <cellStyle name="Normal 2 4 2 3 3 2 3 3 3" xfId="32578" xr:uid="{8C099E73-4907-4AAB-8081-D8BFE7F8F1D9}"/>
    <cellStyle name="Normal 2 4 2 3 3 2 3 3 4" xfId="24130" xr:uid="{C73B88BF-8260-4BB8-AE38-470AA8A34783}"/>
    <cellStyle name="Normal 2 4 2 3 3 2 3 3 5" xfId="14833" xr:uid="{131D0E4D-D9B8-432A-B6F6-2E3EF0507B89}"/>
    <cellStyle name="Normal 2 4 2 3 3 2 3 4" xfId="36808" xr:uid="{2C679EF0-5E5C-4A1C-A70F-A67A0872F1E1}"/>
    <cellStyle name="Normal 2 4 2 3 3 2 3 5" xfId="28360" xr:uid="{B73C126E-CE0A-421C-B46A-1F8B1B275D9B}"/>
    <cellStyle name="Normal 2 4 2 3 3 2 3 6" xfId="19913" xr:uid="{C1AF2B67-6006-478A-AB17-890E6478111A}"/>
    <cellStyle name="Normal 2 4 2 3 3 2 3 7" xfId="10616" xr:uid="{75D05350-DE37-4D9C-ABED-323D49715802}"/>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43583" xr:uid="{B86EFC0F-F8A3-48BF-9DC4-E020EDD9FD1B}"/>
    <cellStyle name="Normal 2 4 2 3 3 2 4 2 2 3" xfId="35136" xr:uid="{D53D9159-389D-4250-9666-98C20E0A5AAF}"/>
    <cellStyle name="Normal 2 4 2 3 3 2 4 2 2 4" xfId="26688" xr:uid="{8AEA8CC5-425B-4D04-BD75-D5DC4481A253}"/>
    <cellStyle name="Normal 2 4 2 3 3 2 4 2 2 5" xfId="17391" xr:uid="{748B4A5F-4FB4-40AA-B1DA-F1842FBDDB3F}"/>
    <cellStyle name="Normal 2 4 2 3 3 2 4 2 3" xfId="39366" xr:uid="{04DB2DEF-3371-4E49-836F-D31760658E3D}"/>
    <cellStyle name="Normal 2 4 2 3 3 2 4 2 4" xfId="30918" xr:uid="{703A28C5-53CF-4ABB-8457-2B25E2DE6828}"/>
    <cellStyle name="Normal 2 4 2 3 3 2 4 2 5" xfId="22471" xr:uid="{195B52C1-4C20-45E0-9591-0F87C05EDB5E}"/>
    <cellStyle name="Normal 2 4 2 3 3 2 4 2 6" xfId="13174" xr:uid="{30869AB1-D9D4-406B-B3BB-A2536D20F3A4}"/>
    <cellStyle name="Normal 2 4 2 3 3 2 4 3" xfId="5920" xr:uid="{00000000-0005-0000-0000-0000F50E0000}"/>
    <cellStyle name="Normal 2 4 2 3 3 2 4 3 2" xfId="41438" xr:uid="{E1CC3437-8E45-4B1E-AF38-893C18748831}"/>
    <cellStyle name="Normal 2 4 2 3 3 2 4 3 3" xfId="32991" xr:uid="{4DBC10C6-1499-43C2-8BCB-D74889E5CDA2}"/>
    <cellStyle name="Normal 2 4 2 3 3 2 4 3 4" xfId="24543" xr:uid="{B239739E-BAD3-4F7A-8E96-9993308C4C8B}"/>
    <cellStyle name="Normal 2 4 2 3 3 2 4 3 5" xfId="15246" xr:uid="{66AA58F1-F809-43E2-9813-17994BA93A22}"/>
    <cellStyle name="Normal 2 4 2 3 3 2 4 4" xfId="37221" xr:uid="{D0AC14FD-4022-4037-8585-0A086D06DD6E}"/>
    <cellStyle name="Normal 2 4 2 3 3 2 4 5" xfId="28773" xr:uid="{6A5F5DC2-244D-4EC6-8325-D02A5863B1BC}"/>
    <cellStyle name="Normal 2 4 2 3 3 2 4 6" xfId="20326" xr:uid="{7B2B61A7-918F-48E7-A9C1-27C928E2DD07}"/>
    <cellStyle name="Normal 2 4 2 3 3 2 4 7" xfId="11029" xr:uid="{E418496A-FA85-42DA-9B19-D589C2451539}"/>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43996" xr:uid="{D1877836-0F25-4105-B711-4C736E397570}"/>
    <cellStyle name="Normal 2 4 2 3 3 2 5 2 2 3" xfId="35549" xr:uid="{1E118D66-FD8F-418C-9678-6F0D5387C81A}"/>
    <cellStyle name="Normal 2 4 2 3 3 2 5 2 2 4" xfId="27101" xr:uid="{47AEFD41-5DC0-472F-AF30-86D1973EA9C9}"/>
    <cellStyle name="Normal 2 4 2 3 3 2 5 2 2 5" xfId="17804" xr:uid="{218A4EA6-2EBF-4632-9312-842DE8575931}"/>
    <cellStyle name="Normal 2 4 2 3 3 2 5 2 3" xfId="39779" xr:uid="{3A7D3CC3-B2F2-4A34-A1A2-C152AD6F8E2D}"/>
    <cellStyle name="Normal 2 4 2 3 3 2 5 2 4" xfId="31331" xr:uid="{C9F22C53-D538-421D-A49D-96E04E1AF284}"/>
    <cellStyle name="Normal 2 4 2 3 3 2 5 2 5" xfId="22884" xr:uid="{90298B11-FE66-4090-ACF4-F7B2C1943A49}"/>
    <cellStyle name="Normal 2 4 2 3 3 2 5 2 6" xfId="13587" xr:uid="{BDCAC259-D611-47CB-A9A5-0E6A075F7FB5}"/>
    <cellStyle name="Normal 2 4 2 3 3 2 5 3" xfId="6333" xr:uid="{00000000-0005-0000-0000-0000F90E0000}"/>
    <cellStyle name="Normal 2 4 2 3 3 2 5 3 2" xfId="41851" xr:uid="{576A9518-2B45-447A-ABE7-8668C3C57850}"/>
    <cellStyle name="Normal 2 4 2 3 3 2 5 3 3" xfId="33404" xr:uid="{A2C8F3EE-A189-411A-993A-B571F0F423B3}"/>
    <cellStyle name="Normal 2 4 2 3 3 2 5 3 4" xfId="24956" xr:uid="{B915ED23-7D2D-4A9F-BCF7-7248EA22652B}"/>
    <cellStyle name="Normal 2 4 2 3 3 2 5 3 5" xfId="15659" xr:uid="{7320CEA9-28E5-412F-A435-1D928931D2B1}"/>
    <cellStyle name="Normal 2 4 2 3 3 2 5 4" xfId="37634" xr:uid="{362048A3-FD00-4C18-AB66-52CDD183621A}"/>
    <cellStyle name="Normal 2 4 2 3 3 2 5 5" xfId="29186" xr:uid="{2B01F788-DF0C-486D-B83D-BB37ABA90623}"/>
    <cellStyle name="Normal 2 4 2 3 3 2 5 6" xfId="20739" xr:uid="{0C80E171-9128-45F8-A83B-D542CAC17ED2}"/>
    <cellStyle name="Normal 2 4 2 3 3 2 5 7" xfId="11442" xr:uid="{08820C52-70CE-4FC1-8CD5-D9572E26F8A6}"/>
    <cellStyle name="Normal 2 4 2 3 3 2 6" xfId="2463" xr:uid="{00000000-0005-0000-0000-0000FA0E0000}"/>
    <cellStyle name="Normal 2 4 2 3 3 2 6 2" xfId="6746" xr:uid="{00000000-0005-0000-0000-0000FB0E0000}"/>
    <cellStyle name="Normal 2 4 2 3 3 2 6 2 2" xfId="42264" xr:uid="{209F5A8A-F833-4312-872C-B556ED9532D3}"/>
    <cellStyle name="Normal 2 4 2 3 3 2 6 2 3" xfId="33817" xr:uid="{43D11774-D239-4B74-8B2E-C3CD3FBB4EC5}"/>
    <cellStyle name="Normal 2 4 2 3 3 2 6 2 4" xfId="25369" xr:uid="{F768F96A-D35C-4FEB-B886-CF63ED7D9985}"/>
    <cellStyle name="Normal 2 4 2 3 3 2 6 2 5" xfId="16072" xr:uid="{90CB164B-5B7E-42F8-B9F1-607626F9E9BC}"/>
    <cellStyle name="Normal 2 4 2 3 3 2 6 3" xfId="38047" xr:uid="{2E402E6F-EC96-4CA4-B403-0EA672C21900}"/>
    <cellStyle name="Normal 2 4 2 3 3 2 6 4" xfId="29599" xr:uid="{BF227267-A2EE-40A7-9643-B10EBC0F7416}"/>
    <cellStyle name="Normal 2 4 2 3 3 2 6 5" xfId="21152" xr:uid="{B67CF694-72FE-4B49-B3B6-2F39183EFDC2}"/>
    <cellStyle name="Normal 2 4 2 3 3 2 6 6" xfId="11855" xr:uid="{2C284C23-79BF-4222-92F7-B419D642DC25}"/>
    <cellStyle name="Normal 2 4 2 3 3 2 7" xfId="4680" xr:uid="{00000000-0005-0000-0000-0000FC0E0000}"/>
    <cellStyle name="Normal 2 4 2 3 3 2 7 2" xfId="40198" xr:uid="{EB9C8CEB-DF00-4ABA-BB54-288A69814D0A}"/>
    <cellStyle name="Normal 2 4 2 3 3 2 7 3" xfId="31751" xr:uid="{5288CD6E-418D-44CA-A26B-7124CDEF0E59}"/>
    <cellStyle name="Normal 2 4 2 3 3 2 7 4" xfId="23303" xr:uid="{FBBE3625-0B47-477D-AA1C-329C69B3BBB0}"/>
    <cellStyle name="Normal 2 4 2 3 3 2 7 5" xfId="14006" xr:uid="{AA731E54-6C99-45C1-88C8-EDEA1564ED2B}"/>
    <cellStyle name="Normal 2 4 2 3 3 2 8" xfId="9098" xr:uid="{15335B31-FFDD-479D-88EC-FAB83DC4E6EC}"/>
    <cellStyle name="Normal 2 4 2 3 3 2 8 2" xfId="35981" xr:uid="{EA3A3740-35D1-4C50-804C-993E2E77197F}"/>
    <cellStyle name="Normal 2 4 2 3 3 2 8 3" xfId="18421" xr:uid="{2FFB6F9F-1C39-42B2-AF7C-09B5F4CCA27F}"/>
    <cellStyle name="Normal 2 4 2 3 3 2 9" xfId="27533" xr:uid="{AC0BBDC9-AC69-4EE3-9D54-921B6E798C42}"/>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42756" xr:uid="{BE7AEEF8-AE27-48CD-A758-D5CAA398F59E}"/>
    <cellStyle name="Normal 2 4 2 3 3 3 2 2 3" xfId="34309" xr:uid="{37AFBBD7-1259-4F93-91B7-78056B312A54}"/>
    <cellStyle name="Normal 2 4 2 3 3 3 2 2 4" xfId="25861" xr:uid="{1394B408-CB83-4A96-BBA2-EC76098E4F90}"/>
    <cellStyle name="Normal 2 4 2 3 3 3 2 2 5" xfId="16564" xr:uid="{445CD94D-7BC6-4524-8962-EBB8A427FDAF}"/>
    <cellStyle name="Normal 2 4 2 3 3 3 2 3" xfId="38539" xr:uid="{634E7ECA-CD0B-42CC-83D2-E1BF8FC70750}"/>
    <cellStyle name="Normal 2 4 2 3 3 3 2 4" xfId="30091" xr:uid="{3EC7FDFD-A313-480D-964F-3AB1FF1D1667}"/>
    <cellStyle name="Normal 2 4 2 3 3 3 2 5" xfId="21644" xr:uid="{3BA71461-8F9E-4E5C-A37D-C4AC4222A108}"/>
    <cellStyle name="Normal 2 4 2 3 3 3 2 6" xfId="12347" xr:uid="{097030A8-320D-448C-9AEB-41BC0CA36FB7}"/>
    <cellStyle name="Normal 2 4 2 3 3 3 3" xfId="5093" xr:uid="{00000000-0005-0000-0000-0000000F0000}"/>
    <cellStyle name="Normal 2 4 2 3 3 3 3 2" xfId="40611" xr:uid="{F5258E89-C31A-40C1-A86D-23230587B1A6}"/>
    <cellStyle name="Normal 2 4 2 3 3 3 3 3" xfId="32164" xr:uid="{81CBBAA2-63DB-483C-BA6E-68FD404F4188}"/>
    <cellStyle name="Normal 2 4 2 3 3 3 3 4" xfId="23716" xr:uid="{F9C19E46-0D75-435F-A9E4-398F89E7A5B2}"/>
    <cellStyle name="Normal 2 4 2 3 3 3 3 5" xfId="14419" xr:uid="{D83A91C7-6D75-49D9-B2C3-B7623BDA4CAE}"/>
    <cellStyle name="Normal 2 4 2 3 3 3 4" xfId="9316" xr:uid="{C8C83D09-5A3A-4C90-8A04-9D7CD8C85B11}"/>
    <cellStyle name="Normal 2 4 2 3 3 3 4 2" xfId="36394" xr:uid="{76423546-6DBC-40E4-B28A-D556911DDFF2}"/>
    <cellStyle name="Normal 2 4 2 3 3 3 4 3" xfId="18629" xr:uid="{0CB09D40-6211-4832-B527-891565182DD9}"/>
    <cellStyle name="Normal 2 4 2 3 3 3 5" xfId="27946" xr:uid="{C4D7AE17-A466-4750-8506-D415736CB53D}"/>
    <cellStyle name="Normal 2 4 2 3 3 3 6" xfId="19499" xr:uid="{30C041CA-44C7-4817-8FE6-EEDE55821C15}"/>
    <cellStyle name="Normal 2 4 2 3 3 3 7" xfId="10202" xr:uid="{538EB57E-AA48-4024-8BEB-351C324AB3AE}"/>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43169" xr:uid="{196C39A4-969D-4490-A49F-8F3973E94117}"/>
    <cellStyle name="Normal 2 4 2 3 3 4 2 2 3" xfId="34722" xr:uid="{3EB5133D-4E37-4A2E-A6A3-9BB58980D6AC}"/>
    <cellStyle name="Normal 2 4 2 3 3 4 2 2 4" xfId="26274" xr:uid="{68CCEA1A-8ECA-4348-A14A-E5C4286228EF}"/>
    <cellStyle name="Normal 2 4 2 3 3 4 2 2 5" xfId="16977" xr:uid="{A196E5C0-2FA7-42D3-B995-21CA334CEDAA}"/>
    <cellStyle name="Normal 2 4 2 3 3 4 2 3" xfId="38952" xr:uid="{757A0F9D-FDD2-4DAB-AC00-9C662167470A}"/>
    <cellStyle name="Normal 2 4 2 3 3 4 2 4" xfId="30504" xr:uid="{F2C5DB6B-74B1-4854-8061-788E13E422C7}"/>
    <cellStyle name="Normal 2 4 2 3 3 4 2 5" xfId="22057" xr:uid="{2D597412-784E-4163-AD25-201B2EB50B18}"/>
    <cellStyle name="Normal 2 4 2 3 3 4 2 6" xfId="12760" xr:uid="{8F676691-804A-4CFC-9D1E-A5F4A8A2947E}"/>
    <cellStyle name="Normal 2 4 2 3 3 4 3" xfId="5506" xr:uid="{00000000-0005-0000-0000-0000040F0000}"/>
    <cellStyle name="Normal 2 4 2 3 3 4 3 2" xfId="41024" xr:uid="{EDB64F8A-3EA6-4191-8471-459B7D80224C}"/>
    <cellStyle name="Normal 2 4 2 3 3 4 3 3" xfId="32577" xr:uid="{A2A4E7B9-437D-41CC-AD41-D8524513B2DC}"/>
    <cellStyle name="Normal 2 4 2 3 3 4 3 4" xfId="24129" xr:uid="{A3732785-9B26-498A-97FE-E3201BA5B44D}"/>
    <cellStyle name="Normal 2 4 2 3 3 4 3 5" xfId="14832" xr:uid="{09C55391-3E76-4D73-A7C9-6F135C49FAF6}"/>
    <cellStyle name="Normal 2 4 2 3 3 4 4" xfId="36807" xr:uid="{41DB2D28-A10E-4EAB-9A9B-ED667DA7C303}"/>
    <cellStyle name="Normal 2 4 2 3 3 4 5" xfId="28359" xr:uid="{99695F6E-EB98-4CFA-95A5-ED0714893590}"/>
    <cellStyle name="Normal 2 4 2 3 3 4 6" xfId="19912" xr:uid="{FAD30200-504B-4181-86EB-997AA326FD23}"/>
    <cellStyle name="Normal 2 4 2 3 3 4 7" xfId="10615" xr:uid="{8286FA79-0148-4580-9663-CB0343C71C2D}"/>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43582" xr:uid="{23B4100F-F7BD-4779-ABF4-B16EAC938324}"/>
    <cellStyle name="Normal 2 4 2 3 3 5 2 2 3" xfId="35135" xr:uid="{63D1E122-36C5-4024-B6A4-14074200B2CD}"/>
    <cellStyle name="Normal 2 4 2 3 3 5 2 2 4" xfId="26687" xr:uid="{09A4F857-48AE-450D-B09D-B0757ADDA297}"/>
    <cellStyle name="Normal 2 4 2 3 3 5 2 2 5" xfId="17390" xr:uid="{177B3AF4-287B-4499-BDAF-D6042E157120}"/>
    <cellStyle name="Normal 2 4 2 3 3 5 2 3" xfId="39365" xr:uid="{EF794842-49A6-423C-88F8-B946BE51DA91}"/>
    <cellStyle name="Normal 2 4 2 3 3 5 2 4" xfId="30917" xr:uid="{AEA1F6F8-BAEF-4601-BB5E-91721DBC5BE7}"/>
    <cellStyle name="Normal 2 4 2 3 3 5 2 5" xfId="22470" xr:uid="{68751599-8D3D-4785-A46C-CA1E5BA2F4E1}"/>
    <cellStyle name="Normal 2 4 2 3 3 5 2 6" xfId="13173" xr:uid="{4707CFC1-190A-4639-A71F-E578145C6B77}"/>
    <cellStyle name="Normal 2 4 2 3 3 5 3" xfId="5919" xr:uid="{00000000-0005-0000-0000-0000080F0000}"/>
    <cellStyle name="Normal 2 4 2 3 3 5 3 2" xfId="41437" xr:uid="{C7C418A9-4DF5-499C-8784-68E25755B566}"/>
    <cellStyle name="Normal 2 4 2 3 3 5 3 3" xfId="32990" xr:uid="{B8BC6D9E-11AE-4489-9D10-9847374B5E7C}"/>
    <cellStyle name="Normal 2 4 2 3 3 5 3 4" xfId="24542" xr:uid="{DDD8577C-6740-4976-8A5D-407333486385}"/>
    <cellStyle name="Normal 2 4 2 3 3 5 3 5" xfId="15245" xr:uid="{83F52417-3475-4F91-A368-629370DBC439}"/>
    <cellStyle name="Normal 2 4 2 3 3 5 4" xfId="37220" xr:uid="{5C67E40E-A51F-4F50-B676-04D24F2A439D}"/>
    <cellStyle name="Normal 2 4 2 3 3 5 5" xfId="28772" xr:uid="{7AD6A236-6CE7-412E-A36C-2A97A6C8C48A}"/>
    <cellStyle name="Normal 2 4 2 3 3 5 6" xfId="20325" xr:uid="{B27467DB-640B-4C63-999A-5FF5AF593A6D}"/>
    <cellStyle name="Normal 2 4 2 3 3 5 7" xfId="11028" xr:uid="{EB837B5E-9A70-4B80-8908-4E5A76C743C6}"/>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43995" xr:uid="{7A0CE01A-A836-4B0B-B880-6D6CC5F6B32F}"/>
    <cellStyle name="Normal 2 4 2 3 3 6 2 2 3" xfId="35548" xr:uid="{E768A0BD-A1A5-4EFC-97CF-EA52A91AA542}"/>
    <cellStyle name="Normal 2 4 2 3 3 6 2 2 4" xfId="27100" xr:uid="{C7225175-EF6F-4D47-8D1F-1873E3381169}"/>
    <cellStyle name="Normal 2 4 2 3 3 6 2 2 5" xfId="17803" xr:uid="{3291C054-D135-4993-BB7A-4E96724521E7}"/>
    <cellStyle name="Normal 2 4 2 3 3 6 2 3" xfId="39778" xr:uid="{8ADFCA25-7CE8-4BAA-90C5-94406CE2DCDD}"/>
    <cellStyle name="Normal 2 4 2 3 3 6 2 4" xfId="31330" xr:uid="{059DD543-C7EE-483C-A487-95F92F739567}"/>
    <cellStyle name="Normal 2 4 2 3 3 6 2 5" xfId="22883" xr:uid="{AF57EBE0-C028-4FF5-BE5A-9877C700987C}"/>
    <cellStyle name="Normal 2 4 2 3 3 6 2 6" xfId="13586" xr:uid="{DCAFC729-4C56-4EE6-BDE5-63FF2CBC3682}"/>
    <cellStyle name="Normal 2 4 2 3 3 6 3" xfId="6332" xr:uid="{00000000-0005-0000-0000-00000C0F0000}"/>
    <cellStyle name="Normal 2 4 2 3 3 6 3 2" xfId="41850" xr:uid="{82864754-C48A-4B0A-A168-61DB08A3A4A6}"/>
    <cellStyle name="Normal 2 4 2 3 3 6 3 3" xfId="33403" xr:uid="{6AF8E3F3-7037-4C41-8BF0-B7E08ACEF2B0}"/>
    <cellStyle name="Normal 2 4 2 3 3 6 3 4" xfId="24955" xr:uid="{0E912615-5DD7-43E8-BEF4-54958388552F}"/>
    <cellStyle name="Normal 2 4 2 3 3 6 3 5" xfId="15658" xr:uid="{3133D27A-AB9B-4F67-80CF-65DCED9D9D49}"/>
    <cellStyle name="Normal 2 4 2 3 3 6 4" xfId="37633" xr:uid="{13EDA17C-17E7-42AB-8C69-4D11D633D1C2}"/>
    <cellStyle name="Normal 2 4 2 3 3 6 5" xfId="29185" xr:uid="{56DAFF23-9ACE-413E-B293-A977FBF13735}"/>
    <cellStyle name="Normal 2 4 2 3 3 6 6" xfId="20738" xr:uid="{15E13F93-5797-477A-B75D-13FFAEAD5755}"/>
    <cellStyle name="Normal 2 4 2 3 3 6 7" xfId="11441" xr:uid="{1A9E30FF-1D08-4167-A3FD-7404C27E6C34}"/>
    <cellStyle name="Normal 2 4 2 3 3 7" xfId="2462" xr:uid="{00000000-0005-0000-0000-00000D0F0000}"/>
    <cellStyle name="Normal 2 4 2 3 3 7 2" xfId="6745" xr:uid="{00000000-0005-0000-0000-00000E0F0000}"/>
    <cellStyle name="Normal 2 4 2 3 3 7 2 2" xfId="42263" xr:uid="{FEE7D4DB-E1EE-4D1D-8460-72B307132830}"/>
    <cellStyle name="Normal 2 4 2 3 3 7 2 3" xfId="33816" xr:uid="{4B0413C9-38DE-4704-8EE9-9484B4C9CA08}"/>
    <cellStyle name="Normal 2 4 2 3 3 7 2 4" xfId="25368" xr:uid="{02BD6E57-24D5-4478-BBC8-AD431A3EB56D}"/>
    <cellStyle name="Normal 2 4 2 3 3 7 2 5" xfId="16071" xr:uid="{29853DB2-4F40-4906-AEF0-1B572203EE24}"/>
    <cellStyle name="Normal 2 4 2 3 3 7 3" xfId="38046" xr:uid="{C83684D1-6253-4958-A680-ED1F9487181E}"/>
    <cellStyle name="Normal 2 4 2 3 3 7 4" xfId="29598" xr:uid="{6D378897-B19F-44C5-8ADA-2C292FB1DB20}"/>
    <cellStyle name="Normal 2 4 2 3 3 7 5" xfId="21151" xr:uid="{3D20912F-5C72-4BC0-8B36-A6C910B76FBA}"/>
    <cellStyle name="Normal 2 4 2 3 3 7 6" xfId="11854" xr:uid="{ACFB9C3A-C5C8-46C1-8258-1E3D5093CCFE}"/>
    <cellStyle name="Normal 2 4 2 3 3 8" xfId="4679" xr:uid="{00000000-0005-0000-0000-00000F0F0000}"/>
    <cellStyle name="Normal 2 4 2 3 3 8 2" xfId="40197" xr:uid="{539F5F5B-9636-430B-AB70-10102DD8DC3D}"/>
    <cellStyle name="Normal 2 4 2 3 3 8 3" xfId="31750" xr:uid="{CCD561D1-2509-4289-9C88-114B9F6089FD}"/>
    <cellStyle name="Normal 2 4 2 3 3 8 4" xfId="23302" xr:uid="{A4AC38EF-841D-41D0-BC6C-E3A0FC22E70E}"/>
    <cellStyle name="Normal 2 4 2 3 3 8 5" xfId="14005" xr:uid="{50A09969-FD17-440F-BA58-EAD850F8882C}"/>
    <cellStyle name="Normal 2 4 2 3 3 9" xfId="8891" xr:uid="{D2DF60A1-A34B-4A3F-B29E-E581EFBA8360}"/>
    <cellStyle name="Normal 2 4 2 3 3 9 2" xfId="35980" xr:uid="{E8069EFA-54FB-4891-A214-8536A2A46A2F}"/>
    <cellStyle name="Normal 2 4 2 3 3 9 3" xfId="18214" xr:uid="{1D0BF6BB-E8FD-4C6B-B5AD-C04276BBBFCE}"/>
    <cellStyle name="Normal 2 4 2 3 4" xfId="288" xr:uid="{00000000-0005-0000-0000-0000100F0000}"/>
    <cellStyle name="Normal 2 4 2 3 4 10" xfId="19087" xr:uid="{BDE0EA15-5C0C-4A9C-9B29-03AF2E335DE9}"/>
    <cellStyle name="Normal 2 4 2 3 4 11" xfId="9790" xr:uid="{A61DB86B-967B-4D15-988A-A67D41A0984C}"/>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42758" xr:uid="{99B073AC-6872-4F29-9475-97FB6EE88366}"/>
    <cellStyle name="Normal 2 4 2 3 4 2 2 2 3" xfId="34311" xr:uid="{A70C0F3C-45C3-4007-B047-47347B0187FD}"/>
    <cellStyle name="Normal 2 4 2 3 4 2 2 2 4" xfId="25863" xr:uid="{977B7DDD-7C83-4AE9-8279-7ADFC321C69B}"/>
    <cellStyle name="Normal 2 4 2 3 4 2 2 2 5" xfId="16566" xr:uid="{B83A4CFE-9C0A-4780-B98D-477A3D348DC7}"/>
    <cellStyle name="Normal 2 4 2 3 4 2 2 3" xfId="38541" xr:uid="{7E8F40F9-A570-45E4-B50F-81C2B2319F1F}"/>
    <cellStyle name="Normal 2 4 2 3 4 2 2 4" xfId="30093" xr:uid="{5C8DF4A0-D8FD-4625-B3CE-FF95DED25A94}"/>
    <cellStyle name="Normal 2 4 2 3 4 2 2 5" xfId="21646" xr:uid="{D43F9048-9B73-483B-9DB6-68A69E666720}"/>
    <cellStyle name="Normal 2 4 2 3 4 2 2 6" xfId="12349" xr:uid="{344BEE64-EF45-4BB5-A74F-B979C4C3C941}"/>
    <cellStyle name="Normal 2 4 2 3 4 2 3" xfId="5095" xr:uid="{00000000-0005-0000-0000-0000140F0000}"/>
    <cellStyle name="Normal 2 4 2 3 4 2 3 2" xfId="40613" xr:uid="{7A5E1EF5-1E4F-4C0D-9F77-9674FDE5E70A}"/>
    <cellStyle name="Normal 2 4 2 3 4 2 3 3" xfId="32166" xr:uid="{6A063A81-44B0-4211-A0CD-313CA3150739}"/>
    <cellStyle name="Normal 2 4 2 3 4 2 3 4" xfId="23718" xr:uid="{DD23EEA5-BCA3-4584-A3C8-C08B959A2B4A}"/>
    <cellStyle name="Normal 2 4 2 3 4 2 3 5" xfId="14421" xr:uid="{B36B6F9F-7024-4175-B2C8-FCFFE1D7C906}"/>
    <cellStyle name="Normal 2 4 2 3 4 2 4" xfId="9420" xr:uid="{49E252B3-99BC-416A-A0CB-FE2641ECFDE3}"/>
    <cellStyle name="Normal 2 4 2 3 4 2 4 2" xfId="36396" xr:uid="{8A9FFBEB-D477-4E64-9E4E-F99F17030417}"/>
    <cellStyle name="Normal 2 4 2 3 4 2 4 3" xfId="18733" xr:uid="{7B0EFC1E-0562-4D8A-AE12-70D0935C0106}"/>
    <cellStyle name="Normal 2 4 2 3 4 2 5" xfId="27948" xr:uid="{251EEC25-4E87-42EA-949C-EB7D002127D8}"/>
    <cellStyle name="Normal 2 4 2 3 4 2 6" xfId="19501" xr:uid="{52EBDCEC-F43E-4A6C-B434-5ECAEE6EE0F3}"/>
    <cellStyle name="Normal 2 4 2 3 4 2 7" xfId="10204" xr:uid="{CA7904D2-74D3-47D1-8AD5-409FFD9E1932}"/>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43171" xr:uid="{FC4CF2AA-B234-428D-96D2-D4A31D21B703}"/>
    <cellStyle name="Normal 2 4 2 3 4 3 2 2 3" xfId="34724" xr:uid="{10AB635C-A74F-40D1-AD38-B5579E83EE83}"/>
    <cellStyle name="Normal 2 4 2 3 4 3 2 2 4" xfId="26276" xr:uid="{456AA6BD-D112-49ED-9D36-774BA189786C}"/>
    <cellStyle name="Normal 2 4 2 3 4 3 2 2 5" xfId="16979" xr:uid="{E84B547D-E362-4689-B681-231FFDC3C3C0}"/>
    <cellStyle name="Normal 2 4 2 3 4 3 2 3" xfId="38954" xr:uid="{04049C68-B096-4C42-BE91-00982B3827D3}"/>
    <cellStyle name="Normal 2 4 2 3 4 3 2 4" xfId="30506" xr:uid="{D531351F-3823-41AE-9516-4B5A57ABCEA8}"/>
    <cellStyle name="Normal 2 4 2 3 4 3 2 5" xfId="22059" xr:uid="{3EF3778B-088B-4AA3-A1F1-CA0D57811116}"/>
    <cellStyle name="Normal 2 4 2 3 4 3 2 6" xfId="12762" xr:uid="{B8366B0E-FAEE-4D13-B03C-08D7804EE1EC}"/>
    <cellStyle name="Normal 2 4 2 3 4 3 3" xfId="5508" xr:uid="{00000000-0005-0000-0000-0000180F0000}"/>
    <cellStyle name="Normal 2 4 2 3 4 3 3 2" xfId="41026" xr:uid="{76C2D693-8E31-410D-BEE3-3ADF685467F1}"/>
    <cellStyle name="Normal 2 4 2 3 4 3 3 3" xfId="32579" xr:uid="{25FB04D7-29D2-498C-A386-3DF6018613EE}"/>
    <cellStyle name="Normal 2 4 2 3 4 3 3 4" xfId="24131" xr:uid="{49858478-D88C-4F2A-BB88-7882EAC978AB}"/>
    <cellStyle name="Normal 2 4 2 3 4 3 3 5" xfId="14834" xr:uid="{BE089564-4110-4375-8842-BA294746468D}"/>
    <cellStyle name="Normal 2 4 2 3 4 3 4" xfId="36809" xr:uid="{A63CF861-FE67-413F-B0EE-29C576198413}"/>
    <cellStyle name="Normal 2 4 2 3 4 3 5" xfId="28361" xr:uid="{72A63347-0D17-4D0B-B68C-38C54844D2A3}"/>
    <cellStyle name="Normal 2 4 2 3 4 3 6" xfId="19914" xr:uid="{D1E863C4-DAAE-4B4B-A37D-59537CA1F969}"/>
    <cellStyle name="Normal 2 4 2 3 4 3 7" xfId="10617" xr:uid="{28290FE1-CDC7-4B66-AA82-B57600FFF1D3}"/>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43584" xr:uid="{1A139CD2-4597-4DE0-9F7A-D35AEEEC1B5A}"/>
    <cellStyle name="Normal 2 4 2 3 4 4 2 2 3" xfId="35137" xr:uid="{73682CD1-32F4-4786-B593-88A3076EC1B3}"/>
    <cellStyle name="Normal 2 4 2 3 4 4 2 2 4" xfId="26689" xr:uid="{AD2C16C3-F143-4931-9D6E-82BF3F0E8C87}"/>
    <cellStyle name="Normal 2 4 2 3 4 4 2 2 5" xfId="17392" xr:uid="{DBC7281E-62DB-4425-976A-0EEA9ED6BFC3}"/>
    <cellStyle name="Normal 2 4 2 3 4 4 2 3" xfId="39367" xr:uid="{F125F32A-0FCD-4ADA-BBC9-789E0EF27410}"/>
    <cellStyle name="Normal 2 4 2 3 4 4 2 4" xfId="30919" xr:uid="{97DB3BB0-92AA-448D-96D4-61073C64F8D6}"/>
    <cellStyle name="Normal 2 4 2 3 4 4 2 5" xfId="22472" xr:uid="{BEBF4A87-C296-46DD-8DF8-0076FBEDA553}"/>
    <cellStyle name="Normal 2 4 2 3 4 4 2 6" xfId="13175" xr:uid="{B7FA934E-2EE3-4D07-808F-61C16BCD2EE4}"/>
    <cellStyle name="Normal 2 4 2 3 4 4 3" xfId="5921" xr:uid="{00000000-0005-0000-0000-00001C0F0000}"/>
    <cellStyle name="Normal 2 4 2 3 4 4 3 2" xfId="41439" xr:uid="{F0E3C36F-17AD-4A9B-B61C-880A595A5F0A}"/>
    <cellStyle name="Normal 2 4 2 3 4 4 3 3" xfId="32992" xr:uid="{041816C8-0D4B-45B4-9274-3B9A8FFD3DA2}"/>
    <cellStyle name="Normal 2 4 2 3 4 4 3 4" xfId="24544" xr:uid="{95C25BCE-C73C-4C3A-A6FE-B873DEEF3971}"/>
    <cellStyle name="Normal 2 4 2 3 4 4 3 5" xfId="15247" xr:uid="{AC138F30-02ED-4B0D-BF46-BE1FF7F6287B}"/>
    <cellStyle name="Normal 2 4 2 3 4 4 4" xfId="37222" xr:uid="{43AD2A87-BF32-4274-B5E1-B011D1D81B59}"/>
    <cellStyle name="Normal 2 4 2 3 4 4 5" xfId="28774" xr:uid="{09907367-7F90-45F7-915B-B5114783B1FB}"/>
    <cellStyle name="Normal 2 4 2 3 4 4 6" xfId="20327" xr:uid="{A176012F-E202-4862-904B-41206C963F2E}"/>
    <cellStyle name="Normal 2 4 2 3 4 4 7" xfId="11030" xr:uid="{79F6A105-4D05-4C47-8700-0D33A8FB33D8}"/>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43997" xr:uid="{EC245FB9-2E04-4868-8FF6-AA1514FF4616}"/>
    <cellStyle name="Normal 2 4 2 3 4 5 2 2 3" xfId="35550" xr:uid="{359390EC-25A4-4887-B5EC-6A4444FF3510}"/>
    <cellStyle name="Normal 2 4 2 3 4 5 2 2 4" xfId="27102" xr:uid="{90C203A3-040C-4945-93BF-C8A1666D472D}"/>
    <cellStyle name="Normal 2 4 2 3 4 5 2 2 5" xfId="17805" xr:uid="{8355B099-2460-4886-8D18-67CEB5F430EF}"/>
    <cellStyle name="Normal 2 4 2 3 4 5 2 3" xfId="39780" xr:uid="{085A85D1-AF5C-42EF-B5C9-1559448CBC43}"/>
    <cellStyle name="Normal 2 4 2 3 4 5 2 4" xfId="31332" xr:uid="{FF4D11BB-C066-4277-B062-B050DBB1F8A2}"/>
    <cellStyle name="Normal 2 4 2 3 4 5 2 5" xfId="22885" xr:uid="{6902EE2B-2027-45A7-99A7-5C6EB7556B66}"/>
    <cellStyle name="Normal 2 4 2 3 4 5 2 6" xfId="13588" xr:uid="{78762A61-E21B-411E-ACA8-7FC11D30601F}"/>
    <cellStyle name="Normal 2 4 2 3 4 5 3" xfId="6334" xr:uid="{00000000-0005-0000-0000-0000200F0000}"/>
    <cellStyle name="Normal 2 4 2 3 4 5 3 2" xfId="41852" xr:uid="{AC035482-FC33-4EAB-8922-DE9D4605CC10}"/>
    <cellStyle name="Normal 2 4 2 3 4 5 3 3" xfId="33405" xr:uid="{2E949A7E-5986-467F-8FA7-4076FE390CEF}"/>
    <cellStyle name="Normal 2 4 2 3 4 5 3 4" xfId="24957" xr:uid="{47CD4054-C898-4B7D-A5A3-F68592A40579}"/>
    <cellStyle name="Normal 2 4 2 3 4 5 3 5" xfId="15660" xr:uid="{C629567F-44EA-479A-B7EE-5C3F46EB4803}"/>
    <cellStyle name="Normal 2 4 2 3 4 5 4" xfId="37635" xr:uid="{011C2C13-263A-4C2D-BB14-E50A19F4F480}"/>
    <cellStyle name="Normal 2 4 2 3 4 5 5" xfId="29187" xr:uid="{24DC3A32-3981-4B65-B394-8DB8ADF0DCF3}"/>
    <cellStyle name="Normal 2 4 2 3 4 5 6" xfId="20740" xr:uid="{70A10B94-F41E-4765-954F-F2893D55610F}"/>
    <cellStyle name="Normal 2 4 2 3 4 5 7" xfId="11443" xr:uid="{7766F1E9-6001-4E1A-BAEF-5F3C898F69B2}"/>
    <cellStyle name="Normal 2 4 2 3 4 6" xfId="2464" xr:uid="{00000000-0005-0000-0000-0000210F0000}"/>
    <cellStyle name="Normal 2 4 2 3 4 6 2" xfId="6747" xr:uid="{00000000-0005-0000-0000-0000220F0000}"/>
    <cellStyle name="Normal 2 4 2 3 4 6 2 2" xfId="42265" xr:uid="{1F0B53EA-BD58-4814-AD4A-CD881445E69B}"/>
    <cellStyle name="Normal 2 4 2 3 4 6 2 3" xfId="33818" xr:uid="{1212D9E6-F610-4074-8382-D574E3F8385A}"/>
    <cellStyle name="Normal 2 4 2 3 4 6 2 4" xfId="25370" xr:uid="{7822CCEE-DF99-41AA-8792-12F2ABB36B6A}"/>
    <cellStyle name="Normal 2 4 2 3 4 6 2 5" xfId="16073" xr:uid="{01816ADA-9C0A-47DD-9FCE-250DBBE59E2A}"/>
    <cellStyle name="Normal 2 4 2 3 4 6 3" xfId="38048" xr:uid="{9E6DF521-3569-420B-BEDA-5BF9A2DBE80C}"/>
    <cellStyle name="Normal 2 4 2 3 4 6 4" xfId="29600" xr:uid="{7625D09C-C52D-4484-B17E-989E7E770D73}"/>
    <cellStyle name="Normal 2 4 2 3 4 6 5" xfId="21153" xr:uid="{70B8329B-2C30-4ECC-95B3-F5EAE2023188}"/>
    <cellStyle name="Normal 2 4 2 3 4 6 6" xfId="11856" xr:uid="{F9D7800B-D51C-4CFD-A6BF-A8703E90E4C9}"/>
    <cellStyle name="Normal 2 4 2 3 4 7" xfId="4681" xr:uid="{00000000-0005-0000-0000-0000230F0000}"/>
    <cellStyle name="Normal 2 4 2 3 4 7 2" xfId="40199" xr:uid="{75F2C393-350E-4956-9465-B5DB990D1868}"/>
    <cellStyle name="Normal 2 4 2 3 4 7 3" xfId="31752" xr:uid="{3823C988-A902-471D-9737-5E3034856F82}"/>
    <cellStyle name="Normal 2 4 2 3 4 7 4" xfId="23304" xr:uid="{E48E63D3-0722-41D2-9E96-7E741C42EBCA}"/>
    <cellStyle name="Normal 2 4 2 3 4 7 5" xfId="14007" xr:uid="{A2AEC044-349F-4F5E-8856-326DFB603E6C}"/>
    <cellStyle name="Normal 2 4 2 3 4 8" xfId="8995" xr:uid="{EEE25A27-4C18-4948-8341-FF27707A7A86}"/>
    <cellStyle name="Normal 2 4 2 3 4 8 2" xfId="35982" xr:uid="{F96D30A5-7BAA-4F41-9DB1-ADE805D684A2}"/>
    <cellStyle name="Normal 2 4 2 3 4 8 3" xfId="18318" xr:uid="{A51F19C5-0883-4EFD-ADAE-00C6660F1677}"/>
    <cellStyle name="Normal 2 4 2 3 4 9" xfId="27534" xr:uid="{BDC18473-D320-4CA3-B13F-C8AA40032FF4}"/>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42751" xr:uid="{03A63CD2-F1B6-481A-85DA-BB1E8ECB7518}"/>
    <cellStyle name="Normal 2 4 2 3 5 2 2 3" xfId="34304" xr:uid="{334A63C0-4536-4892-98F3-BFB4B0B6B743}"/>
    <cellStyle name="Normal 2 4 2 3 5 2 2 4" xfId="25856" xr:uid="{97B0405D-EE7D-4E96-BE71-4FEF868C9522}"/>
    <cellStyle name="Normal 2 4 2 3 5 2 2 5" xfId="16559" xr:uid="{29237F76-F85F-4636-BC94-4449C4334BDF}"/>
    <cellStyle name="Normal 2 4 2 3 5 2 3" xfId="38534" xr:uid="{8C5F245D-00F3-449C-955E-2F53BEFD0970}"/>
    <cellStyle name="Normal 2 4 2 3 5 2 4" xfId="30086" xr:uid="{B1DD324F-3637-462E-A96C-49DE606CA439}"/>
    <cellStyle name="Normal 2 4 2 3 5 2 5" xfId="21639" xr:uid="{235AECCD-C27F-46E0-BE4A-3F2F7A791F5A}"/>
    <cellStyle name="Normal 2 4 2 3 5 2 6" xfId="12342" xr:uid="{6ECE3187-AC5B-4330-A81A-AC08A7F428BE}"/>
    <cellStyle name="Normal 2 4 2 3 5 3" xfId="5088" xr:uid="{00000000-0005-0000-0000-0000270F0000}"/>
    <cellStyle name="Normal 2 4 2 3 5 3 2" xfId="40606" xr:uid="{22797D58-518C-4C72-8834-7F3F78B0536D}"/>
    <cellStyle name="Normal 2 4 2 3 5 3 3" xfId="32159" xr:uid="{EB9516C9-8340-4A68-8927-462870AAA40D}"/>
    <cellStyle name="Normal 2 4 2 3 5 3 4" xfId="23711" xr:uid="{44D84441-D685-46DF-9B8F-992F6DCFA9B8}"/>
    <cellStyle name="Normal 2 4 2 3 5 3 5" xfId="14414" xr:uid="{EDA59B60-613A-40A9-A125-0E2C8DE83558}"/>
    <cellStyle name="Normal 2 4 2 3 5 4" xfId="9212" xr:uid="{39F1BF9F-C79C-4226-B2D8-665EAA6F3686}"/>
    <cellStyle name="Normal 2 4 2 3 5 4 2" xfId="36389" xr:uid="{5CD32AA7-6DDC-4E7B-A353-3E98294FCAC3}"/>
    <cellStyle name="Normal 2 4 2 3 5 4 3" xfId="18526" xr:uid="{83066039-E94E-4663-8BB4-0F27724ACE89}"/>
    <cellStyle name="Normal 2 4 2 3 5 5" xfId="27941" xr:uid="{437F6F0E-032C-43F5-A972-1976F4B509E0}"/>
    <cellStyle name="Normal 2 4 2 3 5 6" xfId="19494" xr:uid="{B1FF2DBC-0E93-4284-8267-80F0C85D1852}"/>
    <cellStyle name="Normal 2 4 2 3 5 7" xfId="10197" xr:uid="{E68F6EC5-A503-42C4-A1F5-DBAECA8CBBE8}"/>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43164" xr:uid="{D6B6380F-2ED1-454E-BCFA-949F67C1AE7A}"/>
    <cellStyle name="Normal 2 4 2 3 6 2 2 3" xfId="34717" xr:uid="{3C25924F-908A-49A3-9F21-BF733583E6E8}"/>
    <cellStyle name="Normal 2 4 2 3 6 2 2 4" xfId="26269" xr:uid="{445A2431-99E1-4D13-BF7F-02FBA7AEDC97}"/>
    <cellStyle name="Normal 2 4 2 3 6 2 2 5" xfId="16972" xr:uid="{FB97C70A-8D95-4FB6-B889-2836C6D96A1A}"/>
    <cellStyle name="Normal 2 4 2 3 6 2 3" xfId="38947" xr:uid="{98639C48-BF53-4A94-BC3E-8BDDCCC95D3A}"/>
    <cellStyle name="Normal 2 4 2 3 6 2 4" xfId="30499" xr:uid="{067CDC75-0DD4-4F6E-8C5D-3C6900EAB07F}"/>
    <cellStyle name="Normal 2 4 2 3 6 2 5" xfId="22052" xr:uid="{F8E19404-1831-432B-BF1B-45D1A58B8969}"/>
    <cellStyle name="Normal 2 4 2 3 6 2 6" xfId="12755" xr:uid="{163DD620-4B03-48D4-BE30-716CC0DD86DE}"/>
    <cellStyle name="Normal 2 4 2 3 6 3" xfId="5501" xr:uid="{00000000-0005-0000-0000-00002B0F0000}"/>
    <cellStyle name="Normal 2 4 2 3 6 3 2" xfId="41019" xr:uid="{2C5CCA1D-FCA6-4E11-A54F-525DD9E55814}"/>
    <cellStyle name="Normal 2 4 2 3 6 3 3" xfId="32572" xr:uid="{81B2309A-439F-4742-AD8F-2C2BFD89D696}"/>
    <cellStyle name="Normal 2 4 2 3 6 3 4" xfId="24124" xr:uid="{B3DAD02B-60A6-4C40-BE99-EDB82ECDEBCA}"/>
    <cellStyle name="Normal 2 4 2 3 6 3 5" xfId="14827" xr:uid="{7027399B-0F74-41D9-A8AF-81367EE5B946}"/>
    <cellStyle name="Normal 2 4 2 3 6 4" xfId="36802" xr:uid="{340FF22E-BE97-4FA5-9FC4-2A7A4E8A10C5}"/>
    <cellStyle name="Normal 2 4 2 3 6 5" xfId="28354" xr:uid="{F0993242-7520-44EE-AE90-689941F6E9C9}"/>
    <cellStyle name="Normal 2 4 2 3 6 6" xfId="19907" xr:uid="{5E377876-D191-4034-8555-E21B2D400E69}"/>
    <cellStyle name="Normal 2 4 2 3 6 7" xfId="10610" xr:uid="{3FF92338-436A-4986-B683-3BE3C297671A}"/>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43577" xr:uid="{81E3A9FB-CCBB-493F-A2DC-F325285DB2AE}"/>
    <cellStyle name="Normal 2 4 2 3 7 2 2 3" xfId="35130" xr:uid="{354FDB9A-2BD1-4B9C-AF7A-02DF0AA96645}"/>
    <cellStyle name="Normal 2 4 2 3 7 2 2 4" xfId="26682" xr:uid="{7B1F9166-DBC2-4F21-A350-0493BDF9393E}"/>
    <cellStyle name="Normal 2 4 2 3 7 2 2 5" xfId="17385" xr:uid="{D27C156C-CA7E-4D35-B184-204912AFF0B5}"/>
    <cellStyle name="Normal 2 4 2 3 7 2 3" xfId="39360" xr:uid="{A17125D6-B206-4923-9AB1-623C54847273}"/>
    <cellStyle name="Normal 2 4 2 3 7 2 4" xfId="30912" xr:uid="{4307B075-99CC-432E-847E-B6ADFC984FA8}"/>
    <cellStyle name="Normal 2 4 2 3 7 2 5" xfId="22465" xr:uid="{12E16465-14C0-4459-B275-0A5F40BB91EE}"/>
    <cellStyle name="Normal 2 4 2 3 7 2 6" xfId="13168" xr:uid="{6AA5017A-04E5-43BE-B380-65B2535E9C1C}"/>
    <cellStyle name="Normal 2 4 2 3 7 3" xfId="5914" xr:uid="{00000000-0005-0000-0000-00002F0F0000}"/>
    <cellStyle name="Normal 2 4 2 3 7 3 2" xfId="41432" xr:uid="{0CE25FD3-65B0-4B24-82AB-5D8ECFFE274C}"/>
    <cellStyle name="Normal 2 4 2 3 7 3 3" xfId="32985" xr:uid="{5DE412EB-2F71-4ABD-A0CB-7501980D1D6E}"/>
    <cellStyle name="Normal 2 4 2 3 7 3 4" xfId="24537" xr:uid="{2C6292EA-6A5C-47C9-97D1-3E6498A6B2FB}"/>
    <cellStyle name="Normal 2 4 2 3 7 3 5" xfId="15240" xr:uid="{FF6D34E2-3CAE-47A2-BB36-0CF9BA583DF0}"/>
    <cellStyle name="Normal 2 4 2 3 7 4" xfId="37215" xr:uid="{7BF3AF61-CA56-4516-BBFD-2E901AD16227}"/>
    <cellStyle name="Normal 2 4 2 3 7 5" xfId="28767" xr:uid="{D0027EF5-4CE5-4A1E-91EC-0FB6A8E7E1EB}"/>
    <cellStyle name="Normal 2 4 2 3 7 6" xfId="20320" xr:uid="{C9E936D2-9CC1-4EB0-8789-FCDA4CAF7F0C}"/>
    <cellStyle name="Normal 2 4 2 3 7 7" xfId="11023" xr:uid="{4A6001A0-3981-4FA6-BC08-01A60D3D95F8}"/>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43990" xr:uid="{F7B5CFC7-630C-40C8-AAA9-42018ED04008}"/>
    <cellStyle name="Normal 2 4 2 3 8 2 2 3" xfId="35543" xr:uid="{7BB6728C-664C-4FF2-8C17-8DAD34C9349A}"/>
    <cellStyle name="Normal 2 4 2 3 8 2 2 4" xfId="27095" xr:uid="{88C05659-961D-41B2-896C-155F4D59D955}"/>
    <cellStyle name="Normal 2 4 2 3 8 2 2 5" xfId="17798" xr:uid="{5CAB2C56-D219-4E5B-81DE-D53246B2D1F9}"/>
    <cellStyle name="Normal 2 4 2 3 8 2 3" xfId="39773" xr:uid="{DB34B443-8120-4FC9-B7BF-031C8CBCC0B3}"/>
    <cellStyle name="Normal 2 4 2 3 8 2 4" xfId="31325" xr:uid="{157FD366-472C-4C91-AA1B-360CB67BFBF5}"/>
    <cellStyle name="Normal 2 4 2 3 8 2 5" xfId="22878" xr:uid="{47755B66-E49B-4DF4-AF58-15B4FB0FE8DC}"/>
    <cellStyle name="Normal 2 4 2 3 8 2 6" xfId="13581" xr:uid="{2F205A8A-773C-41C8-920F-1EB5C80E13C9}"/>
    <cellStyle name="Normal 2 4 2 3 8 3" xfId="6327" xr:uid="{00000000-0005-0000-0000-0000330F0000}"/>
    <cellStyle name="Normal 2 4 2 3 8 3 2" xfId="41845" xr:uid="{E7E2D75B-448B-4B8B-A43D-F0FBAD62F4EF}"/>
    <cellStyle name="Normal 2 4 2 3 8 3 3" xfId="33398" xr:uid="{6B05ACF2-2539-4C77-BC09-8DE2F3B81480}"/>
    <cellStyle name="Normal 2 4 2 3 8 3 4" xfId="24950" xr:uid="{6FF6FE78-2A66-423C-A584-263A68C70BE3}"/>
    <cellStyle name="Normal 2 4 2 3 8 3 5" xfId="15653" xr:uid="{9000A327-043C-4888-8EBF-B26CC9EC4421}"/>
    <cellStyle name="Normal 2 4 2 3 8 4" xfId="37628" xr:uid="{B8E959AC-89B3-4D5B-96AB-C38693249528}"/>
    <cellStyle name="Normal 2 4 2 3 8 5" xfId="29180" xr:uid="{D99B925D-8500-42D7-B107-CBFAE29FD00B}"/>
    <cellStyle name="Normal 2 4 2 3 8 6" xfId="20733" xr:uid="{AB46EFA8-90A7-44B8-BFB8-D1612E79B046}"/>
    <cellStyle name="Normal 2 4 2 3 8 7" xfId="11436" xr:uid="{6FA3C8B9-4400-4F7A-8B48-304DF1C51043}"/>
    <cellStyle name="Normal 2 4 2 3 9" xfId="2457" xr:uid="{00000000-0005-0000-0000-0000340F0000}"/>
    <cellStyle name="Normal 2 4 2 3 9 2" xfId="6740" xr:uid="{00000000-0005-0000-0000-0000350F0000}"/>
    <cellStyle name="Normal 2 4 2 3 9 2 2" xfId="42258" xr:uid="{B7247810-C9A0-4F6D-A740-6A3F53E2E916}"/>
    <cellStyle name="Normal 2 4 2 3 9 2 3" xfId="33811" xr:uid="{CB00E96A-4B19-4595-B6C4-F6BC07B79A38}"/>
    <cellStyle name="Normal 2 4 2 3 9 2 4" xfId="25363" xr:uid="{5DEBBC6D-A1B7-457D-98CC-5D4256557E93}"/>
    <cellStyle name="Normal 2 4 2 3 9 2 5" xfId="16066" xr:uid="{142DDA82-3046-401F-9C14-F05167811FA5}"/>
    <cellStyle name="Normal 2 4 2 3 9 3" xfId="38041" xr:uid="{C4328753-BF1D-402B-9EB0-30638130412F}"/>
    <cellStyle name="Normal 2 4 2 3 9 4" xfId="29593" xr:uid="{DF3271DD-50F2-478D-935C-4ECF420A100B}"/>
    <cellStyle name="Normal 2 4 2 3 9 5" xfId="21146" xr:uid="{B5B72E51-F120-46A6-BD4D-DEE3063E3B9F}"/>
    <cellStyle name="Normal 2 4 2 3 9 6" xfId="11849" xr:uid="{4D4167B4-F827-4E57-973D-C60040912D02}"/>
    <cellStyle name="Normal 2 4 2 4" xfId="289" xr:uid="{00000000-0005-0000-0000-0000360F0000}"/>
    <cellStyle name="Normal 2 4 2 4 10" xfId="8812" xr:uid="{C2E08BA7-2068-4F74-AFE2-E0AED0B82FE2}"/>
    <cellStyle name="Normal 2 4 2 4 10 2" xfId="35983" xr:uid="{7F732270-C0D0-42C6-85C1-1007EC6E40B9}"/>
    <cellStyle name="Normal 2 4 2 4 10 3" xfId="18135" xr:uid="{BB98C83C-84A9-45F8-AB7C-BF8E683EB6F3}"/>
    <cellStyle name="Normal 2 4 2 4 11" xfId="27535" xr:uid="{608801BC-4BF4-44DF-A0DE-ED15FD53A0E1}"/>
    <cellStyle name="Normal 2 4 2 4 12" xfId="19088" xr:uid="{D1CBDC77-3699-437D-8035-0B06419104D9}"/>
    <cellStyle name="Normal 2 4 2 4 13" xfId="9791" xr:uid="{1640D33F-E8D7-4306-86AA-37C95E87071F}"/>
    <cellStyle name="Normal 2 4 2 4 2" xfId="290" xr:uid="{00000000-0005-0000-0000-0000370F0000}"/>
    <cellStyle name="Normal 2 4 2 4 2 10" xfId="27536" xr:uid="{FC1B7CC0-3CE1-47EE-B342-BF4289FCC979}"/>
    <cellStyle name="Normal 2 4 2 4 2 11" xfId="19089" xr:uid="{E222A4E5-EDB4-4713-8A7F-C4EA6748E0B6}"/>
    <cellStyle name="Normal 2 4 2 4 2 12" xfId="9792" xr:uid="{118D3F5B-CF36-4606-AA00-948035BB880C}"/>
    <cellStyle name="Normal 2 4 2 4 2 2" xfId="291" xr:uid="{00000000-0005-0000-0000-0000380F0000}"/>
    <cellStyle name="Normal 2 4 2 4 2 2 10" xfId="19090" xr:uid="{A01FFDCF-4766-4A70-8B53-53A0695BC2C2}"/>
    <cellStyle name="Normal 2 4 2 4 2 2 11" xfId="9793" xr:uid="{61CCA5C2-9C4C-4E9F-AD59-68B80604F282}"/>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42761" xr:uid="{DAD2BD68-7E9E-4921-8BF5-99C9188036AC}"/>
    <cellStyle name="Normal 2 4 2 4 2 2 2 2 2 3" xfId="34314" xr:uid="{4F6387A4-321D-4524-81C4-93F06B69CBC2}"/>
    <cellStyle name="Normal 2 4 2 4 2 2 2 2 2 4" xfId="25866" xr:uid="{01E178C9-6B90-48D9-9E50-C48672D834F3}"/>
    <cellStyle name="Normal 2 4 2 4 2 2 2 2 2 5" xfId="16569" xr:uid="{6FCA0164-D452-40B9-AAC9-254C2A760CAC}"/>
    <cellStyle name="Normal 2 4 2 4 2 2 2 2 3" xfId="38544" xr:uid="{66C8A3F9-ADBE-4A22-A5B1-40AE6569B3CE}"/>
    <cellStyle name="Normal 2 4 2 4 2 2 2 2 4" xfId="30096" xr:uid="{DAC818EF-9621-4198-86C8-92247C959668}"/>
    <cellStyle name="Normal 2 4 2 4 2 2 2 2 5" xfId="21649" xr:uid="{C1BAED15-C310-4FE2-8F51-52DFA460571D}"/>
    <cellStyle name="Normal 2 4 2 4 2 2 2 2 6" xfId="12352" xr:uid="{E7E1DB1B-0000-468D-AE79-8DFC39FC86E7}"/>
    <cellStyle name="Normal 2 4 2 4 2 2 2 3" xfId="5098" xr:uid="{00000000-0005-0000-0000-00003C0F0000}"/>
    <cellStyle name="Normal 2 4 2 4 2 2 2 3 2" xfId="40616" xr:uid="{8AEA8AC1-3450-48D2-8DDA-21540176DDB2}"/>
    <cellStyle name="Normal 2 4 2 4 2 2 2 3 3" xfId="32169" xr:uid="{3315B513-2F05-43A2-AFE2-4083D693BA93}"/>
    <cellStyle name="Normal 2 4 2 4 2 2 2 3 4" xfId="23721" xr:uid="{B8616A03-0F69-41D1-9756-EE2734B240FF}"/>
    <cellStyle name="Normal 2 4 2 4 2 2 2 3 5" xfId="14424" xr:uid="{6665D656-85AB-48D9-AAD3-16D688A155E9}"/>
    <cellStyle name="Normal 2 4 2 4 2 2 2 4" xfId="9547" xr:uid="{F8909421-8B16-4168-8B85-A5523C430C3C}"/>
    <cellStyle name="Normal 2 4 2 4 2 2 2 4 2" xfId="36399" xr:uid="{F4B382BA-FCF1-4CD5-AEEE-3B34FA55C200}"/>
    <cellStyle name="Normal 2 4 2 4 2 2 2 4 3" xfId="18860" xr:uid="{971542D4-476A-46FA-BF26-51CB986F4D78}"/>
    <cellStyle name="Normal 2 4 2 4 2 2 2 5" xfId="27951" xr:uid="{77E6017E-752E-44F9-B065-DE53C9883266}"/>
    <cellStyle name="Normal 2 4 2 4 2 2 2 6" xfId="19504" xr:uid="{7CB407E6-6E68-41E4-B42E-4F5D0EDA4ED9}"/>
    <cellStyle name="Normal 2 4 2 4 2 2 2 7" xfId="10207" xr:uid="{7F944380-072D-4F5E-B54F-C2463B7B68B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43174" xr:uid="{11F874CC-142C-4F3F-99C0-BB67BBF0EBE1}"/>
    <cellStyle name="Normal 2 4 2 4 2 2 3 2 2 3" xfId="34727" xr:uid="{7622FF6C-030E-4964-9F59-69BE7C7EB1AB}"/>
    <cellStyle name="Normal 2 4 2 4 2 2 3 2 2 4" xfId="26279" xr:uid="{10E4EBFF-24C8-4A12-B88C-2A5324B250AB}"/>
    <cellStyle name="Normal 2 4 2 4 2 2 3 2 2 5" xfId="16982" xr:uid="{CBFEA1FA-3DF2-4711-88FF-9EB2CF9A2DF3}"/>
    <cellStyle name="Normal 2 4 2 4 2 2 3 2 3" xfId="38957" xr:uid="{0B7919FC-376B-4C54-A3F9-5F1FF269EFF1}"/>
    <cellStyle name="Normal 2 4 2 4 2 2 3 2 4" xfId="30509" xr:uid="{E1C42688-8D80-4409-9DE2-B3949FDCC9DB}"/>
    <cellStyle name="Normal 2 4 2 4 2 2 3 2 5" xfId="22062" xr:uid="{BE6D9A78-9BF1-475B-AF1E-30239E23FCFE}"/>
    <cellStyle name="Normal 2 4 2 4 2 2 3 2 6" xfId="12765" xr:uid="{BCCC6A9A-AF66-420D-8F52-7DB51FD2BFF2}"/>
    <cellStyle name="Normal 2 4 2 4 2 2 3 3" xfId="5511" xr:uid="{00000000-0005-0000-0000-0000400F0000}"/>
    <cellStyle name="Normal 2 4 2 4 2 2 3 3 2" xfId="41029" xr:uid="{DFFB104E-93F1-40D5-BAF8-9EE75D0CD342}"/>
    <cellStyle name="Normal 2 4 2 4 2 2 3 3 3" xfId="32582" xr:uid="{85A6FC32-A56B-4ECE-A512-40ACE6F97F33}"/>
    <cellStyle name="Normal 2 4 2 4 2 2 3 3 4" xfId="24134" xr:uid="{824A8B6A-9FB4-4113-BC84-F7BCADCB3657}"/>
    <cellStyle name="Normal 2 4 2 4 2 2 3 3 5" xfId="14837" xr:uid="{F8B58D7B-B21E-4342-9D3E-912CC7D58FA8}"/>
    <cellStyle name="Normal 2 4 2 4 2 2 3 4" xfId="36812" xr:uid="{93628B36-C24B-452D-8091-1938C963B129}"/>
    <cellStyle name="Normal 2 4 2 4 2 2 3 5" xfId="28364" xr:uid="{5653F1B6-8D06-48DD-8020-CDD7F793F467}"/>
    <cellStyle name="Normal 2 4 2 4 2 2 3 6" xfId="19917" xr:uid="{64A0F6F6-9535-4543-8EAB-2340C148BD0B}"/>
    <cellStyle name="Normal 2 4 2 4 2 2 3 7" xfId="10620" xr:uid="{52B3F642-4AD1-4779-8269-0DCABE7FA451}"/>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43587" xr:uid="{C8B38B1B-83BD-4283-AF14-DF6675A71734}"/>
    <cellStyle name="Normal 2 4 2 4 2 2 4 2 2 3" xfId="35140" xr:uid="{66B8D643-5027-4A8B-8318-1AFB8C0724A3}"/>
    <cellStyle name="Normal 2 4 2 4 2 2 4 2 2 4" xfId="26692" xr:uid="{DDE44AFF-3B38-4AC8-BC14-FDA5A7A59F9A}"/>
    <cellStyle name="Normal 2 4 2 4 2 2 4 2 2 5" xfId="17395" xr:uid="{AF032E3D-3648-4C02-8E26-65F25DDC6C02}"/>
    <cellStyle name="Normal 2 4 2 4 2 2 4 2 3" xfId="39370" xr:uid="{88211420-D512-45B0-ACA2-537B8E97A607}"/>
    <cellStyle name="Normal 2 4 2 4 2 2 4 2 4" xfId="30922" xr:uid="{FE7B2069-001E-4B0C-94A6-0D6711A23ACB}"/>
    <cellStyle name="Normal 2 4 2 4 2 2 4 2 5" xfId="22475" xr:uid="{6FEE6651-8CC5-46B5-BD9B-8B807CB50CD5}"/>
    <cellStyle name="Normal 2 4 2 4 2 2 4 2 6" xfId="13178" xr:uid="{B9CF1B6B-BEBC-4D05-83D3-4A1C13630C34}"/>
    <cellStyle name="Normal 2 4 2 4 2 2 4 3" xfId="5924" xr:uid="{00000000-0005-0000-0000-0000440F0000}"/>
    <cellStyle name="Normal 2 4 2 4 2 2 4 3 2" xfId="41442" xr:uid="{348590B4-078B-46E8-8718-EF86B605309F}"/>
    <cellStyle name="Normal 2 4 2 4 2 2 4 3 3" xfId="32995" xr:uid="{5CDF63BC-CC22-4BD0-B91D-291E46C5F078}"/>
    <cellStyle name="Normal 2 4 2 4 2 2 4 3 4" xfId="24547" xr:uid="{857F94D3-8124-4CC1-BAD3-11820CD6B979}"/>
    <cellStyle name="Normal 2 4 2 4 2 2 4 3 5" xfId="15250" xr:uid="{2649193C-5787-4CE3-8783-4992E46174AB}"/>
    <cellStyle name="Normal 2 4 2 4 2 2 4 4" xfId="37225" xr:uid="{FDCAFE4D-4C51-419F-8BE0-26ED2358FC9C}"/>
    <cellStyle name="Normal 2 4 2 4 2 2 4 5" xfId="28777" xr:uid="{2429F4F4-2B1C-4A67-9816-7F00F4F35A18}"/>
    <cellStyle name="Normal 2 4 2 4 2 2 4 6" xfId="20330" xr:uid="{4766E366-5285-45F3-9A83-79FFDEC80FA3}"/>
    <cellStyle name="Normal 2 4 2 4 2 2 4 7" xfId="11033" xr:uid="{F0A07CE4-3F48-4FAC-BA7C-B84C289D554C}"/>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44000" xr:uid="{458C1FBD-C99D-4F53-B352-FF593560CD55}"/>
    <cellStyle name="Normal 2 4 2 4 2 2 5 2 2 3" xfId="35553" xr:uid="{493C4CAE-DCC6-4179-B193-A19A33304CAC}"/>
    <cellStyle name="Normal 2 4 2 4 2 2 5 2 2 4" xfId="27105" xr:uid="{524F6527-31F4-454D-BAA8-DFE464E6875E}"/>
    <cellStyle name="Normal 2 4 2 4 2 2 5 2 2 5" xfId="17808" xr:uid="{561FA080-9523-497F-8226-972EAF6746F6}"/>
    <cellStyle name="Normal 2 4 2 4 2 2 5 2 3" xfId="39783" xr:uid="{3B05A0F0-3B6E-46E7-AAC4-12EEF0B8909C}"/>
    <cellStyle name="Normal 2 4 2 4 2 2 5 2 4" xfId="31335" xr:uid="{17404CD8-E70B-4795-80E0-64A7BEDC3193}"/>
    <cellStyle name="Normal 2 4 2 4 2 2 5 2 5" xfId="22888" xr:uid="{27917A38-437F-4E59-BEE4-80565463B43F}"/>
    <cellStyle name="Normal 2 4 2 4 2 2 5 2 6" xfId="13591" xr:uid="{7B9BFABB-5F64-43F8-B340-7E73E2CCFC56}"/>
    <cellStyle name="Normal 2 4 2 4 2 2 5 3" xfId="6337" xr:uid="{00000000-0005-0000-0000-0000480F0000}"/>
    <cellStyle name="Normal 2 4 2 4 2 2 5 3 2" xfId="41855" xr:uid="{1D74F452-CEB8-4381-8DD2-FABCB562D89D}"/>
    <cellStyle name="Normal 2 4 2 4 2 2 5 3 3" xfId="33408" xr:uid="{2737D282-74F7-44BC-BAC0-BA3961D5088C}"/>
    <cellStyle name="Normal 2 4 2 4 2 2 5 3 4" xfId="24960" xr:uid="{5BB6E3B8-6FE1-4EE9-9F9A-9349A0456659}"/>
    <cellStyle name="Normal 2 4 2 4 2 2 5 3 5" xfId="15663" xr:uid="{4A764B31-3A6F-4237-93A5-236E3FA93A17}"/>
    <cellStyle name="Normal 2 4 2 4 2 2 5 4" xfId="37638" xr:uid="{266E5FF6-2BB0-4D8B-B7AB-CE217B87ACCE}"/>
    <cellStyle name="Normal 2 4 2 4 2 2 5 5" xfId="29190" xr:uid="{1EBBFAB7-C3E3-4725-8A4A-4E6B46F15E0D}"/>
    <cellStyle name="Normal 2 4 2 4 2 2 5 6" xfId="20743" xr:uid="{635D9C22-DCFE-4285-917A-DAFEAB000FF5}"/>
    <cellStyle name="Normal 2 4 2 4 2 2 5 7" xfId="11446" xr:uid="{D882BE31-0D72-42DB-A504-C9B9CCC48D53}"/>
    <cellStyle name="Normal 2 4 2 4 2 2 6" xfId="2467" xr:uid="{00000000-0005-0000-0000-0000490F0000}"/>
    <cellStyle name="Normal 2 4 2 4 2 2 6 2" xfId="6750" xr:uid="{00000000-0005-0000-0000-00004A0F0000}"/>
    <cellStyle name="Normal 2 4 2 4 2 2 6 2 2" xfId="42268" xr:uid="{E64EB55E-0B8D-4C22-B2EC-02923EB7414B}"/>
    <cellStyle name="Normal 2 4 2 4 2 2 6 2 3" xfId="33821" xr:uid="{0FAF8043-D626-49F2-84A1-81B3B3C35BD5}"/>
    <cellStyle name="Normal 2 4 2 4 2 2 6 2 4" xfId="25373" xr:uid="{A0B8BE77-B1B6-42AB-A862-E8735C85BB37}"/>
    <cellStyle name="Normal 2 4 2 4 2 2 6 2 5" xfId="16076" xr:uid="{2F6904BE-17F8-42E1-9AE9-B29136A45C0C}"/>
    <cellStyle name="Normal 2 4 2 4 2 2 6 3" xfId="38051" xr:uid="{24E674CA-8947-4D37-9E83-7451FB09BC3E}"/>
    <cellStyle name="Normal 2 4 2 4 2 2 6 4" xfId="29603" xr:uid="{AF88F3BB-B0D8-4C1B-B672-701FC944DB0B}"/>
    <cellStyle name="Normal 2 4 2 4 2 2 6 5" xfId="21156" xr:uid="{6E06D27E-1E3E-46D1-9C4D-A4C561A98B59}"/>
    <cellStyle name="Normal 2 4 2 4 2 2 6 6" xfId="11859" xr:uid="{80394C3D-53DE-450A-BFA4-B8D6E4F4B8FE}"/>
    <cellStyle name="Normal 2 4 2 4 2 2 7" xfId="4684" xr:uid="{00000000-0005-0000-0000-00004B0F0000}"/>
    <cellStyle name="Normal 2 4 2 4 2 2 7 2" xfId="40202" xr:uid="{0DA5BF5B-99E2-4BB9-816F-A20107919F7F}"/>
    <cellStyle name="Normal 2 4 2 4 2 2 7 3" xfId="31755" xr:uid="{4362FD51-5FD0-4122-B725-44672BADA9AB}"/>
    <cellStyle name="Normal 2 4 2 4 2 2 7 4" xfId="23307" xr:uid="{77502B37-92DF-4D4A-80EC-D9E4CE3C490B}"/>
    <cellStyle name="Normal 2 4 2 4 2 2 7 5" xfId="14010" xr:uid="{C0C04C3B-1D84-492D-8535-601E9DCB7A92}"/>
    <cellStyle name="Normal 2 4 2 4 2 2 8" xfId="9122" xr:uid="{861CB008-611F-4F3F-9D09-5BCA5A4CB255}"/>
    <cellStyle name="Normal 2 4 2 4 2 2 8 2" xfId="35985" xr:uid="{787D7CCB-B9E2-4F18-85A2-F402BF341D23}"/>
    <cellStyle name="Normal 2 4 2 4 2 2 8 3" xfId="18445" xr:uid="{575CD932-026F-4565-93B5-E135B474C81A}"/>
    <cellStyle name="Normal 2 4 2 4 2 2 9" xfId="27537" xr:uid="{BA5090E5-5CC9-4A62-861E-33A8BDD26BE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42760" xr:uid="{D31978D4-E905-4BE9-9E9D-E158D441C6BB}"/>
    <cellStyle name="Normal 2 4 2 4 2 3 2 2 3" xfId="34313" xr:uid="{B0858A9B-ABC2-45A7-B600-762527F5E31E}"/>
    <cellStyle name="Normal 2 4 2 4 2 3 2 2 4" xfId="25865" xr:uid="{2135124B-D327-4275-853D-0DD4F661DDC9}"/>
    <cellStyle name="Normal 2 4 2 4 2 3 2 2 5" xfId="16568" xr:uid="{FA4751E8-4004-4998-A176-CA8A68FDC4A6}"/>
    <cellStyle name="Normal 2 4 2 4 2 3 2 3" xfId="38543" xr:uid="{46B8BD48-87AF-4C28-8FAA-944191AFD86F}"/>
    <cellStyle name="Normal 2 4 2 4 2 3 2 4" xfId="30095" xr:uid="{64B4ADCB-C67E-46AA-A5E1-480EA91DA9B4}"/>
    <cellStyle name="Normal 2 4 2 4 2 3 2 5" xfId="21648" xr:uid="{BE647FD8-A702-4878-BE4C-9FB4AC09D67A}"/>
    <cellStyle name="Normal 2 4 2 4 2 3 2 6" xfId="12351" xr:uid="{9C8C4AB2-7556-4472-B0E7-96F58843650B}"/>
    <cellStyle name="Normal 2 4 2 4 2 3 3" xfId="5097" xr:uid="{00000000-0005-0000-0000-00004F0F0000}"/>
    <cellStyle name="Normal 2 4 2 4 2 3 3 2" xfId="40615" xr:uid="{5C47D3AD-321E-49BC-8F8A-B4C7627B9EC1}"/>
    <cellStyle name="Normal 2 4 2 4 2 3 3 3" xfId="32168" xr:uid="{BACE713D-4F47-4FB0-84B1-079E330904FF}"/>
    <cellStyle name="Normal 2 4 2 4 2 3 3 4" xfId="23720" xr:uid="{FB8CEA9C-6A5F-481F-88AC-070B7CC4A9DC}"/>
    <cellStyle name="Normal 2 4 2 4 2 3 3 5" xfId="14423" xr:uid="{67DBD221-E4CE-45E8-847E-C432054E8CAF}"/>
    <cellStyle name="Normal 2 4 2 4 2 3 4" xfId="9340" xr:uid="{2D1F2F91-F6E8-42AC-98D0-B8667E0ECE37}"/>
    <cellStyle name="Normal 2 4 2 4 2 3 4 2" xfId="36398" xr:uid="{FCEEF91D-94CA-44AE-9B3D-28C298BFF7B2}"/>
    <cellStyle name="Normal 2 4 2 4 2 3 4 3" xfId="18653" xr:uid="{2154DAF1-DB99-48C9-9C34-26981BF2717B}"/>
    <cellStyle name="Normal 2 4 2 4 2 3 5" xfId="27950" xr:uid="{52173897-8A74-4DE7-8A3E-6A0438D142DD}"/>
    <cellStyle name="Normal 2 4 2 4 2 3 6" xfId="19503" xr:uid="{4350285E-220D-4272-85D5-97990FE790D2}"/>
    <cellStyle name="Normal 2 4 2 4 2 3 7" xfId="10206" xr:uid="{936E6385-C3F5-4FBC-A0C0-351CA17FD6BB}"/>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43173" xr:uid="{8DDE8502-DA85-4412-AAE1-3A11066A7E2C}"/>
    <cellStyle name="Normal 2 4 2 4 2 4 2 2 3" xfId="34726" xr:uid="{46AAF5B7-B69A-4021-B271-001B7DBBC1AB}"/>
    <cellStyle name="Normal 2 4 2 4 2 4 2 2 4" xfId="26278" xr:uid="{786C5427-A12C-4E81-B8DD-5AB8650DA29F}"/>
    <cellStyle name="Normal 2 4 2 4 2 4 2 2 5" xfId="16981" xr:uid="{D2B8B7B8-1F76-4C1C-A4F8-A170382C7D70}"/>
    <cellStyle name="Normal 2 4 2 4 2 4 2 3" xfId="38956" xr:uid="{A4DBDEA1-F057-4F30-B7A8-73DC14D5AC82}"/>
    <cellStyle name="Normal 2 4 2 4 2 4 2 4" xfId="30508" xr:uid="{B33EB1F1-93AE-4D69-A9D4-D735D66B134C}"/>
    <cellStyle name="Normal 2 4 2 4 2 4 2 5" xfId="22061" xr:uid="{FA508856-0EFF-4842-A994-79A58AE130EF}"/>
    <cellStyle name="Normal 2 4 2 4 2 4 2 6" xfId="12764" xr:uid="{F98AAED6-12C8-4760-A718-14BCD7454BB6}"/>
    <cellStyle name="Normal 2 4 2 4 2 4 3" xfId="5510" xr:uid="{00000000-0005-0000-0000-0000530F0000}"/>
    <cellStyle name="Normal 2 4 2 4 2 4 3 2" xfId="41028" xr:uid="{4BF5D8DD-18F1-415D-BFC2-3F1B79B57882}"/>
    <cellStyle name="Normal 2 4 2 4 2 4 3 3" xfId="32581" xr:uid="{9B4574AC-01B5-4355-B838-EB62664FA7F3}"/>
    <cellStyle name="Normal 2 4 2 4 2 4 3 4" xfId="24133" xr:uid="{5F87E3FF-86E4-4930-AF45-DAACBBA24D52}"/>
    <cellStyle name="Normal 2 4 2 4 2 4 3 5" xfId="14836" xr:uid="{F51378A3-4D77-4D57-A6ED-8A87A3304E7D}"/>
    <cellStyle name="Normal 2 4 2 4 2 4 4" xfId="36811" xr:uid="{881A0761-D102-4D22-8399-9ECDCFB1012F}"/>
    <cellStyle name="Normal 2 4 2 4 2 4 5" xfId="28363" xr:uid="{CD1125BC-64A9-4529-A737-5E5200C48C31}"/>
    <cellStyle name="Normal 2 4 2 4 2 4 6" xfId="19916" xr:uid="{F1621B23-58AA-4D80-8241-043EE499FD13}"/>
    <cellStyle name="Normal 2 4 2 4 2 4 7" xfId="10619" xr:uid="{02B97D49-0FE1-41B1-98B5-9D09FB06C453}"/>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43586" xr:uid="{05B55436-DC20-4BFD-8900-D9D828C1AAB5}"/>
    <cellStyle name="Normal 2 4 2 4 2 5 2 2 3" xfId="35139" xr:uid="{53ECD255-B710-4576-B4A9-ECAA3FC21840}"/>
    <cellStyle name="Normal 2 4 2 4 2 5 2 2 4" xfId="26691" xr:uid="{E95A27DA-AFFE-4884-B25F-1C274E57E2CF}"/>
    <cellStyle name="Normal 2 4 2 4 2 5 2 2 5" xfId="17394" xr:uid="{C92EB01A-69DE-47D5-9021-A309A35001AE}"/>
    <cellStyle name="Normal 2 4 2 4 2 5 2 3" xfId="39369" xr:uid="{62B96D57-9A09-4AE6-93A0-74C04DB701C7}"/>
    <cellStyle name="Normal 2 4 2 4 2 5 2 4" xfId="30921" xr:uid="{0E425B8C-406A-47A4-95D8-D04495E87B40}"/>
    <cellStyle name="Normal 2 4 2 4 2 5 2 5" xfId="22474" xr:uid="{D8EDEEE5-ACD2-4867-A7B4-4CCD87A7386F}"/>
    <cellStyle name="Normal 2 4 2 4 2 5 2 6" xfId="13177" xr:uid="{30F5FEBE-519E-493F-AEED-A7158E3CDCC3}"/>
    <cellStyle name="Normal 2 4 2 4 2 5 3" xfId="5923" xr:uid="{00000000-0005-0000-0000-0000570F0000}"/>
    <cellStyle name="Normal 2 4 2 4 2 5 3 2" xfId="41441" xr:uid="{96FF80E7-FE49-4D54-9DD9-FF75AF435F4E}"/>
    <cellStyle name="Normal 2 4 2 4 2 5 3 3" xfId="32994" xr:uid="{E060D701-886A-4128-930E-8E174C6C82B4}"/>
    <cellStyle name="Normal 2 4 2 4 2 5 3 4" xfId="24546" xr:uid="{8BE00524-5D1D-4FA0-97FA-5628AE04B5FB}"/>
    <cellStyle name="Normal 2 4 2 4 2 5 3 5" xfId="15249" xr:uid="{F617D63C-ECD5-4A3B-829F-6DD34345DE65}"/>
    <cellStyle name="Normal 2 4 2 4 2 5 4" xfId="37224" xr:uid="{F938E190-4F4D-4B08-ACF8-FEF79390F71E}"/>
    <cellStyle name="Normal 2 4 2 4 2 5 5" xfId="28776" xr:uid="{61E5F334-9EDD-4F71-9043-A2C6F7AD6FFC}"/>
    <cellStyle name="Normal 2 4 2 4 2 5 6" xfId="20329" xr:uid="{4BD30151-CA9A-490B-B789-97FC5891E405}"/>
    <cellStyle name="Normal 2 4 2 4 2 5 7" xfId="11032" xr:uid="{B76C0263-20E1-444A-81BE-E83778A4F4C8}"/>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43999" xr:uid="{ECFB3F91-02BA-4314-B192-27FDC1C4014D}"/>
    <cellStyle name="Normal 2 4 2 4 2 6 2 2 3" xfId="35552" xr:uid="{8EBCAEE5-4550-4B6E-915D-083BED5529C3}"/>
    <cellStyle name="Normal 2 4 2 4 2 6 2 2 4" xfId="27104" xr:uid="{B53385FA-A553-458B-827A-D907E314351C}"/>
    <cellStyle name="Normal 2 4 2 4 2 6 2 2 5" xfId="17807" xr:uid="{08CE094D-75ED-4585-A32D-A2020FF5BA70}"/>
    <cellStyle name="Normal 2 4 2 4 2 6 2 3" xfId="39782" xr:uid="{FE56F2EC-DC7B-4C53-9D31-3FACC5716EB8}"/>
    <cellStyle name="Normal 2 4 2 4 2 6 2 4" xfId="31334" xr:uid="{EC174847-F0ED-4CB5-AE88-E68C60543EFF}"/>
    <cellStyle name="Normal 2 4 2 4 2 6 2 5" xfId="22887" xr:uid="{010D6899-1BFD-4779-AE4B-43573B7B92DC}"/>
    <cellStyle name="Normal 2 4 2 4 2 6 2 6" xfId="13590" xr:uid="{3AFEA50B-6B66-46C1-A7DD-AAE75EC8DC38}"/>
    <cellStyle name="Normal 2 4 2 4 2 6 3" xfId="6336" xr:uid="{00000000-0005-0000-0000-00005B0F0000}"/>
    <cellStyle name="Normal 2 4 2 4 2 6 3 2" xfId="41854" xr:uid="{28E05690-E19A-4110-AA91-BF5D6105987C}"/>
    <cellStyle name="Normal 2 4 2 4 2 6 3 3" xfId="33407" xr:uid="{0C2D2BF8-3656-4106-A2B4-B7075C891EA2}"/>
    <cellStyle name="Normal 2 4 2 4 2 6 3 4" xfId="24959" xr:uid="{9F0AC37A-2896-44C6-B6E2-EB4F07222550}"/>
    <cellStyle name="Normal 2 4 2 4 2 6 3 5" xfId="15662" xr:uid="{5361D4FB-249D-4396-8EC2-9AED0E049DCD}"/>
    <cellStyle name="Normal 2 4 2 4 2 6 4" xfId="37637" xr:uid="{28E5EFC4-5453-4D3B-82B6-E5F953BF2B86}"/>
    <cellStyle name="Normal 2 4 2 4 2 6 5" xfId="29189" xr:uid="{927E7B9F-3E20-4BF9-99F1-8963FE30AC19}"/>
    <cellStyle name="Normal 2 4 2 4 2 6 6" xfId="20742" xr:uid="{5A0907BE-0497-40E2-A5A8-26363FF91486}"/>
    <cellStyle name="Normal 2 4 2 4 2 6 7" xfId="11445" xr:uid="{55954A2C-EAE7-4DF9-AD5F-A0824999D9F1}"/>
    <cellStyle name="Normal 2 4 2 4 2 7" xfId="2466" xr:uid="{00000000-0005-0000-0000-00005C0F0000}"/>
    <cellStyle name="Normal 2 4 2 4 2 7 2" xfId="6749" xr:uid="{00000000-0005-0000-0000-00005D0F0000}"/>
    <cellStyle name="Normal 2 4 2 4 2 7 2 2" xfId="42267" xr:uid="{3EEF13D4-EB0C-496F-AE74-BD3A7CDDF099}"/>
    <cellStyle name="Normal 2 4 2 4 2 7 2 3" xfId="33820" xr:uid="{0628C0E3-3E9B-449E-BDDF-71C97197F72F}"/>
    <cellStyle name="Normal 2 4 2 4 2 7 2 4" xfId="25372" xr:uid="{3B073C11-A9F3-4A6C-BC39-3E25FBBAA0AD}"/>
    <cellStyle name="Normal 2 4 2 4 2 7 2 5" xfId="16075" xr:uid="{8226AD29-58A3-4565-95FE-D7F410E033BE}"/>
    <cellStyle name="Normal 2 4 2 4 2 7 3" xfId="38050" xr:uid="{E45D40FD-BCFF-4758-9850-8F31CAEC2376}"/>
    <cellStyle name="Normal 2 4 2 4 2 7 4" xfId="29602" xr:uid="{2A2521C1-96F8-474C-94CA-87EBF08698E7}"/>
    <cellStyle name="Normal 2 4 2 4 2 7 5" xfId="21155" xr:uid="{295DA852-A6CD-446C-9316-77802E315D47}"/>
    <cellStyle name="Normal 2 4 2 4 2 7 6" xfId="11858" xr:uid="{AAB4970C-FB32-4339-9EB0-A68F5FE2C277}"/>
    <cellStyle name="Normal 2 4 2 4 2 8" xfId="4683" xr:uid="{00000000-0005-0000-0000-00005E0F0000}"/>
    <cellStyle name="Normal 2 4 2 4 2 8 2" xfId="40201" xr:uid="{9193A207-B8ED-49DC-96C0-41AB498CEFE1}"/>
    <cellStyle name="Normal 2 4 2 4 2 8 3" xfId="31754" xr:uid="{3979B947-C6B9-4378-8FC3-21FD4CAC2E9D}"/>
    <cellStyle name="Normal 2 4 2 4 2 8 4" xfId="23306" xr:uid="{4AFCF2AA-60A8-4E66-B29A-89F9E2E1198F}"/>
    <cellStyle name="Normal 2 4 2 4 2 8 5" xfId="14009" xr:uid="{0BBCD925-92BC-4236-8532-172698D44F39}"/>
    <cellStyle name="Normal 2 4 2 4 2 9" xfId="8915" xr:uid="{2BEB15AA-2AFA-47D4-AC0E-63DAF2CFE119}"/>
    <cellStyle name="Normal 2 4 2 4 2 9 2" xfId="35984" xr:uid="{C8914BF2-DAC1-413E-9E30-AE25DD0E8E9D}"/>
    <cellStyle name="Normal 2 4 2 4 2 9 3" xfId="18238" xr:uid="{243CBCC7-2CBB-4924-8C2A-C066666CEE95}"/>
    <cellStyle name="Normal 2 4 2 4 3" xfId="292" xr:uid="{00000000-0005-0000-0000-00005F0F0000}"/>
    <cellStyle name="Normal 2 4 2 4 3 10" xfId="19091" xr:uid="{407506F6-FBD8-4E08-ABE2-B3745F43FB08}"/>
    <cellStyle name="Normal 2 4 2 4 3 11" xfId="9794" xr:uid="{22745259-EDE0-4FF9-B4B5-654913B39719}"/>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42762" xr:uid="{FE878003-F1DD-40C0-A7B9-36CDE8B13912}"/>
    <cellStyle name="Normal 2 4 2 4 3 2 2 2 3" xfId="34315" xr:uid="{E588FD90-CEAD-460D-B645-59C983F19F7F}"/>
    <cellStyle name="Normal 2 4 2 4 3 2 2 2 4" xfId="25867" xr:uid="{E07D5D2F-E365-4179-9407-7CC09464DC87}"/>
    <cellStyle name="Normal 2 4 2 4 3 2 2 2 5" xfId="16570" xr:uid="{2AEE0DF2-3870-4E68-B2A0-47F9455379A9}"/>
    <cellStyle name="Normal 2 4 2 4 3 2 2 3" xfId="38545" xr:uid="{54E3D83F-C32B-431F-939E-D2C92CB06C3F}"/>
    <cellStyle name="Normal 2 4 2 4 3 2 2 4" xfId="30097" xr:uid="{7B5DC14D-3565-43CD-8E34-8010E860DAA1}"/>
    <cellStyle name="Normal 2 4 2 4 3 2 2 5" xfId="21650" xr:uid="{D82908A3-5EAC-4D3D-8318-BD8A3EAE3DFC}"/>
    <cellStyle name="Normal 2 4 2 4 3 2 2 6" xfId="12353" xr:uid="{148452BC-AE70-4286-AED5-029FCB253FCC}"/>
    <cellStyle name="Normal 2 4 2 4 3 2 3" xfId="5099" xr:uid="{00000000-0005-0000-0000-0000630F0000}"/>
    <cellStyle name="Normal 2 4 2 4 3 2 3 2" xfId="40617" xr:uid="{7199D0AE-B32C-4471-8114-DCE4391F6289}"/>
    <cellStyle name="Normal 2 4 2 4 3 2 3 3" xfId="32170" xr:uid="{9116BDD7-A57C-4DD3-8A3E-C33C49C49158}"/>
    <cellStyle name="Normal 2 4 2 4 3 2 3 4" xfId="23722" xr:uid="{8D074F0C-DE07-4844-A64A-03896F93C7DE}"/>
    <cellStyle name="Normal 2 4 2 4 3 2 3 5" xfId="14425" xr:uid="{71C4A3D5-EF72-489B-AA25-47BACFED89BE}"/>
    <cellStyle name="Normal 2 4 2 4 3 2 4" xfId="9444" xr:uid="{807939DF-E7C0-4015-A3D8-AE9E56020172}"/>
    <cellStyle name="Normal 2 4 2 4 3 2 4 2" xfId="36400" xr:uid="{74A9451C-1A7C-4533-ACD4-CD1BE20B6127}"/>
    <cellStyle name="Normal 2 4 2 4 3 2 4 3" xfId="18757" xr:uid="{7422286D-E27B-4505-8F55-5F53B0AF90E4}"/>
    <cellStyle name="Normal 2 4 2 4 3 2 5" xfId="27952" xr:uid="{ED599044-F7EF-40F6-A4F6-7435BBAF84FD}"/>
    <cellStyle name="Normal 2 4 2 4 3 2 6" xfId="19505" xr:uid="{C5800707-9F18-4931-BCE1-7FAA2695AC12}"/>
    <cellStyle name="Normal 2 4 2 4 3 2 7" xfId="10208" xr:uid="{84656F33-12B6-4928-8F03-40572ACC1EE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43175" xr:uid="{DCD7CA0F-A3E1-476D-A34D-19E0F638BB63}"/>
    <cellStyle name="Normal 2 4 2 4 3 3 2 2 3" xfId="34728" xr:uid="{3F6E68AB-C316-4A99-89D4-49896E70C965}"/>
    <cellStyle name="Normal 2 4 2 4 3 3 2 2 4" xfId="26280" xr:uid="{C0C8F8DB-E4ED-487B-849A-7C67AFDFC885}"/>
    <cellStyle name="Normal 2 4 2 4 3 3 2 2 5" xfId="16983" xr:uid="{DCA0FDFB-7DE5-42E1-9715-BDA2B674A78B}"/>
    <cellStyle name="Normal 2 4 2 4 3 3 2 3" xfId="38958" xr:uid="{C4F0DDE8-395E-4F8A-AA44-761DF9E52C36}"/>
    <cellStyle name="Normal 2 4 2 4 3 3 2 4" xfId="30510" xr:uid="{A8C7DB72-DCE2-4EF6-82C7-0FF0133FC99B}"/>
    <cellStyle name="Normal 2 4 2 4 3 3 2 5" xfId="22063" xr:uid="{52FC4D2A-142C-47A7-9294-CAE7B86E8C74}"/>
    <cellStyle name="Normal 2 4 2 4 3 3 2 6" xfId="12766" xr:uid="{8369B438-FB3D-4AFA-AD03-1702BF01AA4E}"/>
    <cellStyle name="Normal 2 4 2 4 3 3 3" xfId="5512" xr:uid="{00000000-0005-0000-0000-0000670F0000}"/>
    <cellStyle name="Normal 2 4 2 4 3 3 3 2" xfId="41030" xr:uid="{FBF4CE4B-9FE7-4EDA-85B9-499F1053C7D6}"/>
    <cellStyle name="Normal 2 4 2 4 3 3 3 3" xfId="32583" xr:uid="{EDEE69F1-B1F4-4691-B257-FEF4B414B3B0}"/>
    <cellStyle name="Normal 2 4 2 4 3 3 3 4" xfId="24135" xr:uid="{F8E32D26-4AE0-4B50-85AD-6860DC115EF2}"/>
    <cellStyle name="Normal 2 4 2 4 3 3 3 5" xfId="14838" xr:uid="{194B34F3-37A3-48A7-9A34-DE2C1C32F2B9}"/>
    <cellStyle name="Normal 2 4 2 4 3 3 4" xfId="36813" xr:uid="{A69C0D1D-67ED-4284-BECF-361522699458}"/>
    <cellStyle name="Normal 2 4 2 4 3 3 5" xfId="28365" xr:uid="{C4DED36D-585A-436E-A764-FD9C47614E61}"/>
    <cellStyle name="Normal 2 4 2 4 3 3 6" xfId="19918" xr:uid="{085D0685-CFE0-4A04-AD0D-C4FCD57CA980}"/>
    <cellStyle name="Normal 2 4 2 4 3 3 7" xfId="10621" xr:uid="{B98203FC-D6E7-4D17-A8BC-4AFF6649F0AF}"/>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43588" xr:uid="{F3AE9844-994D-41FD-96A2-36BEB339748C}"/>
    <cellStyle name="Normal 2 4 2 4 3 4 2 2 3" xfId="35141" xr:uid="{58D0A37F-9BA8-41EC-8A08-C3BD178026E5}"/>
    <cellStyle name="Normal 2 4 2 4 3 4 2 2 4" xfId="26693" xr:uid="{8BD072BB-5A05-4C12-8FD6-081E0B04A605}"/>
    <cellStyle name="Normal 2 4 2 4 3 4 2 2 5" xfId="17396" xr:uid="{684FEDC7-8154-4B6D-9B16-DE3E0051772B}"/>
    <cellStyle name="Normal 2 4 2 4 3 4 2 3" xfId="39371" xr:uid="{58BA464D-0FDF-412F-9C7A-D7838F2C8747}"/>
    <cellStyle name="Normal 2 4 2 4 3 4 2 4" xfId="30923" xr:uid="{3A496C12-2D3F-4FEE-9F69-6F1C49F01694}"/>
    <cellStyle name="Normal 2 4 2 4 3 4 2 5" xfId="22476" xr:uid="{5C4BF166-AF6E-4C7C-972D-A81572157C4C}"/>
    <cellStyle name="Normal 2 4 2 4 3 4 2 6" xfId="13179" xr:uid="{4E38D6C0-EB07-4BE7-9655-11A9B7AF2C4E}"/>
    <cellStyle name="Normal 2 4 2 4 3 4 3" xfId="5925" xr:uid="{00000000-0005-0000-0000-00006B0F0000}"/>
    <cellStyle name="Normal 2 4 2 4 3 4 3 2" xfId="41443" xr:uid="{945C664B-13F2-471A-9AA4-923AE7552762}"/>
    <cellStyle name="Normal 2 4 2 4 3 4 3 3" xfId="32996" xr:uid="{82CCC712-DB63-4960-A27D-6B5776649F85}"/>
    <cellStyle name="Normal 2 4 2 4 3 4 3 4" xfId="24548" xr:uid="{88895603-E6F0-4D96-8C6F-E0B447594669}"/>
    <cellStyle name="Normal 2 4 2 4 3 4 3 5" xfId="15251" xr:uid="{1A561E6D-122F-4963-85A3-D33CABBBA152}"/>
    <cellStyle name="Normal 2 4 2 4 3 4 4" xfId="37226" xr:uid="{8A167439-2C43-4CE9-99FF-0F930CBABBC1}"/>
    <cellStyle name="Normal 2 4 2 4 3 4 5" xfId="28778" xr:uid="{F28614F3-1B52-420A-8537-69DB093E25ED}"/>
    <cellStyle name="Normal 2 4 2 4 3 4 6" xfId="20331" xr:uid="{532CE4CE-7723-4FA7-860E-2D42A2B3F215}"/>
    <cellStyle name="Normal 2 4 2 4 3 4 7" xfId="11034" xr:uid="{01BA1169-C7CE-4696-A60E-7A727E324A5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44001" xr:uid="{A96762E9-2BBA-4FC8-85DD-B04F56CDEF40}"/>
    <cellStyle name="Normal 2 4 2 4 3 5 2 2 3" xfId="35554" xr:uid="{CF33D508-748B-46AF-B90C-EBB85C5CCD1D}"/>
    <cellStyle name="Normal 2 4 2 4 3 5 2 2 4" xfId="27106" xr:uid="{A82CA5F3-249A-48DE-9907-F6829A24EFF6}"/>
    <cellStyle name="Normal 2 4 2 4 3 5 2 2 5" xfId="17809" xr:uid="{53398D8C-A8C6-4A31-984E-60994F23E981}"/>
    <cellStyle name="Normal 2 4 2 4 3 5 2 3" xfId="39784" xr:uid="{5967A48E-5BAF-44FA-B5C2-0C0E9FCFE5BC}"/>
    <cellStyle name="Normal 2 4 2 4 3 5 2 4" xfId="31336" xr:uid="{A3916E67-A612-4E39-BD7D-625695B7A671}"/>
    <cellStyle name="Normal 2 4 2 4 3 5 2 5" xfId="22889" xr:uid="{41382EC5-9515-45D5-AFDB-AF281FEB27B0}"/>
    <cellStyle name="Normal 2 4 2 4 3 5 2 6" xfId="13592" xr:uid="{B2696662-FDCE-48FC-B1A9-FBBC511EF3A4}"/>
    <cellStyle name="Normal 2 4 2 4 3 5 3" xfId="6338" xr:uid="{00000000-0005-0000-0000-00006F0F0000}"/>
    <cellStyle name="Normal 2 4 2 4 3 5 3 2" xfId="41856" xr:uid="{6D3F6AC2-2748-4A2A-A1B7-6336CB325232}"/>
    <cellStyle name="Normal 2 4 2 4 3 5 3 3" xfId="33409" xr:uid="{4D7A8CDD-9E9B-496E-AEEE-B53A76E4DAB9}"/>
    <cellStyle name="Normal 2 4 2 4 3 5 3 4" xfId="24961" xr:uid="{9572663C-A16A-48B8-A990-CD93A97E3DEA}"/>
    <cellStyle name="Normal 2 4 2 4 3 5 3 5" xfId="15664" xr:uid="{21D705D4-8BD4-4097-B40E-518740F9E1B5}"/>
    <cellStyle name="Normal 2 4 2 4 3 5 4" xfId="37639" xr:uid="{46DF85B5-AA8D-4819-8C1D-453EF55DF39C}"/>
    <cellStyle name="Normal 2 4 2 4 3 5 5" xfId="29191" xr:uid="{8FD9F588-D6F0-447B-8876-C04B04CE2984}"/>
    <cellStyle name="Normal 2 4 2 4 3 5 6" xfId="20744" xr:uid="{6ACE8CC5-ED47-4E28-9E15-2E1B1370CF86}"/>
    <cellStyle name="Normal 2 4 2 4 3 5 7" xfId="11447" xr:uid="{1373B81F-38EC-4E23-84BE-6928D200E089}"/>
    <cellStyle name="Normal 2 4 2 4 3 6" xfId="2468" xr:uid="{00000000-0005-0000-0000-0000700F0000}"/>
    <cellStyle name="Normal 2 4 2 4 3 6 2" xfId="6751" xr:uid="{00000000-0005-0000-0000-0000710F0000}"/>
    <cellStyle name="Normal 2 4 2 4 3 6 2 2" xfId="42269" xr:uid="{D88AA43F-1663-4F83-BCF4-5BA95F284595}"/>
    <cellStyle name="Normal 2 4 2 4 3 6 2 3" xfId="33822" xr:uid="{CD7365C7-379F-408B-B34F-F4CEC9C4EDFC}"/>
    <cellStyle name="Normal 2 4 2 4 3 6 2 4" xfId="25374" xr:uid="{0BE0EB2A-84B2-4629-80F7-75EFBD9A9266}"/>
    <cellStyle name="Normal 2 4 2 4 3 6 2 5" xfId="16077" xr:uid="{8DA03EAA-D837-4C86-A1AB-72330D47E453}"/>
    <cellStyle name="Normal 2 4 2 4 3 6 3" xfId="38052" xr:uid="{47D64187-7A79-499B-B4A7-8FE3E3B11107}"/>
    <cellStyle name="Normal 2 4 2 4 3 6 4" xfId="29604" xr:uid="{425B7D17-80CB-4F01-95B2-8D9927207656}"/>
    <cellStyle name="Normal 2 4 2 4 3 6 5" xfId="21157" xr:uid="{84111904-8676-48FA-8C8D-0D90A82EF347}"/>
    <cellStyle name="Normal 2 4 2 4 3 6 6" xfId="11860" xr:uid="{82126564-8954-4BF1-A28E-A0B092032865}"/>
    <cellStyle name="Normal 2 4 2 4 3 7" xfId="4685" xr:uid="{00000000-0005-0000-0000-0000720F0000}"/>
    <cellStyle name="Normal 2 4 2 4 3 7 2" xfId="40203" xr:uid="{D625F7FB-24BA-4AA5-9984-9189690A3022}"/>
    <cellStyle name="Normal 2 4 2 4 3 7 3" xfId="31756" xr:uid="{03E0D9B3-A040-41EF-BEAF-4032C78519E7}"/>
    <cellStyle name="Normal 2 4 2 4 3 7 4" xfId="23308" xr:uid="{820C704E-3E83-40F7-92AF-5EA9E584FF63}"/>
    <cellStyle name="Normal 2 4 2 4 3 7 5" xfId="14011" xr:uid="{9E747AB7-6921-43D4-940A-0BE4DB296003}"/>
    <cellStyle name="Normal 2 4 2 4 3 8" xfId="9019" xr:uid="{1F22810F-FF7D-4FF4-861A-F2BA8F253428}"/>
    <cellStyle name="Normal 2 4 2 4 3 8 2" xfId="35986" xr:uid="{E3EB5E78-20DE-4668-9282-D65ABBB85604}"/>
    <cellStyle name="Normal 2 4 2 4 3 8 3" xfId="18342" xr:uid="{438FAC16-60B3-4E32-AB3C-A9FBD3F498A7}"/>
    <cellStyle name="Normal 2 4 2 4 3 9" xfId="27538" xr:uid="{925A5B02-A1AF-4BD1-A66B-A459315CF429}"/>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42759" xr:uid="{85815C41-B858-4012-8AE6-48A7644C99AD}"/>
    <cellStyle name="Normal 2 4 2 4 4 2 2 3" xfId="34312" xr:uid="{34C167E0-0DF6-4181-88E0-CF1D1E53D701}"/>
    <cellStyle name="Normal 2 4 2 4 4 2 2 4" xfId="25864" xr:uid="{547D60D4-086E-499C-9683-573898DAD07E}"/>
    <cellStyle name="Normal 2 4 2 4 4 2 2 5" xfId="16567" xr:uid="{0D3864B6-8D7A-434A-8AA7-D1B406331B40}"/>
    <cellStyle name="Normal 2 4 2 4 4 2 3" xfId="38542" xr:uid="{0CE6BEB6-1836-4A4E-82A8-6A8DA359FF92}"/>
    <cellStyle name="Normal 2 4 2 4 4 2 4" xfId="30094" xr:uid="{559FBB0B-59AB-4FAB-B10A-E0AA8A6F0D98}"/>
    <cellStyle name="Normal 2 4 2 4 4 2 5" xfId="21647" xr:uid="{047183A2-1230-4A87-BF7B-A922A04E7DBF}"/>
    <cellStyle name="Normal 2 4 2 4 4 2 6" xfId="12350" xr:uid="{65938215-CF55-45AD-8024-D4C3C765B4B8}"/>
    <cellStyle name="Normal 2 4 2 4 4 3" xfId="5096" xr:uid="{00000000-0005-0000-0000-0000760F0000}"/>
    <cellStyle name="Normal 2 4 2 4 4 3 2" xfId="40614" xr:uid="{68099511-6D12-4461-9874-2CD21D1B3F51}"/>
    <cellStyle name="Normal 2 4 2 4 4 3 3" xfId="32167" xr:uid="{BFD9B44A-3D16-47BD-8A0E-07E8AAB44553}"/>
    <cellStyle name="Normal 2 4 2 4 4 3 4" xfId="23719" xr:uid="{0F9A2A4F-6F28-4292-BB35-2582FF0D07E4}"/>
    <cellStyle name="Normal 2 4 2 4 4 3 5" xfId="14422" xr:uid="{B53CFF9C-1281-4402-AF5E-493D077D004C}"/>
    <cellStyle name="Normal 2 4 2 4 4 4" xfId="9237" xr:uid="{FF4B133D-A40B-4895-9E3D-E727B18E66C8}"/>
    <cellStyle name="Normal 2 4 2 4 4 4 2" xfId="36397" xr:uid="{7D6AFC87-C31B-4DD3-AA39-4070ED8E9F55}"/>
    <cellStyle name="Normal 2 4 2 4 4 4 3" xfId="18550" xr:uid="{9E4A6ED9-9CFC-4D67-A02A-1D95E2CEE2B9}"/>
    <cellStyle name="Normal 2 4 2 4 4 5" xfId="27949" xr:uid="{DC2056A1-0B46-4E03-BC0D-CCF3C6097322}"/>
    <cellStyle name="Normal 2 4 2 4 4 6" xfId="19502" xr:uid="{383FE9F3-CC5E-4849-868C-37E24EC5918E}"/>
    <cellStyle name="Normal 2 4 2 4 4 7" xfId="10205" xr:uid="{154B5939-A8C0-4854-9596-D4B69ED5D824}"/>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43172" xr:uid="{1D01C56B-1824-46D5-BAD8-20517C317017}"/>
    <cellStyle name="Normal 2 4 2 4 5 2 2 3" xfId="34725" xr:uid="{CB3914CA-4B57-4E02-98C5-B8EC99E75B2C}"/>
    <cellStyle name="Normal 2 4 2 4 5 2 2 4" xfId="26277" xr:uid="{7E7DCFF0-E5C9-4691-AFA1-D72EC265F791}"/>
    <cellStyle name="Normal 2 4 2 4 5 2 2 5" xfId="16980" xr:uid="{908B0B3E-1B6C-4CEC-B559-BEB36060A669}"/>
    <cellStyle name="Normal 2 4 2 4 5 2 3" xfId="38955" xr:uid="{C53EDA1B-D561-4AB4-83FD-9CBC85F83A8F}"/>
    <cellStyle name="Normal 2 4 2 4 5 2 4" xfId="30507" xr:uid="{E4E5D9C3-D110-4D37-B9D8-74260B583BF7}"/>
    <cellStyle name="Normal 2 4 2 4 5 2 5" xfId="22060" xr:uid="{6BE51638-C03E-4CE2-88B6-41DDD13564B4}"/>
    <cellStyle name="Normal 2 4 2 4 5 2 6" xfId="12763" xr:uid="{2F838483-D66F-4542-A0A7-1BC5FEE46848}"/>
    <cellStyle name="Normal 2 4 2 4 5 3" xfId="5509" xr:uid="{00000000-0005-0000-0000-00007A0F0000}"/>
    <cellStyle name="Normal 2 4 2 4 5 3 2" xfId="41027" xr:uid="{20191B6A-F8EB-4F34-AB1B-8BED00FFB70E}"/>
    <cellStyle name="Normal 2 4 2 4 5 3 3" xfId="32580" xr:uid="{572685FE-43CF-4BBA-B865-DC469FEBCBC2}"/>
    <cellStyle name="Normal 2 4 2 4 5 3 4" xfId="24132" xr:uid="{715AC85C-0F5B-4AF8-A4EF-A7AF1855C967}"/>
    <cellStyle name="Normal 2 4 2 4 5 3 5" xfId="14835" xr:uid="{82BA24C0-5570-4D90-AFF2-1B526FAA196F}"/>
    <cellStyle name="Normal 2 4 2 4 5 4" xfId="36810" xr:uid="{C375C5D9-F00F-458F-B960-521E19A6A76E}"/>
    <cellStyle name="Normal 2 4 2 4 5 5" xfId="28362" xr:uid="{00A17AEC-7A8E-4C16-AE17-BCAFD01F70A6}"/>
    <cellStyle name="Normal 2 4 2 4 5 6" xfId="19915" xr:uid="{B1E1E099-1C48-4EC5-9CCE-24565B9FC588}"/>
    <cellStyle name="Normal 2 4 2 4 5 7" xfId="10618" xr:uid="{C922B424-F13C-46A5-98F3-04E170A8905B}"/>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43585" xr:uid="{133F16CC-D26C-4D0B-B702-6BF3C9F5F44E}"/>
    <cellStyle name="Normal 2 4 2 4 6 2 2 3" xfId="35138" xr:uid="{0ED0A33A-DEC0-4DBF-8979-AFFDF50BF257}"/>
    <cellStyle name="Normal 2 4 2 4 6 2 2 4" xfId="26690" xr:uid="{A1D088C4-C85F-46AB-A9B8-F981ECDB5DAE}"/>
    <cellStyle name="Normal 2 4 2 4 6 2 2 5" xfId="17393" xr:uid="{457C4CD3-4A5A-44EE-A3A6-859DAACA7623}"/>
    <cellStyle name="Normal 2 4 2 4 6 2 3" xfId="39368" xr:uid="{8DF793FB-A255-46F0-A616-2791CD2CABA4}"/>
    <cellStyle name="Normal 2 4 2 4 6 2 4" xfId="30920" xr:uid="{0F65B75A-A4B7-4BC8-8F9C-696EBA180CCB}"/>
    <cellStyle name="Normal 2 4 2 4 6 2 5" xfId="22473" xr:uid="{014F5745-93D1-4F24-94AE-0F3C78DF1DB4}"/>
    <cellStyle name="Normal 2 4 2 4 6 2 6" xfId="13176" xr:uid="{BC0C0168-8CF2-48C6-83C1-36E1FF03643F}"/>
    <cellStyle name="Normal 2 4 2 4 6 3" xfId="5922" xr:uid="{00000000-0005-0000-0000-00007E0F0000}"/>
    <cellStyle name="Normal 2 4 2 4 6 3 2" xfId="41440" xr:uid="{5C96F005-FB88-4FEC-A7C1-3A4A58B5BD5C}"/>
    <cellStyle name="Normal 2 4 2 4 6 3 3" xfId="32993" xr:uid="{840363B3-AB98-4E1F-BAEE-2B793AE2187C}"/>
    <cellStyle name="Normal 2 4 2 4 6 3 4" xfId="24545" xr:uid="{7AF58449-31F5-462F-A37C-EBFF03D823FE}"/>
    <cellStyle name="Normal 2 4 2 4 6 3 5" xfId="15248" xr:uid="{CCD16CE7-5E33-41D9-B592-5BDEB4903BC5}"/>
    <cellStyle name="Normal 2 4 2 4 6 4" xfId="37223" xr:uid="{2CE8106E-189F-4473-A6EB-3EEF43BD86B8}"/>
    <cellStyle name="Normal 2 4 2 4 6 5" xfId="28775" xr:uid="{0E7EA8B5-D6B4-4998-8D73-C4275E20064B}"/>
    <cellStyle name="Normal 2 4 2 4 6 6" xfId="20328" xr:uid="{7D26CEC5-8F51-4CF9-B24B-A5FB9274AA10}"/>
    <cellStyle name="Normal 2 4 2 4 6 7" xfId="11031" xr:uid="{6003AA9F-20C6-4BEF-96AA-D890B167D3BC}"/>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43998" xr:uid="{E195F2DF-F583-4138-AAED-F51231CD5AF3}"/>
    <cellStyle name="Normal 2 4 2 4 7 2 2 3" xfId="35551" xr:uid="{8B0C38E4-D424-490B-8270-CEECB9399B54}"/>
    <cellStyle name="Normal 2 4 2 4 7 2 2 4" xfId="27103" xr:uid="{3BEEE14A-7A52-470C-A4AF-754F1D739C19}"/>
    <cellStyle name="Normal 2 4 2 4 7 2 2 5" xfId="17806" xr:uid="{B041D47B-5CA4-4A95-A50D-0C0560F826C2}"/>
    <cellStyle name="Normal 2 4 2 4 7 2 3" xfId="39781" xr:uid="{33815AFB-C7D6-4B7D-B310-5A6D056CD0C4}"/>
    <cellStyle name="Normal 2 4 2 4 7 2 4" xfId="31333" xr:uid="{CD038A69-2EAB-4FC8-A76C-259CA0D5FD68}"/>
    <cellStyle name="Normal 2 4 2 4 7 2 5" xfId="22886" xr:uid="{1EDF4CEF-6DBB-4A44-88AA-5414177F7EAA}"/>
    <cellStyle name="Normal 2 4 2 4 7 2 6" xfId="13589" xr:uid="{2765424D-3772-44EA-8A1E-400F490131D4}"/>
    <cellStyle name="Normal 2 4 2 4 7 3" xfId="6335" xr:uid="{00000000-0005-0000-0000-0000820F0000}"/>
    <cellStyle name="Normal 2 4 2 4 7 3 2" xfId="41853" xr:uid="{350BBA81-E264-47DC-9F9A-360382CE4ADF}"/>
    <cellStyle name="Normal 2 4 2 4 7 3 3" xfId="33406" xr:uid="{FD85EF33-092A-41D2-9E46-AEF2ADEFA54D}"/>
    <cellStyle name="Normal 2 4 2 4 7 3 4" xfId="24958" xr:uid="{A9B6AE08-C6F1-4FCB-949C-92B8A7960DDF}"/>
    <cellStyle name="Normal 2 4 2 4 7 3 5" xfId="15661" xr:uid="{2F2161BD-F324-4F83-863C-7C465967CE9F}"/>
    <cellStyle name="Normal 2 4 2 4 7 4" xfId="37636" xr:uid="{D24DE029-F665-4104-B6A7-76CCE3D7B8FB}"/>
    <cellStyle name="Normal 2 4 2 4 7 5" xfId="29188" xr:uid="{E2E7347B-D01E-4CD2-AF5F-D2611D9579DD}"/>
    <cellStyle name="Normal 2 4 2 4 7 6" xfId="20741" xr:uid="{D5BACDC1-A489-44D6-90B9-01335923871D}"/>
    <cellStyle name="Normal 2 4 2 4 7 7" xfId="11444" xr:uid="{EC7F9082-45E9-47D4-A573-B23839064286}"/>
    <cellStyle name="Normal 2 4 2 4 8" xfId="2465" xr:uid="{00000000-0005-0000-0000-0000830F0000}"/>
    <cellStyle name="Normal 2 4 2 4 8 2" xfId="6748" xr:uid="{00000000-0005-0000-0000-0000840F0000}"/>
    <cellStyle name="Normal 2 4 2 4 8 2 2" xfId="42266" xr:uid="{A97CFD11-8D90-4BF2-8C19-EE0A6DB833D9}"/>
    <cellStyle name="Normal 2 4 2 4 8 2 3" xfId="33819" xr:uid="{2EB208F4-4876-40F9-B6E1-A0C0F8D5B522}"/>
    <cellStyle name="Normal 2 4 2 4 8 2 4" xfId="25371" xr:uid="{85466C7C-8B3C-4C40-890A-1258F31DC33A}"/>
    <cellStyle name="Normal 2 4 2 4 8 2 5" xfId="16074" xr:uid="{B07E7909-8CCB-400E-93CE-EB8ED02FD67A}"/>
    <cellStyle name="Normal 2 4 2 4 8 3" xfId="38049" xr:uid="{8A35BB23-9F94-4676-936E-08CB0F17A0EE}"/>
    <cellStyle name="Normal 2 4 2 4 8 4" xfId="29601" xr:uid="{D905DD7E-29BE-4A8E-BA78-E63523DDB83E}"/>
    <cellStyle name="Normal 2 4 2 4 8 5" xfId="21154" xr:uid="{EF0BA92D-0617-4589-A1A8-476DAA9610AA}"/>
    <cellStyle name="Normal 2 4 2 4 8 6" xfId="11857" xr:uid="{DBEAD9EA-C402-429F-B047-343787B86FE6}"/>
    <cellStyle name="Normal 2 4 2 4 9" xfId="4682" xr:uid="{00000000-0005-0000-0000-0000850F0000}"/>
    <cellStyle name="Normal 2 4 2 4 9 2" xfId="40200" xr:uid="{01BE9BAF-3A37-4D60-A09B-8C9AC22ABACF}"/>
    <cellStyle name="Normal 2 4 2 4 9 3" xfId="31753" xr:uid="{3541C086-4810-4376-A450-0653EEC14147}"/>
    <cellStyle name="Normal 2 4 2 4 9 4" xfId="23305" xr:uid="{5DD7B234-2205-44B9-B5AB-C7F307BFD596}"/>
    <cellStyle name="Normal 2 4 2 4 9 5" xfId="14008" xr:uid="{932442D3-33B8-4731-B858-4C18194D3D98}"/>
    <cellStyle name="Normal 2 4 2 5" xfId="293" xr:uid="{00000000-0005-0000-0000-0000860F0000}"/>
    <cellStyle name="Normal 2 4 2 5 10" xfId="27539" xr:uid="{813592A2-7838-4E47-A2D1-FC2CD0C4F71E}"/>
    <cellStyle name="Normal 2 4 2 5 11" xfId="19092" xr:uid="{9B27398C-AF52-4B92-ABAB-884F59B555E6}"/>
    <cellStyle name="Normal 2 4 2 5 12" xfId="9795" xr:uid="{BAFE9350-7CB4-426F-B105-670B9C40C4DB}"/>
    <cellStyle name="Normal 2 4 2 5 2" xfId="294" xr:uid="{00000000-0005-0000-0000-0000870F0000}"/>
    <cellStyle name="Normal 2 4 2 5 2 10" xfId="19093" xr:uid="{7E39334E-235E-4B2E-909B-3C5ED37D9D40}"/>
    <cellStyle name="Normal 2 4 2 5 2 11" xfId="9796" xr:uid="{5BBA94A1-B111-48A7-99CF-A9954BEE9AA1}"/>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42764" xr:uid="{09F9DD60-DD46-44F3-A819-8CC93EEEADBF}"/>
    <cellStyle name="Normal 2 4 2 5 2 2 2 2 3" xfId="34317" xr:uid="{22ED8271-C2F4-4C33-BDBE-549E617EACA1}"/>
    <cellStyle name="Normal 2 4 2 5 2 2 2 2 4" xfId="25869" xr:uid="{1D86E313-5361-4165-B990-D1A827B6CE1F}"/>
    <cellStyle name="Normal 2 4 2 5 2 2 2 2 5" xfId="16572" xr:uid="{43587528-A15D-4188-98A1-BF19FEDADA36}"/>
    <cellStyle name="Normal 2 4 2 5 2 2 2 3" xfId="38547" xr:uid="{67726D4A-317C-4221-A17C-E7E2DE650F14}"/>
    <cellStyle name="Normal 2 4 2 5 2 2 2 4" xfId="30099" xr:uid="{B2F18552-6B04-4F19-A298-E1843C3FF43D}"/>
    <cellStyle name="Normal 2 4 2 5 2 2 2 5" xfId="21652" xr:uid="{BDD3C2FE-9779-4051-8A64-F29D6C66D4AE}"/>
    <cellStyle name="Normal 2 4 2 5 2 2 2 6" xfId="12355" xr:uid="{EAA1B42E-ECD6-4F1B-A57C-ADB276EB42DD}"/>
    <cellStyle name="Normal 2 4 2 5 2 2 3" xfId="5101" xr:uid="{00000000-0005-0000-0000-00008B0F0000}"/>
    <cellStyle name="Normal 2 4 2 5 2 2 3 2" xfId="40619" xr:uid="{B32BCB81-DF87-4387-9691-608C624A8635}"/>
    <cellStyle name="Normal 2 4 2 5 2 2 3 3" xfId="32172" xr:uid="{31316634-54ED-4E5A-9453-63D7AD2FE9B7}"/>
    <cellStyle name="Normal 2 4 2 5 2 2 3 4" xfId="23724" xr:uid="{F96168D8-EAE3-4AB1-A481-72D1E9476468}"/>
    <cellStyle name="Normal 2 4 2 5 2 2 3 5" xfId="14427" xr:uid="{33BD3BDF-93EB-4CE0-824A-C1B95FDEF4E9}"/>
    <cellStyle name="Normal 2 4 2 5 2 2 4" xfId="9492" xr:uid="{07DC9204-2F52-408E-80EE-617A106DD9FD}"/>
    <cellStyle name="Normal 2 4 2 5 2 2 4 2" xfId="36402" xr:uid="{84C60A48-3725-4EA6-9E23-8A369F723EE6}"/>
    <cellStyle name="Normal 2 4 2 5 2 2 4 3" xfId="18805" xr:uid="{9C775783-8147-4CF6-AE9D-9CAB3CCB6BBA}"/>
    <cellStyle name="Normal 2 4 2 5 2 2 5" xfId="27954" xr:uid="{5517ED93-20E1-4533-A966-894799640F14}"/>
    <cellStyle name="Normal 2 4 2 5 2 2 6" xfId="19507" xr:uid="{B04F41B4-201F-4731-BE92-633A711B5CE8}"/>
    <cellStyle name="Normal 2 4 2 5 2 2 7" xfId="10210" xr:uid="{655813CD-885D-4690-9A53-2E16037918AA}"/>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43177" xr:uid="{2D2663BE-7CAD-4D55-BEFC-AACB705E96BA}"/>
    <cellStyle name="Normal 2 4 2 5 2 3 2 2 3" xfId="34730" xr:uid="{B3843ABE-BA5A-43FF-A3EB-E60B11790257}"/>
    <cellStyle name="Normal 2 4 2 5 2 3 2 2 4" xfId="26282" xr:uid="{BCCFFC8A-201A-4D87-950E-4102F39D6100}"/>
    <cellStyle name="Normal 2 4 2 5 2 3 2 2 5" xfId="16985" xr:uid="{E710C2B5-A1C2-427B-A163-6041E158A9A2}"/>
    <cellStyle name="Normal 2 4 2 5 2 3 2 3" xfId="38960" xr:uid="{928E5A99-A060-4738-A6FC-F11EE9100EE7}"/>
    <cellStyle name="Normal 2 4 2 5 2 3 2 4" xfId="30512" xr:uid="{94148DF1-0A31-43B7-ABBF-FF5C66AA7F0F}"/>
    <cellStyle name="Normal 2 4 2 5 2 3 2 5" xfId="22065" xr:uid="{222F533E-2CA4-416F-A757-E21340CFA498}"/>
    <cellStyle name="Normal 2 4 2 5 2 3 2 6" xfId="12768" xr:uid="{DC4E22DF-DE56-4EC0-ABFC-B9C999A0FF96}"/>
    <cellStyle name="Normal 2 4 2 5 2 3 3" xfId="5514" xr:uid="{00000000-0005-0000-0000-00008F0F0000}"/>
    <cellStyle name="Normal 2 4 2 5 2 3 3 2" xfId="41032" xr:uid="{F929AF32-981A-4B3B-828D-53FEBBD148BF}"/>
    <cellStyle name="Normal 2 4 2 5 2 3 3 3" xfId="32585" xr:uid="{7DD0F8BD-6B4E-4B4D-812A-C6AC85308371}"/>
    <cellStyle name="Normal 2 4 2 5 2 3 3 4" xfId="24137" xr:uid="{49D1ED61-D363-4038-8518-8C0A5BCA6298}"/>
    <cellStyle name="Normal 2 4 2 5 2 3 3 5" xfId="14840" xr:uid="{837A2872-BD64-4048-8115-2180D3D1C827}"/>
    <cellStyle name="Normal 2 4 2 5 2 3 4" xfId="36815" xr:uid="{0A38D2D8-C981-4EA4-8E6A-B387AC2329F7}"/>
    <cellStyle name="Normal 2 4 2 5 2 3 5" xfId="28367" xr:uid="{0F26A553-C797-4690-B0F0-E31077926C68}"/>
    <cellStyle name="Normal 2 4 2 5 2 3 6" xfId="19920" xr:uid="{443F7809-5FB7-4BA0-BAD0-C542AC23FA5C}"/>
    <cellStyle name="Normal 2 4 2 5 2 3 7" xfId="10623" xr:uid="{A1AE4836-5F82-4EEC-936A-98C96A09D99C}"/>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43590" xr:uid="{8E386600-36D8-49CC-8C31-B1766D5CDDAE}"/>
    <cellStyle name="Normal 2 4 2 5 2 4 2 2 3" xfId="35143" xr:uid="{00842847-D98E-4281-B2AE-DE01F684A9FE}"/>
    <cellStyle name="Normal 2 4 2 5 2 4 2 2 4" xfId="26695" xr:uid="{000ED529-2F49-4838-B351-8601BB448148}"/>
    <cellStyle name="Normal 2 4 2 5 2 4 2 2 5" xfId="17398" xr:uid="{B68B33C5-FF0F-4222-AE32-E33BEC614F89}"/>
    <cellStyle name="Normal 2 4 2 5 2 4 2 3" xfId="39373" xr:uid="{35F66B1A-6595-4EE5-87BE-B1074EC78A45}"/>
    <cellStyle name="Normal 2 4 2 5 2 4 2 4" xfId="30925" xr:uid="{7F4B2023-0BE3-43D8-8EB3-ED089DC4C89F}"/>
    <cellStyle name="Normal 2 4 2 5 2 4 2 5" xfId="22478" xr:uid="{FB202728-5911-4335-9EF3-67603AF0CB0C}"/>
    <cellStyle name="Normal 2 4 2 5 2 4 2 6" xfId="13181" xr:uid="{2873FD72-0845-471E-A7EF-5DFEA2B940A5}"/>
    <cellStyle name="Normal 2 4 2 5 2 4 3" xfId="5927" xr:uid="{00000000-0005-0000-0000-0000930F0000}"/>
    <cellStyle name="Normal 2 4 2 5 2 4 3 2" xfId="41445" xr:uid="{C19343C7-3BC0-4432-8BDF-318A42B393B0}"/>
    <cellStyle name="Normal 2 4 2 5 2 4 3 3" xfId="32998" xr:uid="{6FE32B02-BCE0-4945-83BD-076465A30091}"/>
    <cellStyle name="Normal 2 4 2 5 2 4 3 4" xfId="24550" xr:uid="{BA225FFE-9DA1-4FCF-A97B-F6E6FE5299D3}"/>
    <cellStyle name="Normal 2 4 2 5 2 4 3 5" xfId="15253" xr:uid="{D7019FC4-664A-4199-8D93-CAA0E45EB26C}"/>
    <cellStyle name="Normal 2 4 2 5 2 4 4" xfId="37228" xr:uid="{643A99D8-D7D6-4011-B4FB-CEFFBF65C2C9}"/>
    <cellStyle name="Normal 2 4 2 5 2 4 5" xfId="28780" xr:uid="{E5B12199-5D06-42C3-9101-C8F5D611B027}"/>
    <cellStyle name="Normal 2 4 2 5 2 4 6" xfId="20333" xr:uid="{66EB12D6-2743-47F9-BB43-D1004874FB80}"/>
    <cellStyle name="Normal 2 4 2 5 2 4 7" xfId="11036" xr:uid="{2F457490-7CC6-478F-B7F0-2AA32A35D166}"/>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44003" xr:uid="{5D824D77-CA66-45C9-B440-DA04B4777FB9}"/>
    <cellStyle name="Normal 2 4 2 5 2 5 2 2 3" xfId="35556" xr:uid="{D3283BD5-2A13-43A9-A9DB-8EABF5464DB7}"/>
    <cellStyle name="Normal 2 4 2 5 2 5 2 2 4" xfId="27108" xr:uid="{8375782F-9093-46DB-A820-02B919C66074}"/>
    <cellStyle name="Normal 2 4 2 5 2 5 2 2 5" xfId="17811" xr:uid="{884FBCD7-92AD-49B1-B36C-F33C0D0C446E}"/>
    <cellStyle name="Normal 2 4 2 5 2 5 2 3" xfId="39786" xr:uid="{569C4F5D-1C7E-42B9-B322-798D93DF9B63}"/>
    <cellStyle name="Normal 2 4 2 5 2 5 2 4" xfId="31338" xr:uid="{13E5853F-EBAF-49EC-9EFD-7D7AF4E2B53A}"/>
    <cellStyle name="Normal 2 4 2 5 2 5 2 5" xfId="22891" xr:uid="{ADD4CA1F-5DFB-49E3-B638-4F0CF19D3367}"/>
    <cellStyle name="Normal 2 4 2 5 2 5 2 6" xfId="13594" xr:uid="{F09AC50D-DA89-462D-B318-B86A5BB55F82}"/>
    <cellStyle name="Normal 2 4 2 5 2 5 3" xfId="6340" xr:uid="{00000000-0005-0000-0000-0000970F0000}"/>
    <cellStyle name="Normal 2 4 2 5 2 5 3 2" xfId="41858" xr:uid="{233703E1-50C3-4BED-AE42-3244D2D9E560}"/>
    <cellStyle name="Normal 2 4 2 5 2 5 3 3" xfId="33411" xr:uid="{4FD3D283-8033-430F-A74A-3A56A1D0C360}"/>
    <cellStyle name="Normal 2 4 2 5 2 5 3 4" xfId="24963" xr:uid="{C5A60C94-81C4-4A46-8D1B-FD021FEC3B09}"/>
    <cellStyle name="Normal 2 4 2 5 2 5 3 5" xfId="15666" xr:uid="{378CF021-56BE-46F4-A994-35E37A99999E}"/>
    <cellStyle name="Normal 2 4 2 5 2 5 4" xfId="37641" xr:uid="{F841ECE8-D69C-4C77-A8D7-E10A9A6F0D1E}"/>
    <cellStyle name="Normal 2 4 2 5 2 5 5" xfId="29193" xr:uid="{307F2F2E-4D3F-4B9E-A8CD-5597C1839F81}"/>
    <cellStyle name="Normal 2 4 2 5 2 5 6" xfId="20746" xr:uid="{6FA8D03A-F9CD-4408-A305-701B0DB7D160}"/>
    <cellStyle name="Normal 2 4 2 5 2 5 7" xfId="11449" xr:uid="{06C2E63A-9FB1-40BF-A211-DB4E028FD4A6}"/>
    <cellStyle name="Normal 2 4 2 5 2 6" xfId="2470" xr:uid="{00000000-0005-0000-0000-0000980F0000}"/>
    <cellStyle name="Normal 2 4 2 5 2 6 2" xfId="6753" xr:uid="{00000000-0005-0000-0000-0000990F0000}"/>
    <cellStyle name="Normal 2 4 2 5 2 6 2 2" xfId="42271" xr:uid="{74488C30-25B3-46D6-B7C9-B419F9E39E6F}"/>
    <cellStyle name="Normal 2 4 2 5 2 6 2 3" xfId="33824" xr:uid="{F899A52B-3009-44CD-ACC6-E34DD0D9E7E7}"/>
    <cellStyle name="Normal 2 4 2 5 2 6 2 4" xfId="25376" xr:uid="{5E540776-797E-4C51-9467-53925539DFD6}"/>
    <cellStyle name="Normal 2 4 2 5 2 6 2 5" xfId="16079" xr:uid="{6A5E418C-C21F-42AC-82AA-3958E3789857}"/>
    <cellStyle name="Normal 2 4 2 5 2 6 3" xfId="38054" xr:uid="{30C224AC-04A5-41A3-9D24-417C267774CC}"/>
    <cellStyle name="Normal 2 4 2 5 2 6 4" xfId="29606" xr:uid="{B85FF30C-E89C-4EAB-903A-989498A7783A}"/>
    <cellStyle name="Normal 2 4 2 5 2 6 5" xfId="21159" xr:uid="{A120D049-2BCB-41DE-918C-F4B37C0C4C98}"/>
    <cellStyle name="Normal 2 4 2 5 2 6 6" xfId="11862" xr:uid="{36A5B8B9-4E61-4CC5-A89E-450E38286B93}"/>
    <cellStyle name="Normal 2 4 2 5 2 7" xfId="4687" xr:uid="{00000000-0005-0000-0000-00009A0F0000}"/>
    <cellStyle name="Normal 2 4 2 5 2 7 2" xfId="40205" xr:uid="{6FDE3CAF-2EC4-4957-BA20-4FB48547B8CC}"/>
    <cellStyle name="Normal 2 4 2 5 2 7 3" xfId="31758" xr:uid="{EB41D47E-7D03-4DCC-AE23-2BEA6BEEE054}"/>
    <cellStyle name="Normal 2 4 2 5 2 7 4" xfId="23310" xr:uid="{C9847E82-2BDC-4673-A022-7153EA3063DA}"/>
    <cellStyle name="Normal 2 4 2 5 2 7 5" xfId="14013" xr:uid="{4F02A45B-7DFE-4366-9D90-8C9074852920}"/>
    <cellStyle name="Normal 2 4 2 5 2 8" xfId="9067" xr:uid="{89D5CB5A-ADE0-44B8-BC1E-FDE984B579C9}"/>
    <cellStyle name="Normal 2 4 2 5 2 8 2" xfId="35988" xr:uid="{24E1D133-F807-4DE3-95CB-9C3E6D063B26}"/>
    <cellStyle name="Normal 2 4 2 5 2 8 3" xfId="18390" xr:uid="{0D468F46-6BEB-4E46-ACE8-89F27BF32ADA}"/>
    <cellStyle name="Normal 2 4 2 5 2 9" xfId="27540" xr:uid="{F3E94A6B-9EE7-46FF-A73E-8868275C40F1}"/>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42763" xr:uid="{CF901823-8919-42B9-8F01-44731CF2E251}"/>
    <cellStyle name="Normal 2 4 2 5 3 2 2 3" xfId="34316" xr:uid="{BD4A2903-F70B-40A9-A7ED-53451A7FF992}"/>
    <cellStyle name="Normal 2 4 2 5 3 2 2 4" xfId="25868" xr:uid="{9C537F58-4F41-4CBD-A462-1B6269291777}"/>
    <cellStyle name="Normal 2 4 2 5 3 2 2 5" xfId="16571" xr:uid="{0E0FB441-856A-4472-9996-3FD8DD5A0D1E}"/>
    <cellStyle name="Normal 2 4 2 5 3 2 3" xfId="38546" xr:uid="{59A15C4B-4DBC-4AA0-8ABB-EE606B82C8A7}"/>
    <cellStyle name="Normal 2 4 2 5 3 2 4" xfId="30098" xr:uid="{129BFA59-8906-4BDA-9484-8E446E5DBF5A}"/>
    <cellStyle name="Normal 2 4 2 5 3 2 5" xfId="21651" xr:uid="{0215B354-BF14-48C5-8B54-E4A4CCFED2E8}"/>
    <cellStyle name="Normal 2 4 2 5 3 2 6" xfId="12354" xr:uid="{78054167-A244-402D-B4F0-13C2C992B1EA}"/>
    <cellStyle name="Normal 2 4 2 5 3 3" xfId="5100" xr:uid="{00000000-0005-0000-0000-00009E0F0000}"/>
    <cellStyle name="Normal 2 4 2 5 3 3 2" xfId="40618" xr:uid="{914115A3-CE13-479C-9A63-B3EDD8696812}"/>
    <cellStyle name="Normal 2 4 2 5 3 3 3" xfId="32171" xr:uid="{DF20E2C2-8A89-453D-AFE6-AC4E62AD9E45}"/>
    <cellStyle name="Normal 2 4 2 5 3 3 4" xfId="23723" xr:uid="{2D993841-40D0-4EB2-8529-514FBD57E69E}"/>
    <cellStyle name="Normal 2 4 2 5 3 3 5" xfId="14426" xr:uid="{B6B808F0-2855-456F-9A3D-849C03A9F496}"/>
    <cellStyle name="Normal 2 4 2 5 3 4" xfId="9285" xr:uid="{5DA39FB9-904E-46D3-8E24-58BF2F19DA5B}"/>
    <cellStyle name="Normal 2 4 2 5 3 4 2" xfId="36401" xr:uid="{1008637D-F696-4B31-B47D-622E19946B37}"/>
    <cellStyle name="Normal 2 4 2 5 3 4 3" xfId="18598" xr:uid="{14F340CB-05E3-4482-8230-73714B2657F9}"/>
    <cellStyle name="Normal 2 4 2 5 3 5" xfId="27953" xr:uid="{75149CB1-7F18-4A4B-8D02-03211BD7BB09}"/>
    <cellStyle name="Normal 2 4 2 5 3 6" xfId="19506" xr:uid="{3FA7B394-4959-4F2A-BEEB-92B329D0693E}"/>
    <cellStyle name="Normal 2 4 2 5 3 7" xfId="10209" xr:uid="{6F5273D5-EB77-4A39-B46C-6394DACA119F}"/>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43176" xr:uid="{16838F80-01A5-4827-8DA1-AD89EB142210}"/>
    <cellStyle name="Normal 2 4 2 5 4 2 2 3" xfId="34729" xr:uid="{8115C653-10D9-4E17-A6F1-0A95D961B4B0}"/>
    <cellStyle name="Normal 2 4 2 5 4 2 2 4" xfId="26281" xr:uid="{92188FD6-6C7D-4C1E-BC2C-CD6379D16957}"/>
    <cellStyle name="Normal 2 4 2 5 4 2 2 5" xfId="16984" xr:uid="{9C3D5397-64F5-49BF-A6DB-EEEDE2E532F7}"/>
    <cellStyle name="Normal 2 4 2 5 4 2 3" xfId="38959" xr:uid="{A6463415-99F8-456A-94AF-D8493C6B386C}"/>
    <cellStyle name="Normal 2 4 2 5 4 2 4" xfId="30511" xr:uid="{8E828BE5-28FD-4F1A-AD3F-09FA83AA02C4}"/>
    <cellStyle name="Normal 2 4 2 5 4 2 5" xfId="22064" xr:uid="{ED4ABD22-4526-4D21-8A40-7DF8EBD142FA}"/>
    <cellStyle name="Normal 2 4 2 5 4 2 6" xfId="12767" xr:uid="{71BBE13D-20ED-4A3C-B93A-7639340ED8C2}"/>
    <cellStyle name="Normal 2 4 2 5 4 3" xfId="5513" xr:uid="{00000000-0005-0000-0000-0000A20F0000}"/>
    <cellStyle name="Normal 2 4 2 5 4 3 2" xfId="41031" xr:uid="{93C69141-061E-4AF1-AB73-DDE339B5285F}"/>
    <cellStyle name="Normal 2 4 2 5 4 3 3" xfId="32584" xr:uid="{F01A1640-437A-43EC-BA02-CF5AC432FB74}"/>
    <cellStyle name="Normal 2 4 2 5 4 3 4" xfId="24136" xr:uid="{4E43849A-86E0-452B-BA41-652DA193001A}"/>
    <cellStyle name="Normal 2 4 2 5 4 3 5" xfId="14839" xr:uid="{ED9B9258-72BD-4113-A4B9-D3BB05973C62}"/>
    <cellStyle name="Normal 2 4 2 5 4 4" xfId="36814" xr:uid="{0B6F2048-9D34-4603-B232-D3B48B6E7E08}"/>
    <cellStyle name="Normal 2 4 2 5 4 5" xfId="28366" xr:uid="{5D82E9D2-DD66-4F6A-91BF-ECA5F226387B}"/>
    <cellStyle name="Normal 2 4 2 5 4 6" xfId="19919" xr:uid="{7E44B5C6-133E-4AE0-8492-619F8EE12BE2}"/>
    <cellStyle name="Normal 2 4 2 5 4 7" xfId="10622" xr:uid="{F3396C2F-4FAE-4F4D-BB7B-BF72B3D7DC14}"/>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43589" xr:uid="{C4CD8255-4F0A-40D2-948D-11CCB78C3730}"/>
    <cellStyle name="Normal 2 4 2 5 5 2 2 3" xfId="35142" xr:uid="{39C988D4-9D94-483F-ABF1-605C9A76428A}"/>
    <cellStyle name="Normal 2 4 2 5 5 2 2 4" xfId="26694" xr:uid="{AF67EF85-4500-4150-9AFC-FD8F53352487}"/>
    <cellStyle name="Normal 2 4 2 5 5 2 2 5" xfId="17397" xr:uid="{94224590-0374-4482-ABC8-62A8AD95796C}"/>
    <cellStyle name="Normal 2 4 2 5 5 2 3" xfId="39372" xr:uid="{0728BAC7-BDD2-474A-8C18-A624EDAF1A48}"/>
    <cellStyle name="Normal 2 4 2 5 5 2 4" xfId="30924" xr:uid="{AA167A3C-8E8C-42A3-9A55-792D28831417}"/>
    <cellStyle name="Normal 2 4 2 5 5 2 5" xfId="22477" xr:uid="{152A9E38-767D-4800-9E5D-8E0BC254B891}"/>
    <cellStyle name="Normal 2 4 2 5 5 2 6" xfId="13180" xr:uid="{0EC93731-F629-4B2D-84D9-E3B54B85AF32}"/>
    <cellStyle name="Normal 2 4 2 5 5 3" xfId="5926" xr:uid="{00000000-0005-0000-0000-0000A60F0000}"/>
    <cellStyle name="Normal 2 4 2 5 5 3 2" xfId="41444" xr:uid="{82C7D278-3D3D-4A6A-9D12-7998C9E84950}"/>
    <cellStyle name="Normal 2 4 2 5 5 3 3" xfId="32997" xr:uid="{EF4BAA6B-5015-49E5-82C4-1A5C7746E243}"/>
    <cellStyle name="Normal 2 4 2 5 5 3 4" xfId="24549" xr:uid="{10571E82-0210-4BF2-94C6-121DE6E547D0}"/>
    <cellStyle name="Normal 2 4 2 5 5 3 5" xfId="15252" xr:uid="{A8A43847-6DDD-480B-816C-05015550EB20}"/>
    <cellStyle name="Normal 2 4 2 5 5 4" xfId="37227" xr:uid="{247D37BC-A1AA-43AA-962D-D1CFA977841B}"/>
    <cellStyle name="Normal 2 4 2 5 5 5" xfId="28779" xr:uid="{48C1DD1A-A4C5-45EF-B22F-D936AF69A539}"/>
    <cellStyle name="Normal 2 4 2 5 5 6" xfId="20332" xr:uid="{FE7C9275-AC1D-45DE-A75D-C80CB1A6853C}"/>
    <cellStyle name="Normal 2 4 2 5 5 7" xfId="11035" xr:uid="{ABEADC24-89B2-48AE-82D5-40694E9E8643}"/>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44002" xr:uid="{52500FB4-232C-435C-9E40-FC8F88405EC5}"/>
    <cellStyle name="Normal 2 4 2 5 6 2 2 3" xfId="35555" xr:uid="{15CBE75F-9202-4192-A3AA-99C4AA92ECCD}"/>
    <cellStyle name="Normal 2 4 2 5 6 2 2 4" xfId="27107" xr:uid="{68DF379D-5D30-484E-8B43-15BA4D3D91BD}"/>
    <cellStyle name="Normal 2 4 2 5 6 2 2 5" xfId="17810" xr:uid="{8A9237B1-B8C2-4ACE-81EA-752126F8F38B}"/>
    <cellStyle name="Normal 2 4 2 5 6 2 3" xfId="39785" xr:uid="{6DBCA7E2-A5F1-4B6D-B842-01BC3F9CFB70}"/>
    <cellStyle name="Normal 2 4 2 5 6 2 4" xfId="31337" xr:uid="{B3C589D4-DBC2-4F06-894C-A7AFA786B558}"/>
    <cellStyle name="Normal 2 4 2 5 6 2 5" xfId="22890" xr:uid="{1015CFAE-3BB8-40BA-AE17-BBE34B930275}"/>
    <cellStyle name="Normal 2 4 2 5 6 2 6" xfId="13593" xr:uid="{997D4A73-7EC1-4F20-998A-1A1B74D8EEFC}"/>
    <cellStyle name="Normal 2 4 2 5 6 3" xfId="6339" xr:uid="{00000000-0005-0000-0000-0000AA0F0000}"/>
    <cellStyle name="Normal 2 4 2 5 6 3 2" xfId="41857" xr:uid="{1B654E3B-CC30-4FC7-B196-D811B21E7842}"/>
    <cellStyle name="Normal 2 4 2 5 6 3 3" xfId="33410" xr:uid="{3E246D17-A94C-488F-B4B8-D73B2C614869}"/>
    <cellStyle name="Normal 2 4 2 5 6 3 4" xfId="24962" xr:uid="{A7CDA40D-A381-4970-AA36-F49EACCDBFAE}"/>
    <cellStyle name="Normal 2 4 2 5 6 3 5" xfId="15665" xr:uid="{5329960B-A105-4CC8-9673-EC1AFF77B2A3}"/>
    <cellStyle name="Normal 2 4 2 5 6 4" xfId="37640" xr:uid="{B88C078F-831D-4F57-BD8F-A3F5BED11915}"/>
    <cellStyle name="Normal 2 4 2 5 6 5" xfId="29192" xr:uid="{A4BA6472-12F4-4BB6-8F9A-C91F83993D86}"/>
    <cellStyle name="Normal 2 4 2 5 6 6" xfId="20745" xr:uid="{A6667478-DB85-41A9-A69E-263408527860}"/>
    <cellStyle name="Normal 2 4 2 5 6 7" xfId="11448" xr:uid="{4BFB9099-C77E-4CCB-B090-8555DCD3F3A9}"/>
    <cellStyle name="Normal 2 4 2 5 7" xfId="2469" xr:uid="{00000000-0005-0000-0000-0000AB0F0000}"/>
    <cellStyle name="Normal 2 4 2 5 7 2" xfId="6752" xr:uid="{00000000-0005-0000-0000-0000AC0F0000}"/>
    <cellStyle name="Normal 2 4 2 5 7 2 2" xfId="42270" xr:uid="{F7268E0B-7090-4A97-9D36-BFF78ADA8477}"/>
    <cellStyle name="Normal 2 4 2 5 7 2 3" xfId="33823" xr:uid="{61A32168-9095-4BB9-99F6-8E60E7FBF56D}"/>
    <cellStyle name="Normal 2 4 2 5 7 2 4" xfId="25375" xr:uid="{CFA962BF-4C3D-48EB-B8C9-4532FBF8AA78}"/>
    <cellStyle name="Normal 2 4 2 5 7 2 5" xfId="16078" xr:uid="{E76EA043-D83A-4CB1-8C08-2F7AB137E705}"/>
    <cellStyle name="Normal 2 4 2 5 7 3" xfId="38053" xr:uid="{A5EAF375-512D-427D-A9E4-36DFB1760660}"/>
    <cellStyle name="Normal 2 4 2 5 7 4" xfId="29605" xr:uid="{53FA03FF-78CB-4BCF-BABD-BA2F67DC466D}"/>
    <cellStyle name="Normal 2 4 2 5 7 5" xfId="21158" xr:uid="{EAAEADD8-CBCA-48A6-B74A-6DBA8802644A}"/>
    <cellStyle name="Normal 2 4 2 5 7 6" xfId="11861" xr:uid="{8AE3BC44-7EA8-4C22-B4BA-E86B48CF7DA8}"/>
    <cellStyle name="Normal 2 4 2 5 8" xfId="4686" xr:uid="{00000000-0005-0000-0000-0000AD0F0000}"/>
    <cellStyle name="Normal 2 4 2 5 8 2" xfId="40204" xr:uid="{F259842B-E3B7-48C1-BFE3-80B10E6A46F8}"/>
    <cellStyle name="Normal 2 4 2 5 8 3" xfId="31757" xr:uid="{995837FA-8F98-40D2-9B7C-3CC1F09AB462}"/>
    <cellStyle name="Normal 2 4 2 5 8 4" xfId="23309" xr:uid="{6DDADE39-0525-497D-9C99-42B58F5377A8}"/>
    <cellStyle name="Normal 2 4 2 5 8 5" xfId="14012" xr:uid="{9B2585E2-C1A2-4978-A43B-5E705C32A1EE}"/>
    <cellStyle name="Normal 2 4 2 5 9" xfId="8860" xr:uid="{5FAFEFC0-3249-464B-9F12-2B1DA137C588}"/>
    <cellStyle name="Normal 2 4 2 5 9 2" xfId="35987" xr:uid="{C95C2F20-0EDE-4CA2-BDCC-1A1B7A49762B}"/>
    <cellStyle name="Normal 2 4 2 5 9 3" xfId="18183" xr:uid="{B7FFEC84-3DBE-46DC-89F7-D62CDF5480F7}"/>
    <cellStyle name="Normal 2 4 2 6" xfId="295" xr:uid="{00000000-0005-0000-0000-0000AE0F0000}"/>
    <cellStyle name="Normal 2 4 2 6 10" xfId="19094" xr:uid="{53DCFB2D-2141-4814-BA40-9B09DBB869DA}"/>
    <cellStyle name="Normal 2 4 2 6 11" xfId="9797" xr:uid="{B6BF402C-4C0C-4D64-B6CC-8B7B8202B6F0}"/>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42765" xr:uid="{9019448A-F17A-46FC-820A-25207C467285}"/>
    <cellStyle name="Normal 2 4 2 6 2 2 2 3" xfId="34318" xr:uid="{16CE6FEF-E301-4F3A-B8DA-9ABA2513A3B2}"/>
    <cellStyle name="Normal 2 4 2 6 2 2 2 4" xfId="25870" xr:uid="{7D993B53-786D-47FA-A7DB-01E5684BFF14}"/>
    <cellStyle name="Normal 2 4 2 6 2 2 2 5" xfId="16573" xr:uid="{ADABDFAF-F749-4151-8500-91B61B49AA8C}"/>
    <cellStyle name="Normal 2 4 2 6 2 2 3" xfId="38548" xr:uid="{E62B1AB6-8647-4BEB-B9F8-33B23600B303}"/>
    <cellStyle name="Normal 2 4 2 6 2 2 4" xfId="30100" xr:uid="{0508E965-9111-4447-A2E3-8E9C7AC38F43}"/>
    <cellStyle name="Normal 2 4 2 6 2 2 5" xfId="21653" xr:uid="{82CA11E0-9266-4B76-A629-4DC9E2CF5028}"/>
    <cellStyle name="Normal 2 4 2 6 2 2 6" xfId="12356" xr:uid="{2BC10179-2B73-4D52-BFA8-953970CC5AFD}"/>
    <cellStyle name="Normal 2 4 2 6 2 3" xfId="5102" xr:uid="{00000000-0005-0000-0000-0000B20F0000}"/>
    <cellStyle name="Normal 2 4 2 6 2 3 2" xfId="40620" xr:uid="{85D91C33-11FD-4A04-9713-610BCE6839CB}"/>
    <cellStyle name="Normal 2 4 2 6 2 3 3" xfId="32173" xr:uid="{59B79862-9449-4408-97FD-722EAF046E88}"/>
    <cellStyle name="Normal 2 4 2 6 2 3 4" xfId="23725" xr:uid="{A75FC607-4367-4860-A367-A84502A02231}"/>
    <cellStyle name="Normal 2 4 2 6 2 3 5" xfId="14428" xr:uid="{25FF59A8-6BA4-4B34-8348-DB61C0F1F849}"/>
    <cellStyle name="Normal 2 4 2 6 2 4" xfId="9401" xr:uid="{C89DD342-23DD-474B-84C5-F9DED42F169B}"/>
    <cellStyle name="Normal 2 4 2 6 2 4 2" xfId="36403" xr:uid="{5DA534F2-C5E5-4053-8E5C-F1688E32AE07}"/>
    <cellStyle name="Normal 2 4 2 6 2 4 3" xfId="18714" xr:uid="{5226CD8B-CC2B-4DEC-8F53-4691CA1CC526}"/>
    <cellStyle name="Normal 2 4 2 6 2 5" xfId="27955" xr:uid="{95F817F0-F73A-4E0D-AC1C-EE6A534497B2}"/>
    <cellStyle name="Normal 2 4 2 6 2 6" xfId="19508" xr:uid="{5BF5C902-EEA3-4FF5-8AB1-0F53FC0539BF}"/>
    <cellStyle name="Normal 2 4 2 6 2 7" xfId="10211" xr:uid="{45D3C58F-1C54-4EA1-86AE-60D91E568491}"/>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43178" xr:uid="{9EA9D0DC-3EC4-4D99-9435-C58F19915824}"/>
    <cellStyle name="Normal 2 4 2 6 3 2 2 3" xfId="34731" xr:uid="{73377640-486F-4173-A03E-BB53D16CBA1F}"/>
    <cellStyle name="Normal 2 4 2 6 3 2 2 4" xfId="26283" xr:uid="{3ACB8E2A-F83F-4578-A254-2EC7BDB4F6F4}"/>
    <cellStyle name="Normal 2 4 2 6 3 2 2 5" xfId="16986" xr:uid="{CE56A555-F2AD-429A-AE58-984175B84281}"/>
    <cellStyle name="Normal 2 4 2 6 3 2 3" xfId="38961" xr:uid="{006126BF-B36C-4C56-A824-9841C041B4FF}"/>
    <cellStyle name="Normal 2 4 2 6 3 2 4" xfId="30513" xr:uid="{B02D9427-5AA8-4C1A-8C38-554ECAC6A74A}"/>
    <cellStyle name="Normal 2 4 2 6 3 2 5" xfId="22066" xr:uid="{359D31CE-EFF1-4EBB-8FB4-AC5AA1D0B0C1}"/>
    <cellStyle name="Normal 2 4 2 6 3 2 6" xfId="12769" xr:uid="{CDD7B821-1496-4083-A0EF-FE90882BE52C}"/>
    <cellStyle name="Normal 2 4 2 6 3 3" xfId="5515" xr:uid="{00000000-0005-0000-0000-0000B60F0000}"/>
    <cellStyle name="Normal 2 4 2 6 3 3 2" xfId="41033" xr:uid="{8A9CBE37-44BB-44AD-BEF1-9F6927D7002D}"/>
    <cellStyle name="Normal 2 4 2 6 3 3 3" xfId="32586" xr:uid="{34B7B3AD-3301-4BCF-91A1-E935A8976CC2}"/>
    <cellStyle name="Normal 2 4 2 6 3 3 4" xfId="24138" xr:uid="{54B8207C-8146-49BC-ABEE-574AF8D2980B}"/>
    <cellStyle name="Normal 2 4 2 6 3 3 5" xfId="14841" xr:uid="{273CB405-7364-4337-99B0-8714815F17FD}"/>
    <cellStyle name="Normal 2 4 2 6 3 4" xfId="36816" xr:uid="{4985E55F-BBBB-424D-A58E-4FF7EFC2712B}"/>
    <cellStyle name="Normal 2 4 2 6 3 5" xfId="28368" xr:uid="{512CE076-1B22-4D15-AB35-A1C3E5B8A694}"/>
    <cellStyle name="Normal 2 4 2 6 3 6" xfId="19921" xr:uid="{5994B226-7A4B-4E36-93A7-F05BB4549AA8}"/>
    <cellStyle name="Normal 2 4 2 6 3 7" xfId="10624" xr:uid="{FFF0BEDD-397A-4BDF-A426-E0797DE470B7}"/>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43591" xr:uid="{0914C567-8BFF-4703-B83F-751EA6FC12D6}"/>
    <cellStyle name="Normal 2 4 2 6 4 2 2 3" xfId="35144" xr:uid="{3D804951-DF03-4E93-9549-4360770BFE44}"/>
    <cellStyle name="Normal 2 4 2 6 4 2 2 4" xfId="26696" xr:uid="{F162307D-F45F-454B-A7BF-A6899CC14524}"/>
    <cellStyle name="Normal 2 4 2 6 4 2 2 5" xfId="17399" xr:uid="{95724953-89D7-48C3-81B3-72415E7EA194}"/>
    <cellStyle name="Normal 2 4 2 6 4 2 3" xfId="39374" xr:uid="{A276C24F-0288-453B-9802-EC31A217634B}"/>
    <cellStyle name="Normal 2 4 2 6 4 2 4" xfId="30926" xr:uid="{B7C98BE5-7E8D-47F8-ACDC-EB14164FA5C8}"/>
    <cellStyle name="Normal 2 4 2 6 4 2 5" xfId="22479" xr:uid="{FC7FFBB5-EC8E-4780-8878-53C200E26079}"/>
    <cellStyle name="Normal 2 4 2 6 4 2 6" xfId="13182" xr:uid="{8E1452EA-635F-4100-B14A-40D1993C9B0E}"/>
    <cellStyle name="Normal 2 4 2 6 4 3" xfId="5928" xr:uid="{00000000-0005-0000-0000-0000BA0F0000}"/>
    <cellStyle name="Normal 2 4 2 6 4 3 2" xfId="41446" xr:uid="{C07C31D5-DB64-44AD-93EE-62D22434DB66}"/>
    <cellStyle name="Normal 2 4 2 6 4 3 3" xfId="32999" xr:uid="{85F438AD-E5BF-4B4D-AF7D-B0DFD287D6FD}"/>
    <cellStyle name="Normal 2 4 2 6 4 3 4" xfId="24551" xr:uid="{0CB71263-B28A-439B-B471-72C43F526335}"/>
    <cellStyle name="Normal 2 4 2 6 4 3 5" xfId="15254" xr:uid="{1B5D5193-2382-47D2-94F2-8507C9A435BB}"/>
    <cellStyle name="Normal 2 4 2 6 4 4" xfId="37229" xr:uid="{9EF2B35C-5685-4883-B618-4C0D092546B4}"/>
    <cellStyle name="Normal 2 4 2 6 4 5" xfId="28781" xr:uid="{F91E3876-8A7A-4254-A350-F2C05E7CAC93}"/>
    <cellStyle name="Normal 2 4 2 6 4 6" xfId="20334" xr:uid="{726A622F-18EF-429A-BA27-5B22EE1A4D0B}"/>
    <cellStyle name="Normal 2 4 2 6 4 7" xfId="11037" xr:uid="{BACCA57B-F0CF-4BA9-941A-DE6A3FC2F157}"/>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44004" xr:uid="{D8B77CA7-F64D-4500-852B-6ABD9923DD76}"/>
    <cellStyle name="Normal 2 4 2 6 5 2 2 3" xfId="35557" xr:uid="{FC280AB4-052D-48AE-9B5F-6FFFC4545E6F}"/>
    <cellStyle name="Normal 2 4 2 6 5 2 2 4" xfId="27109" xr:uid="{FE2D36C4-1046-4479-B5F4-52BEE8E5CEB1}"/>
    <cellStyle name="Normal 2 4 2 6 5 2 2 5" xfId="17812" xr:uid="{6060C56E-ABC6-4431-B172-8094AEE05175}"/>
    <cellStyle name="Normal 2 4 2 6 5 2 3" xfId="39787" xr:uid="{79A914F9-9F67-4C2B-B9BE-6C02E5088B90}"/>
    <cellStyle name="Normal 2 4 2 6 5 2 4" xfId="31339" xr:uid="{DC66BFCA-1DD6-4C75-8188-F062F2B592C1}"/>
    <cellStyle name="Normal 2 4 2 6 5 2 5" xfId="22892" xr:uid="{14B12BFD-2072-4D1B-8DC2-DAD517E9FECD}"/>
    <cellStyle name="Normal 2 4 2 6 5 2 6" xfId="13595" xr:uid="{B30DF925-1DE4-4B63-A399-5A05566593AD}"/>
    <cellStyle name="Normal 2 4 2 6 5 3" xfId="6341" xr:uid="{00000000-0005-0000-0000-0000BE0F0000}"/>
    <cellStyle name="Normal 2 4 2 6 5 3 2" xfId="41859" xr:uid="{1673BAFD-7174-4FA5-98DB-D9E4E1AAE515}"/>
    <cellStyle name="Normal 2 4 2 6 5 3 3" xfId="33412" xr:uid="{338F5774-8EC6-4C7B-A968-945D7E78C72C}"/>
    <cellStyle name="Normal 2 4 2 6 5 3 4" xfId="24964" xr:uid="{D3514FD0-E633-4A79-96D0-B454699762BA}"/>
    <cellStyle name="Normal 2 4 2 6 5 3 5" xfId="15667" xr:uid="{5548D3DA-7597-45D2-9F89-B2840EBFBD67}"/>
    <cellStyle name="Normal 2 4 2 6 5 4" xfId="37642" xr:uid="{995AD286-8051-431C-BA38-E6C6A26BC6E5}"/>
    <cellStyle name="Normal 2 4 2 6 5 5" xfId="29194" xr:uid="{295C2384-0983-4CC1-8064-C1FC8FF27132}"/>
    <cellStyle name="Normal 2 4 2 6 5 6" xfId="20747" xr:uid="{EE08A7D8-A8BA-4D38-96B9-92EE840B2E24}"/>
    <cellStyle name="Normal 2 4 2 6 5 7" xfId="11450" xr:uid="{69021731-5A18-448D-AAFB-68CE680771F6}"/>
    <cellStyle name="Normal 2 4 2 6 6" xfId="2471" xr:uid="{00000000-0005-0000-0000-0000BF0F0000}"/>
    <cellStyle name="Normal 2 4 2 6 6 2" xfId="6754" xr:uid="{00000000-0005-0000-0000-0000C00F0000}"/>
    <cellStyle name="Normal 2 4 2 6 6 2 2" xfId="42272" xr:uid="{4EC19D12-CBDF-4150-8734-6F522C7B0D3F}"/>
    <cellStyle name="Normal 2 4 2 6 6 2 3" xfId="33825" xr:uid="{FC21C064-F215-4276-B842-E598D060BC7A}"/>
    <cellStyle name="Normal 2 4 2 6 6 2 4" xfId="25377" xr:uid="{7D8C8187-8B19-45CD-8033-5209CDEA7100}"/>
    <cellStyle name="Normal 2 4 2 6 6 2 5" xfId="16080" xr:uid="{36AC7969-2C58-4C6F-A92C-81DFEB808891}"/>
    <cellStyle name="Normal 2 4 2 6 6 3" xfId="38055" xr:uid="{DAFDC301-D6D1-46CF-814E-A7EF3302FEDE}"/>
    <cellStyle name="Normal 2 4 2 6 6 4" xfId="29607" xr:uid="{62A2F083-3281-40F8-B88A-E136B6196F8F}"/>
    <cellStyle name="Normal 2 4 2 6 6 5" xfId="21160" xr:uid="{EC330DB9-E139-4D39-806E-184D3EE4507C}"/>
    <cellStyle name="Normal 2 4 2 6 6 6" xfId="11863" xr:uid="{1E7F82F4-9B25-4D81-917F-D78B6A70FBD5}"/>
    <cellStyle name="Normal 2 4 2 6 7" xfId="4688" xr:uid="{00000000-0005-0000-0000-0000C10F0000}"/>
    <cellStyle name="Normal 2 4 2 6 7 2" xfId="40206" xr:uid="{D44634B3-8744-4452-9865-B74D9C7ADFA1}"/>
    <cellStyle name="Normal 2 4 2 6 7 3" xfId="31759" xr:uid="{0029BD4D-4FD2-4161-A7FC-DB7B7E31DA37}"/>
    <cellStyle name="Normal 2 4 2 6 7 4" xfId="23311" xr:uid="{75230788-AF12-487C-B70A-0CF6A36CC339}"/>
    <cellStyle name="Normal 2 4 2 6 7 5" xfId="14014" xr:uid="{4573637D-1693-4B09-B6F9-8590AE960E56}"/>
    <cellStyle name="Normal 2 4 2 6 8" xfId="8976" xr:uid="{6DEAFF8C-68CB-4364-A161-479509F453AE}"/>
    <cellStyle name="Normal 2 4 2 6 8 2" xfId="35989" xr:uid="{5306AD79-3ED8-498A-8AC4-FB5732C8DC47}"/>
    <cellStyle name="Normal 2 4 2 6 8 3" xfId="18299" xr:uid="{A9854C39-8F36-4D39-A5CB-1FD2C2C4300A}"/>
    <cellStyle name="Normal 2 4 2 6 9" xfId="27541" xr:uid="{DCC0E3BE-13C8-45B5-A349-3C82E96D71EE}"/>
    <cellStyle name="Normal 2 4 2 7" xfId="771" xr:uid="{00000000-0005-0000-0000-0000C20F0000}"/>
    <cellStyle name="Normal 2 4 2 7 2" xfId="3010" xr:uid="{00000000-0005-0000-0000-0000C30F0000}"/>
    <cellStyle name="Normal 2 4 2 7 2 2" xfId="7232" xr:uid="{00000000-0005-0000-0000-0000C40F0000}"/>
    <cellStyle name="Normal 2 4 2 7 2 2 2" xfId="42750" xr:uid="{EE984813-D9C2-4212-B59E-8668BE789B8A}"/>
    <cellStyle name="Normal 2 4 2 7 2 2 3" xfId="34303" xr:uid="{674088DE-B41B-404C-A4AE-80D5FD64FCED}"/>
    <cellStyle name="Normal 2 4 2 7 2 2 4" xfId="25855" xr:uid="{96C85610-5B91-4683-92D5-B7C16437400A}"/>
    <cellStyle name="Normal 2 4 2 7 2 2 5" xfId="16558" xr:uid="{828E55EC-3E9C-4F1E-8508-B755CC78808A}"/>
    <cellStyle name="Normal 2 4 2 7 2 3" xfId="38533" xr:uid="{77FCA356-04A6-4386-A495-3D6E327EF395}"/>
    <cellStyle name="Normal 2 4 2 7 2 4" xfId="30085" xr:uid="{D0911BCF-8CBA-4109-B92A-2645F94AE72F}"/>
    <cellStyle name="Normal 2 4 2 7 2 5" xfId="21638" xr:uid="{87E52D1A-2B22-44FC-94AA-5BACA6247513}"/>
    <cellStyle name="Normal 2 4 2 7 2 6" xfId="12341" xr:uid="{D3715A79-2436-47EF-8937-CA8073DA9694}"/>
    <cellStyle name="Normal 2 4 2 7 3" xfId="5087" xr:uid="{00000000-0005-0000-0000-0000C50F0000}"/>
    <cellStyle name="Normal 2 4 2 7 3 2" xfId="40605" xr:uid="{8CC0DB4D-1A5F-40A2-B385-89E93A91F4FC}"/>
    <cellStyle name="Normal 2 4 2 7 3 3" xfId="32158" xr:uid="{51AFE9F1-E7E1-4F38-B357-20B63C7BC3C3}"/>
    <cellStyle name="Normal 2 4 2 7 3 4" xfId="23710" xr:uid="{70447556-844E-43AA-AD85-F99DF2A17446}"/>
    <cellStyle name="Normal 2 4 2 7 3 5" xfId="14413" xr:uid="{7677A961-AF23-408A-8491-924D14B314BD}"/>
    <cellStyle name="Normal 2 4 2 7 4" xfId="9179" xr:uid="{D1C44CED-398E-43B3-AFA3-1E7DC60C5D92}"/>
    <cellStyle name="Normal 2 4 2 7 4 2" xfId="36388" xr:uid="{FE110927-E04D-465F-AF86-DB6F7AAF1F6A}"/>
    <cellStyle name="Normal 2 4 2 7 4 3" xfId="18495" xr:uid="{551EC321-9CE1-4D2E-A555-AA066FFF068A}"/>
    <cellStyle name="Normal 2 4 2 7 5" xfId="27940" xr:uid="{2659ACD2-AF5B-4BF8-988A-B2B470CDF496}"/>
    <cellStyle name="Normal 2 4 2 7 6" xfId="19493" xr:uid="{E0A85336-DDA4-44B4-8E78-ED387E1B727B}"/>
    <cellStyle name="Normal 2 4 2 7 7" xfId="10196" xr:uid="{40B04849-FFAE-42A7-B011-3EE438A002D3}"/>
    <cellStyle name="Normal 2 4 2 8" xfId="1193" xr:uid="{00000000-0005-0000-0000-0000C60F0000}"/>
    <cellStyle name="Normal 2 4 2 8 2" xfId="3423" xr:uid="{00000000-0005-0000-0000-0000C70F0000}"/>
    <cellStyle name="Normal 2 4 2 8 2 2" xfId="7645" xr:uid="{00000000-0005-0000-0000-0000C80F0000}"/>
    <cellStyle name="Normal 2 4 2 8 2 2 2" xfId="43163" xr:uid="{5B153307-39BD-4D70-9650-36100ADE283A}"/>
    <cellStyle name="Normal 2 4 2 8 2 2 3" xfId="34716" xr:uid="{C46D56E9-EF9F-4F3A-9D86-C0F3A34252D3}"/>
    <cellStyle name="Normal 2 4 2 8 2 2 4" xfId="26268" xr:uid="{61978023-A7E3-42F3-8F50-5DC21305CBA0}"/>
    <cellStyle name="Normal 2 4 2 8 2 2 5" xfId="16971" xr:uid="{7395472A-EC7D-4FB0-987F-A21FCF7BD939}"/>
    <cellStyle name="Normal 2 4 2 8 2 3" xfId="38946" xr:uid="{74F4E0D7-61EA-4779-AE95-635987A700C7}"/>
    <cellStyle name="Normal 2 4 2 8 2 4" xfId="30498" xr:uid="{AF0FE937-F989-4C4A-ABEE-1F5AC6C76289}"/>
    <cellStyle name="Normal 2 4 2 8 2 5" xfId="22051" xr:uid="{A6A1A20F-8876-4879-A943-4289CCBB3E84}"/>
    <cellStyle name="Normal 2 4 2 8 2 6" xfId="12754" xr:uid="{67297782-793C-4061-A8E7-80F716909AC1}"/>
    <cellStyle name="Normal 2 4 2 8 3" xfId="5500" xr:uid="{00000000-0005-0000-0000-0000C90F0000}"/>
    <cellStyle name="Normal 2 4 2 8 3 2" xfId="41018" xr:uid="{5091EE31-4998-4530-BED5-6F9D28948595}"/>
    <cellStyle name="Normal 2 4 2 8 3 3" xfId="32571" xr:uid="{15D1F0AB-035A-407E-9FA3-96818A0ACFF1}"/>
    <cellStyle name="Normal 2 4 2 8 3 4" xfId="24123" xr:uid="{3D87D102-72F3-4B01-AF31-EF7FDD06F724}"/>
    <cellStyle name="Normal 2 4 2 8 3 5" xfId="14826" xr:uid="{B1FAB57E-B1E6-4D60-A3E1-0BBBF503CA40}"/>
    <cellStyle name="Normal 2 4 2 8 4" xfId="36801" xr:uid="{5ED0719A-184D-4886-BAFF-AB1342C97DE9}"/>
    <cellStyle name="Normal 2 4 2 8 5" xfId="28353" xr:uid="{0A667E24-E1FA-4422-979B-9DCB799E02CA}"/>
    <cellStyle name="Normal 2 4 2 8 6" xfId="19906" xr:uid="{575CAA9B-D999-4085-9E4D-267C76083DB1}"/>
    <cellStyle name="Normal 2 4 2 8 7" xfId="10609" xr:uid="{BF076DE8-48AB-4F9E-B891-354FBE1263AF}"/>
    <cellStyle name="Normal 2 4 2 9" xfId="1606" xr:uid="{00000000-0005-0000-0000-0000CA0F0000}"/>
    <cellStyle name="Normal 2 4 2 9 2" xfId="3836" xr:uid="{00000000-0005-0000-0000-0000CB0F0000}"/>
    <cellStyle name="Normal 2 4 2 9 2 2" xfId="8058" xr:uid="{00000000-0005-0000-0000-0000CC0F0000}"/>
    <cellStyle name="Normal 2 4 2 9 2 2 2" xfId="43576" xr:uid="{D6B44804-A23B-4AEC-B5AE-913E39FA6985}"/>
    <cellStyle name="Normal 2 4 2 9 2 2 3" xfId="35129" xr:uid="{0B953A3A-58CF-4149-BDAF-396DAC4D0353}"/>
    <cellStyle name="Normal 2 4 2 9 2 2 4" xfId="26681" xr:uid="{E41032D0-8F44-4B1C-8223-84C6EDFE25B2}"/>
    <cellStyle name="Normal 2 4 2 9 2 2 5" xfId="17384" xr:uid="{154BD9BA-D2A7-4D36-A6B2-BF4D1F5D9B8A}"/>
    <cellStyle name="Normal 2 4 2 9 2 3" xfId="39359" xr:uid="{69B74BC8-CDB6-4992-9644-4537528E0E0D}"/>
    <cellStyle name="Normal 2 4 2 9 2 4" xfId="30911" xr:uid="{EDC8F1A1-3926-48C4-A752-0B8855B4B62E}"/>
    <cellStyle name="Normal 2 4 2 9 2 5" xfId="22464" xr:uid="{50E83A6C-F96D-4EB8-992F-159FFC36AED8}"/>
    <cellStyle name="Normal 2 4 2 9 2 6" xfId="13167" xr:uid="{EF3C14C1-FD05-4A98-AC88-78110EA50D0F}"/>
    <cellStyle name="Normal 2 4 2 9 3" xfId="5913" xr:uid="{00000000-0005-0000-0000-0000CD0F0000}"/>
    <cellStyle name="Normal 2 4 2 9 3 2" xfId="41431" xr:uid="{4DDDCC65-ADDB-43FF-8882-7EC759AB1190}"/>
    <cellStyle name="Normal 2 4 2 9 3 3" xfId="32984" xr:uid="{FEFBC8DA-15D2-4077-9EB9-65F501AB6023}"/>
    <cellStyle name="Normal 2 4 2 9 3 4" xfId="24536" xr:uid="{1EB2B7A6-27C4-4394-99DB-B326D07EBBE5}"/>
    <cellStyle name="Normal 2 4 2 9 3 5" xfId="15239" xr:uid="{4387FBA7-7185-4208-8DFB-5DAE665B9938}"/>
    <cellStyle name="Normal 2 4 2 9 4" xfId="37214" xr:uid="{F5E6EBB0-999B-44C0-9411-75A9EA5B2A1F}"/>
    <cellStyle name="Normal 2 4 2 9 5" xfId="28766" xr:uid="{39F0658B-4448-4000-9C8C-6D53397F4931}"/>
    <cellStyle name="Normal 2 4 2 9 6" xfId="20319" xr:uid="{D5F0D3C2-20CF-4E53-8506-8E781E3C029E}"/>
    <cellStyle name="Normal 2 4 2 9 7" xfId="11022" xr:uid="{8EEC0023-263C-4282-B69C-D9094424EBB6}"/>
    <cellStyle name="Normal 2 4 3" xfId="296" xr:uid="{00000000-0005-0000-0000-0000CE0F0000}"/>
    <cellStyle name="Normal 2 4 3 10" xfId="35990" xr:uid="{8CC49335-E164-4362-9DF4-E4748094BD86}"/>
    <cellStyle name="Normal 2 4 3 11" xfId="27542" xr:uid="{5876DF41-BA80-4A42-9516-A913CD0988AF}"/>
    <cellStyle name="Normal 2 4 3 12" xfId="19095" xr:uid="{94FC1795-0A52-4B7E-AFD7-503FF73D94FB}"/>
    <cellStyle name="Normal 2 4 3 13" xfId="9798" xr:uid="{57627395-F7C6-4505-B9D6-8B501A09A789}"/>
    <cellStyle name="Normal 2 4 3 2" xfId="297" xr:uid="{00000000-0005-0000-0000-0000CF0F0000}"/>
    <cellStyle name="Normal 2 4 3 3" xfId="298" xr:uid="{00000000-0005-0000-0000-0000D00F0000}"/>
    <cellStyle name="Normal 2 4 3 3 10" xfId="8814" xr:uid="{F78EFD99-FCC5-4915-ACA3-DFC3FC0D45A5}"/>
    <cellStyle name="Normal 2 4 3 3 10 2" xfId="35991" xr:uid="{9C874689-6835-4AF1-A6DA-9BD2D10559A2}"/>
    <cellStyle name="Normal 2 4 3 3 10 3" xfId="18137" xr:uid="{766E6A46-FA10-4E10-986C-3D7DFCD605C7}"/>
    <cellStyle name="Normal 2 4 3 3 11" xfId="27543" xr:uid="{F262EDC3-91BA-4702-B3F8-DE5CB12DA0B9}"/>
    <cellStyle name="Normal 2 4 3 3 12" xfId="19096" xr:uid="{5ED223B2-1D6B-43E3-BD27-3ECB17FE608C}"/>
    <cellStyle name="Normal 2 4 3 3 13" xfId="9799" xr:uid="{92BCA10D-1662-4A36-B343-1C280902D534}"/>
    <cellStyle name="Normal 2 4 3 3 2" xfId="299" xr:uid="{00000000-0005-0000-0000-0000D10F0000}"/>
    <cellStyle name="Normal 2 4 3 3 2 10" xfId="27544" xr:uid="{342C1825-972B-4B6D-A20A-B82700D958B8}"/>
    <cellStyle name="Normal 2 4 3 3 2 11" xfId="19097" xr:uid="{468F01E6-BA75-4CCC-81D4-0DECA131CD16}"/>
    <cellStyle name="Normal 2 4 3 3 2 12" xfId="9800" xr:uid="{F6B2EF64-F1B3-405E-BC7F-28D537C8B311}"/>
    <cellStyle name="Normal 2 4 3 3 2 2" xfId="300" xr:uid="{00000000-0005-0000-0000-0000D20F0000}"/>
    <cellStyle name="Normal 2 4 3 3 2 2 10" xfId="19098" xr:uid="{E5B0407D-C88D-45DC-AE43-AB3AE47E4FB0}"/>
    <cellStyle name="Normal 2 4 3 3 2 2 11" xfId="9801" xr:uid="{22B93A88-4672-478B-8D23-5822D75D2361}"/>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42769" xr:uid="{CF739E5F-DF45-4E48-876A-529CDB5FEC48}"/>
    <cellStyle name="Normal 2 4 3 3 2 2 2 2 2 3" xfId="34322" xr:uid="{359751FA-91D6-41D0-BDB7-A3E5AEF59A72}"/>
    <cellStyle name="Normal 2 4 3 3 2 2 2 2 2 4" xfId="25874" xr:uid="{25D99C40-BC17-406B-8A5F-40202B6CCB89}"/>
    <cellStyle name="Normal 2 4 3 3 2 2 2 2 2 5" xfId="16577" xr:uid="{5571DDB8-7F19-4ACF-B1FA-C0B40AB44D03}"/>
    <cellStyle name="Normal 2 4 3 3 2 2 2 2 3" xfId="38552" xr:uid="{32526DCF-E47A-4F88-BCF3-15196F7652D3}"/>
    <cellStyle name="Normal 2 4 3 3 2 2 2 2 4" xfId="30104" xr:uid="{85F7A27C-F9F3-4F15-AC62-5A4F7A8C140F}"/>
    <cellStyle name="Normal 2 4 3 3 2 2 2 2 5" xfId="21657" xr:uid="{0BC619A1-E53C-4504-97B8-6A1A91BFCFF5}"/>
    <cellStyle name="Normal 2 4 3 3 2 2 2 2 6" xfId="12360" xr:uid="{1A3D951F-1EBA-4131-8C7F-0AA5BD61CB42}"/>
    <cellStyle name="Normal 2 4 3 3 2 2 2 3" xfId="5106" xr:uid="{00000000-0005-0000-0000-0000D60F0000}"/>
    <cellStyle name="Normal 2 4 3 3 2 2 2 3 2" xfId="40624" xr:uid="{C17FEC8C-59FE-4164-80A5-C38FA2AF13B4}"/>
    <cellStyle name="Normal 2 4 3 3 2 2 2 3 3" xfId="32177" xr:uid="{7BB271D3-CFAB-46C1-A411-E61A153BB85E}"/>
    <cellStyle name="Normal 2 4 3 3 2 2 2 3 4" xfId="23729" xr:uid="{51438B19-E90F-46C9-B748-06B5D4DC802F}"/>
    <cellStyle name="Normal 2 4 3 3 2 2 2 3 5" xfId="14432" xr:uid="{EA505D4D-41D7-4966-9CB9-8B5FAA945146}"/>
    <cellStyle name="Normal 2 4 3 3 2 2 2 4" xfId="9549" xr:uid="{EA88B7BC-E37D-4688-A768-0D7FE5EF9F42}"/>
    <cellStyle name="Normal 2 4 3 3 2 2 2 4 2" xfId="36407" xr:uid="{FCE92C36-1171-4536-9E53-9BD81BF0ADD9}"/>
    <cellStyle name="Normal 2 4 3 3 2 2 2 4 3" xfId="18862" xr:uid="{C2372F4B-D601-4190-9E8D-98BC7EAA13EF}"/>
    <cellStyle name="Normal 2 4 3 3 2 2 2 5" xfId="27959" xr:uid="{2AEE90BC-2D7C-4068-A56B-5025A9582E65}"/>
    <cellStyle name="Normal 2 4 3 3 2 2 2 6" xfId="19512" xr:uid="{DD8C8755-5F41-4985-AA78-4F27F56F9277}"/>
    <cellStyle name="Normal 2 4 3 3 2 2 2 7" xfId="10215" xr:uid="{079BF3AD-17A7-4F95-A269-208CADDF71B8}"/>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43182" xr:uid="{89E68EEE-8A5D-49AC-8542-D3DA3E41381B}"/>
    <cellStyle name="Normal 2 4 3 3 2 2 3 2 2 3" xfId="34735" xr:uid="{1ACBF773-B7BA-43D3-84E6-D47BD36F89BD}"/>
    <cellStyle name="Normal 2 4 3 3 2 2 3 2 2 4" xfId="26287" xr:uid="{E17A411D-7BDD-4341-970E-13E58E2056F7}"/>
    <cellStyle name="Normal 2 4 3 3 2 2 3 2 2 5" xfId="16990" xr:uid="{33B5C73D-3F6A-490D-8F7D-E51AEDB1E70F}"/>
    <cellStyle name="Normal 2 4 3 3 2 2 3 2 3" xfId="38965" xr:uid="{5400FDB3-8E4E-439E-85B1-0F63C114180E}"/>
    <cellStyle name="Normal 2 4 3 3 2 2 3 2 4" xfId="30517" xr:uid="{35EBFCC1-7275-4C2A-A924-220A07A19163}"/>
    <cellStyle name="Normal 2 4 3 3 2 2 3 2 5" xfId="22070" xr:uid="{6CBF65AC-8E40-4E49-9CC7-03849F536FB8}"/>
    <cellStyle name="Normal 2 4 3 3 2 2 3 2 6" xfId="12773" xr:uid="{99A371EF-FBD9-477B-ADCB-A50C47029439}"/>
    <cellStyle name="Normal 2 4 3 3 2 2 3 3" xfId="5519" xr:uid="{00000000-0005-0000-0000-0000DA0F0000}"/>
    <cellStyle name="Normal 2 4 3 3 2 2 3 3 2" xfId="41037" xr:uid="{9EB6A05A-3C88-49F4-B2A3-7EA8030930DF}"/>
    <cellStyle name="Normal 2 4 3 3 2 2 3 3 3" xfId="32590" xr:uid="{D77D5ED9-7533-4DBD-8430-6A73741B4552}"/>
    <cellStyle name="Normal 2 4 3 3 2 2 3 3 4" xfId="24142" xr:uid="{5245B9DF-6324-46D5-9246-FF052DAA0962}"/>
    <cellStyle name="Normal 2 4 3 3 2 2 3 3 5" xfId="14845" xr:uid="{99218AB3-1F1E-44C8-9CDF-60CE17C2FB91}"/>
    <cellStyle name="Normal 2 4 3 3 2 2 3 4" xfId="36820" xr:uid="{62E716FB-7D15-48CB-ABE6-BD6173EFFC56}"/>
    <cellStyle name="Normal 2 4 3 3 2 2 3 5" xfId="28372" xr:uid="{7F0440D4-845E-44BE-8CF4-0BFF9D99BE2E}"/>
    <cellStyle name="Normal 2 4 3 3 2 2 3 6" xfId="19925" xr:uid="{DBD3A754-2905-40AC-8E63-7C3007A19477}"/>
    <cellStyle name="Normal 2 4 3 3 2 2 3 7" xfId="10628" xr:uid="{4DD86A0A-FA28-4AF7-AF7E-68F2E40F1F2D}"/>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43595" xr:uid="{1837CD81-98A5-407B-8C4F-B4F995422C4C}"/>
    <cellStyle name="Normal 2 4 3 3 2 2 4 2 2 3" xfId="35148" xr:uid="{E6D908F7-F3AC-4F6F-B23C-694787DC7552}"/>
    <cellStyle name="Normal 2 4 3 3 2 2 4 2 2 4" xfId="26700" xr:uid="{55C14E21-4214-4F3A-B53C-00371EA51B56}"/>
    <cellStyle name="Normal 2 4 3 3 2 2 4 2 2 5" xfId="17403" xr:uid="{D1A9CC26-F19F-483E-97A8-558EDE40CCEB}"/>
    <cellStyle name="Normal 2 4 3 3 2 2 4 2 3" xfId="39378" xr:uid="{51415108-5B3A-4C28-ACDD-041C7B9443EE}"/>
    <cellStyle name="Normal 2 4 3 3 2 2 4 2 4" xfId="30930" xr:uid="{7378636B-DA3F-473E-823F-7229B9F81C6F}"/>
    <cellStyle name="Normal 2 4 3 3 2 2 4 2 5" xfId="22483" xr:uid="{EBDA8004-1D3E-4BDE-ADF0-FB78C5388C67}"/>
    <cellStyle name="Normal 2 4 3 3 2 2 4 2 6" xfId="13186" xr:uid="{B7AA2331-F809-4C13-B5BC-3BC06BFA69F7}"/>
    <cellStyle name="Normal 2 4 3 3 2 2 4 3" xfId="5932" xr:uid="{00000000-0005-0000-0000-0000DE0F0000}"/>
    <cellStyle name="Normal 2 4 3 3 2 2 4 3 2" xfId="41450" xr:uid="{A7FE2447-EE14-4FDA-A8F0-FAE518D578E5}"/>
    <cellStyle name="Normal 2 4 3 3 2 2 4 3 3" xfId="33003" xr:uid="{38C6A980-9791-4A6F-BADA-86D342258C1D}"/>
    <cellStyle name="Normal 2 4 3 3 2 2 4 3 4" xfId="24555" xr:uid="{5F0FB402-EC98-41B8-8A13-68BF2CF90EF1}"/>
    <cellStyle name="Normal 2 4 3 3 2 2 4 3 5" xfId="15258" xr:uid="{B94A890F-648B-40BE-818D-4D288586B1D3}"/>
    <cellStyle name="Normal 2 4 3 3 2 2 4 4" xfId="37233" xr:uid="{2236FB1F-C21A-4970-89F0-15400BF45C12}"/>
    <cellStyle name="Normal 2 4 3 3 2 2 4 5" xfId="28785" xr:uid="{20A0988A-CE91-443A-99E8-80E29CC68B2B}"/>
    <cellStyle name="Normal 2 4 3 3 2 2 4 6" xfId="20338" xr:uid="{69033FEA-9EC9-4642-A4AA-A64C1F2A2408}"/>
    <cellStyle name="Normal 2 4 3 3 2 2 4 7" xfId="11041" xr:uid="{410F79E0-1BA6-45F3-8311-CD9160F5A19A}"/>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44008" xr:uid="{F93D704F-5578-49AC-A89A-45C916373251}"/>
    <cellStyle name="Normal 2 4 3 3 2 2 5 2 2 3" xfId="35561" xr:uid="{5A05D9C5-9F67-44EA-BAAE-549CDAC28CD2}"/>
    <cellStyle name="Normal 2 4 3 3 2 2 5 2 2 4" xfId="27113" xr:uid="{E0274CCD-E457-4061-BD32-3B3EF2CF9854}"/>
    <cellStyle name="Normal 2 4 3 3 2 2 5 2 2 5" xfId="17816" xr:uid="{4380A929-B2EA-4760-8311-AC7A5C351D12}"/>
    <cellStyle name="Normal 2 4 3 3 2 2 5 2 3" xfId="39791" xr:uid="{08D0DCCF-A86B-446E-B7D0-9E3F0DA6DCD6}"/>
    <cellStyle name="Normal 2 4 3 3 2 2 5 2 4" xfId="31343" xr:uid="{A601F624-3C02-4821-B6B9-83D370CBEB38}"/>
    <cellStyle name="Normal 2 4 3 3 2 2 5 2 5" xfId="22896" xr:uid="{CD769A83-1697-442B-8E47-A6D0BABB66A8}"/>
    <cellStyle name="Normal 2 4 3 3 2 2 5 2 6" xfId="13599" xr:uid="{65DE0D6E-8FB9-451A-BD6B-9F87BB448EFF}"/>
    <cellStyle name="Normal 2 4 3 3 2 2 5 3" xfId="6345" xr:uid="{00000000-0005-0000-0000-0000E20F0000}"/>
    <cellStyle name="Normal 2 4 3 3 2 2 5 3 2" xfId="41863" xr:uid="{B68C2684-FA52-4004-BAD9-F1C5EAD57867}"/>
    <cellStyle name="Normal 2 4 3 3 2 2 5 3 3" xfId="33416" xr:uid="{49074FCF-C894-44CA-893E-20D0D2E2BEE3}"/>
    <cellStyle name="Normal 2 4 3 3 2 2 5 3 4" xfId="24968" xr:uid="{94576109-B3FB-4CE6-8D44-09C5102B02F0}"/>
    <cellStyle name="Normal 2 4 3 3 2 2 5 3 5" xfId="15671" xr:uid="{9EC1F0BC-E74E-4ED6-9816-8A97A9EC4C1A}"/>
    <cellStyle name="Normal 2 4 3 3 2 2 5 4" xfId="37646" xr:uid="{301DEFF8-92F8-4448-A7CA-639F2F8FB79C}"/>
    <cellStyle name="Normal 2 4 3 3 2 2 5 5" xfId="29198" xr:uid="{8C8AFB38-A4E5-4F13-8167-8E659D89C617}"/>
    <cellStyle name="Normal 2 4 3 3 2 2 5 6" xfId="20751" xr:uid="{B7F557B0-682C-4A33-9AF7-243E2745B83E}"/>
    <cellStyle name="Normal 2 4 3 3 2 2 5 7" xfId="11454" xr:uid="{6BAF73DC-746A-49D8-9513-6A744C6B0360}"/>
    <cellStyle name="Normal 2 4 3 3 2 2 6" xfId="2475" xr:uid="{00000000-0005-0000-0000-0000E30F0000}"/>
    <cellStyle name="Normal 2 4 3 3 2 2 6 2" xfId="6758" xr:uid="{00000000-0005-0000-0000-0000E40F0000}"/>
    <cellStyle name="Normal 2 4 3 3 2 2 6 2 2" xfId="42276" xr:uid="{B0A3D164-A4B1-49BA-B4F8-0F5B354C9194}"/>
    <cellStyle name="Normal 2 4 3 3 2 2 6 2 3" xfId="33829" xr:uid="{24329D32-83BB-411B-9DE9-AC8A2D1AF400}"/>
    <cellStyle name="Normal 2 4 3 3 2 2 6 2 4" xfId="25381" xr:uid="{F7A83051-9572-4DAA-B7E0-526551E582EF}"/>
    <cellStyle name="Normal 2 4 3 3 2 2 6 2 5" xfId="16084" xr:uid="{9D5FB221-4D77-4C08-B136-E39076F87204}"/>
    <cellStyle name="Normal 2 4 3 3 2 2 6 3" xfId="38059" xr:uid="{4C28B085-AC1B-4825-8055-CC8602BAB3D5}"/>
    <cellStyle name="Normal 2 4 3 3 2 2 6 4" xfId="29611" xr:uid="{EAE1600C-F80F-4372-AF2B-D4CE9817B82C}"/>
    <cellStyle name="Normal 2 4 3 3 2 2 6 5" xfId="21164" xr:uid="{9A4BF9FF-68E3-48A0-A5A1-22B2857C6F63}"/>
    <cellStyle name="Normal 2 4 3 3 2 2 6 6" xfId="11867" xr:uid="{A3FBD41F-DBA1-4FF8-96F7-B0AED7C14240}"/>
    <cellStyle name="Normal 2 4 3 3 2 2 7" xfId="4692" xr:uid="{00000000-0005-0000-0000-0000E50F0000}"/>
    <cellStyle name="Normal 2 4 3 3 2 2 7 2" xfId="40210" xr:uid="{4364F005-9469-4C54-BBB2-374A7B078522}"/>
    <cellStyle name="Normal 2 4 3 3 2 2 7 3" xfId="31763" xr:uid="{938FA4C2-5BC6-4331-AE9F-DF4A337F17F9}"/>
    <cellStyle name="Normal 2 4 3 3 2 2 7 4" xfId="23315" xr:uid="{7AFA7BCD-B0C9-4ADF-B645-A7D98C688DDA}"/>
    <cellStyle name="Normal 2 4 3 3 2 2 7 5" xfId="14018" xr:uid="{9DB09510-6FA7-47C9-A8D6-C07951A42853}"/>
    <cellStyle name="Normal 2 4 3 3 2 2 8" xfId="9124" xr:uid="{1FF2B195-09C8-4D7B-A363-E8AF809A669B}"/>
    <cellStyle name="Normal 2 4 3 3 2 2 8 2" xfId="35993" xr:uid="{73AA998E-AE56-4A97-9D70-2CD4EAC2BD4B}"/>
    <cellStyle name="Normal 2 4 3 3 2 2 8 3" xfId="18447" xr:uid="{DFF3BF51-6648-442C-9237-F3B31E249260}"/>
    <cellStyle name="Normal 2 4 3 3 2 2 9" xfId="27545" xr:uid="{902E5BB6-579E-4B82-8AC9-AC3A4DD3259F}"/>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42768" xr:uid="{52E81EC5-7505-4636-AC32-DF6DF370C78E}"/>
    <cellStyle name="Normal 2 4 3 3 2 3 2 2 3" xfId="34321" xr:uid="{A8A211CA-5CD2-4C5C-9396-83B464665A2B}"/>
    <cellStyle name="Normal 2 4 3 3 2 3 2 2 4" xfId="25873" xr:uid="{E26CEFA6-C594-4350-9226-61B17BA839EE}"/>
    <cellStyle name="Normal 2 4 3 3 2 3 2 2 5" xfId="16576" xr:uid="{772DD316-3E73-4437-B206-B6E1B6670574}"/>
    <cellStyle name="Normal 2 4 3 3 2 3 2 3" xfId="38551" xr:uid="{3B7D63C4-CB16-49E7-9E46-83CFE7704664}"/>
    <cellStyle name="Normal 2 4 3 3 2 3 2 4" xfId="30103" xr:uid="{E2F96004-C027-4CDB-A3A2-4EB36B935BDA}"/>
    <cellStyle name="Normal 2 4 3 3 2 3 2 5" xfId="21656" xr:uid="{CEC5B424-4C6B-4311-AC5F-A97869198B62}"/>
    <cellStyle name="Normal 2 4 3 3 2 3 2 6" xfId="12359" xr:uid="{19CC688A-B5E5-48F9-9E4F-AF9ED86AB127}"/>
    <cellStyle name="Normal 2 4 3 3 2 3 3" xfId="5105" xr:uid="{00000000-0005-0000-0000-0000E90F0000}"/>
    <cellStyle name="Normal 2 4 3 3 2 3 3 2" xfId="40623" xr:uid="{A5E87F49-863F-4AF1-A677-4968120EC027}"/>
    <cellStyle name="Normal 2 4 3 3 2 3 3 3" xfId="32176" xr:uid="{EC09BCE5-B952-4E22-9B20-1BAC74DCA509}"/>
    <cellStyle name="Normal 2 4 3 3 2 3 3 4" xfId="23728" xr:uid="{8F4A1595-FD35-4178-BE2D-E7804E534268}"/>
    <cellStyle name="Normal 2 4 3 3 2 3 3 5" xfId="14431" xr:uid="{D89A0BAA-5551-4156-8D48-9E7B9DA9017F}"/>
    <cellStyle name="Normal 2 4 3 3 2 3 4" xfId="9342" xr:uid="{41454CF9-47C1-4E8A-868A-8F39341308EB}"/>
    <cellStyle name="Normal 2 4 3 3 2 3 4 2" xfId="36406" xr:uid="{9C73F0DD-D292-435D-9297-3F9F6559617F}"/>
    <cellStyle name="Normal 2 4 3 3 2 3 4 3" xfId="18655" xr:uid="{34AF52BA-70BB-49C0-AB22-2A9C83B0B979}"/>
    <cellStyle name="Normal 2 4 3 3 2 3 5" xfId="27958" xr:uid="{775898B7-71AA-452C-9CF2-EA496186AC04}"/>
    <cellStyle name="Normal 2 4 3 3 2 3 6" xfId="19511" xr:uid="{D0FF75EB-D6FE-44DC-8BAF-565FA26720FD}"/>
    <cellStyle name="Normal 2 4 3 3 2 3 7" xfId="10214" xr:uid="{5DC483B3-A5C7-433A-9BA5-AE9A311D0673}"/>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43181" xr:uid="{880BD955-81A8-47BC-86B7-257092DDC1CA}"/>
    <cellStyle name="Normal 2 4 3 3 2 4 2 2 3" xfId="34734" xr:uid="{FCAFB4E3-2ABD-462B-B15F-7095E43998C6}"/>
    <cellStyle name="Normal 2 4 3 3 2 4 2 2 4" xfId="26286" xr:uid="{FF363688-F271-4570-A8CA-AA108781206E}"/>
    <cellStyle name="Normal 2 4 3 3 2 4 2 2 5" xfId="16989" xr:uid="{12FA4FF2-15A1-4B0F-A056-607789B93165}"/>
    <cellStyle name="Normal 2 4 3 3 2 4 2 3" xfId="38964" xr:uid="{678CE067-B659-4A08-8566-FC76C71A8569}"/>
    <cellStyle name="Normal 2 4 3 3 2 4 2 4" xfId="30516" xr:uid="{4D3EA4A3-A5BD-4EF2-B87D-9432C375DE78}"/>
    <cellStyle name="Normal 2 4 3 3 2 4 2 5" xfId="22069" xr:uid="{FAEC4691-38ED-4C6C-90F4-CDA2E7192A6A}"/>
    <cellStyle name="Normal 2 4 3 3 2 4 2 6" xfId="12772" xr:uid="{13066872-2C74-4537-AEA6-4AB3F02E2B7F}"/>
    <cellStyle name="Normal 2 4 3 3 2 4 3" xfId="5518" xr:uid="{00000000-0005-0000-0000-0000ED0F0000}"/>
    <cellStyle name="Normal 2 4 3 3 2 4 3 2" xfId="41036" xr:uid="{1CE5A3F9-D9D4-433B-8CD1-E81371A1CEA6}"/>
    <cellStyle name="Normal 2 4 3 3 2 4 3 3" xfId="32589" xr:uid="{39D06918-E6CC-4939-8A97-F4818085B865}"/>
    <cellStyle name="Normal 2 4 3 3 2 4 3 4" xfId="24141" xr:uid="{B6ED8B34-67AC-4350-85B8-489D8E895786}"/>
    <cellStyle name="Normal 2 4 3 3 2 4 3 5" xfId="14844" xr:uid="{CD7FC1E6-CDBC-46FA-9568-DF8D47BB0BFE}"/>
    <cellStyle name="Normal 2 4 3 3 2 4 4" xfId="36819" xr:uid="{FCA3DB4F-EFC9-4480-A6D3-248DF4DA923D}"/>
    <cellStyle name="Normal 2 4 3 3 2 4 5" xfId="28371" xr:uid="{BB5C585D-8113-490D-A1EF-F63F40ED14AD}"/>
    <cellStyle name="Normal 2 4 3 3 2 4 6" xfId="19924" xr:uid="{A4012CD5-F69A-445B-9A70-1A21DEF4408F}"/>
    <cellStyle name="Normal 2 4 3 3 2 4 7" xfId="10627" xr:uid="{D1B9EE7E-9683-4D26-A943-27971C5773F4}"/>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43594" xr:uid="{DD18C5A6-3EC6-4AB3-A045-4B022C9A7EE5}"/>
    <cellStyle name="Normal 2 4 3 3 2 5 2 2 3" xfId="35147" xr:uid="{07DFC9ED-D2E4-44D4-BD1C-50E7B9C66405}"/>
    <cellStyle name="Normal 2 4 3 3 2 5 2 2 4" xfId="26699" xr:uid="{BC2ABF6D-AEF3-46D0-BC7F-4749E364F2B6}"/>
    <cellStyle name="Normal 2 4 3 3 2 5 2 2 5" xfId="17402" xr:uid="{8A1EDCA7-AAED-4C2F-BCDE-6E36FEDBD80C}"/>
    <cellStyle name="Normal 2 4 3 3 2 5 2 3" xfId="39377" xr:uid="{859DA4A6-1047-4E1B-90C1-6D47B6B5B823}"/>
    <cellStyle name="Normal 2 4 3 3 2 5 2 4" xfId="30929" xr:uid="{87357E66-FD42-48E2-948B-6773E1BECF27}"/>
    <cellStyle name="Normal 2 4 3 3 2 5 2 5" xfId="22482" xr:uid="{4143C8A6-6DA8-4712-9685-D4E8FBDEDB48}"/>
    <cellStyle name="Normal 2 4 3 3 2 5 2 6" xfId="13185" xr:uid="{52C8F25F-BA71-4A73-B71B-BC6203CCA175}"/>
    <cellStyle name="Normal 2 4 3 3 2 5 3" xfId="5931" xr:uid="{00000000-0005-0000-0000-0000F10F0000}"/>
    <cellStyle name="Normal 2 4 3 3 2 5 3 2" xfId="41449" xr:uid="{EDC68838-DFC7-48C0-9967-783B068D4FFC}"/>
    <cellStyle name="Normal 2 4 3 3 2 5 3 3" xfId="33002" xr:uid="{A4A0E191-1C57-4442-92D0-69D67E613A0A}"/>
    <cellStyle name="Normal 2 4 3 3 2 5 3 4" xfId="24554" xr:uid="{0591DDC7-725C-4A20-AE0D-77B965A9C67A}"/>
    <cellStyle name="Normal 2 4 3 3 2 5 3 5" xfId="15257" xr:uid="{1A39E3D8-A51E-4D0E-BBC2-7E20B5899067}"/>
    <cellStyle name="Normal 2 4 3 3 2 5 4" xfId="37232" xr:uid="{0C613F6D-6603-4F82-BE2B-CE51BFF8AC21}"/>
    <cellStyle name="Normal 2 4 3 3 2 5 5" xfId="28784" xr:uid="{A591794D-CB79-4836-8582-4168E0DFAAA0}"/>
    <cellStyle name="Normal 2 4 3 3 2 5 6" xfId="20337" xr:uid="{DB2B13D7-A824-43CD-A362-EFD422469DC9}"/>
    <cellStyle name="Normal 2 4 3 3 2 5 7" xfId="11040" xr:uid="{5AE9E1CE-6100-4627-8047-62E9858869B6}"/>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44007" xr:uid="{B21A8CBD-42AC-43BC-BFEF-7AA6FAED77AE}"/>
    <cellStyle name="Normal 2 4 3 3 2 6 2 2 3" xfId="35560" xr:uid="{7DD98D37-8917-4980-984E-1760229D3C89}"/>
    <cellStyle name="Normal 2 4 3 3 2 6 2 2 4" xfId="27112" xr:uid="{4ACFBC3C-92C9-4550-A76A-084FD3AC6D40}"/>
    <cellStyle name="Normal 2 4 3 3 2 6 2 2 5" xfId="17815" xr:uid="{CB4036FD-6440-4C79-A532-63E6543E9F33}"/>
    <cellStyle name="Normal 2 4 3 3 2 6 2 3" xfId="39790" xr:uid="{B7868DCE-E757-4B35-8A78-393151241420}"/>
    <cellStyle name="Normal 2 4 3 3 2 6 2 4" xfId="31342" xr:uid="{0F23128D-EFA6-49FF-B7E1-B815B2FB80BA}"/>
    <cellStyle name="Normal 2 4 3 3 2 6 2 5" xfId="22895" xr:uid="{D5A2FD0A-E5AF-44FF-BB36-C769FC540234}"/>
    <cellStyle name="Normal 2 4 3 3 2 6 2 6" xfId="13598" xr:uid="{F62FF4D8-3DCB-4F4D-8EDA-DA3B684FD638}"/>
    <cellStyle name="Normal 2 4 3 3 2 6 3" xfId="6344" xr:uid="{00000000-0005-0000-0000-0000F50F0000}"/>
    <cellStyle name="Normal 2 4 3 3 2 6 3 2" xfId="41862" xr:uid="{26B97CEF-DA2B-4724-BA5F-7A758B03C66D}"/>
    <cellStyle name="Normal 2 4 3 3 2 6 3 3" xfId="33415" xr:uid="{E84D5B04-CA87-4E8F-953F-78731CC25A9A}"/>
    <cellStyle name="Normal 2 4 3 3 2 6 3 4" xfId="24967" xr:uid="{56A775EE-2A67-44C6-A789-812FC627FCF0}"/>
    <cellStyle name="Normal 2 4 3 3 2 6 3 5" xfId="15670" xr:uid="{02F739A3-9D9D-4429-948C-16FE58A689AA}"/>
    <cellStyle name="Normal 2 4 3 3 2 6 4" xfId="37645" xr:uid="{DD73B8E2-7BEC-41D7-A28F-3C212D1226B8}"/>
    <cellStyle name="Normal 2 4 3 3 2 6 5" xfId="29197" xr:uid="{7891B168-0F43-48E0-807A-146A0A69CE8B}"/>
    <cellStyle name="Normal 2 4 3 3 2 6 6" xfId="20750" xr:uid="{61BD2407-B340-4E5F-A863-B5B57F134841}"/>
    <cellStyle name="Normal 2 4 3 3 2 6 7" xfId="11453" xr:uid="{24FBA7A7-77A6-47FF-BCC6-B7673EA63D03}"/>
    <cellStyle name="Normal 2 4 3 3 2 7" xfId="2474" xr:uid="{00000000-0005-0000-0000-0000F60F0000}"/>
    <cellStyle name="Normal 2 4 3 3 2 7 2" xfId="6757" xr:uid="{00000000-0005-0000-0000-0000F70F0000}"/>
    <cellStyle name="Normal 2 4 3 3 2 7 2 2" xfId="42275" xr:uid="{3672D734-18A4-4DFD-A620-8AF43093295A}"/>
    <cellStyle name="Normal 2 4 3 3 2 7 2 3" xfId="33828" xr:uid="{281C71BE-1877-43F2-956A-8AC6C114C8C6}"/>
    <cellStyle name="Normal 2 4 3 3 2 7 2 4" xfId="25380" xr:uid="{149DD7A4-B08C-4011-A319-3E94599A795A}"/>
    <cellStyle name="Normal 2 4 3 3 2 7 2 5" xfId="16083" xr:uid="{B75AF4E0-2501-422B-A869-0D421F438F0C}"/>
    <cellStyle name="Normal 2 4 3 3 2 7 3" xfId="38058" xr:uid="{82FC7D4E-6EB2-4704-8C2E-5884357CC6B9}"/>
    <cellStyle name="Normal 2 4 3 3 2 7 4" xfId="29610" xr:uid="{1B648DEC-C16F-4A0F-857E-282D1E756F54}"/>
    <cellStyle name="Normal 2 4 3 3 2 7 5" xfId="21163" xr:uid="{133137CD-DA6F-4BD7-8289-80441DD7DE5B}"/>
    <cellStyle name="Normal 2 4 3 3 2 7 6" xfId="11866" xr:uid="{6EABE733-7C04-4122-B594-291DD93DFA6D}"/>
    <cellStyle name="Normal 2 4 3 3 2 8" xfId="4691" xr:uid="{00000000-0005-0000-0000-0000F80F0000}"/>
    <cellStyle name="Normal 2 4 3 3 2 8 2" xfId="40209" xr:uid="{F4FC640E-35AE-4E14-A59B-665EF568583E}"/>
    <cellStyle name="Normal 2 4 3 3 2 8 3" xfId="31762" xr:uid="{8C9FBBA1-E602-4390-875E-A0942AE84548}"/>
    <cellStyle name="Normal 2 4 3 3 2 8 4" xfId="23314" xr:uid="{84B27217-1AF8-4355-BB17-37B6DC2DD786}"/>
    <cellStyle name="Normal 2 4 3 3 2 8 5" xfId="14017" xr:uid="{09E0397C-47DB-49AA-A50A-919F7923D562}"/>
    <cellStyle name="Normal 2 4 3 3 2 9" xfId="8917" xr:uid="{1E22693C-F4B1-4678-80B0-65CF6DC31586}"/>
    <cellStyle name="Normal 2 4 3 3 2 9 2" xfId="35992" xr:uid="{92BB2E66-0F63-476A-A641-D564F7939F69}"/>
    <cellStyle name="Normal 2 4 3 3 2 9 3" xfId="18240" xr:uid="{D0C6CD0B-7796-4F6A-ACE1-AC5226711D95}"/>
    <cellStyle name="Normal 2 4 3 3 3" xfId="301" xr:uid="{00000000-0005-0000-0000-0000F90F0000}"/>
    <cellStyle name="Normal 2 4 3 3 3 10" xfId="19099" xr:uid="{7C331673-AF9B-4F77-A2F4-88A9257F69DB}"/>
    <cellStyle name="Normal 2 4 3 3 3 11" xfId="9802" xr:uid="{AE8A954B-FD76-48F5-B7A1-ABD9DC0C4CDF}"/>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42770" xr:uid="{BE8B7587-E27D-41B7-9004-BF9D8873C266}"/>
    <cellStyle name="Normal 2 4 3 3 3 2 2 2 3" xfId="34323" xr:uid="{F3EAF434-8A5A-49BF-9E3F-C6A1ECD53561}"/>
    <cellStyle name="Normal 2 4 3 3 3 2 2 2 4" xfId="25875" xr:uid="{FB3F224E-2738-4269-A585-8939AC371332}"/>
    <cellStyle name="Normal 2 4 3 3 3 2 2 2 5" xfId="16578" xr:uid="{14F975C1-7AD7-486A-9533-4308DE561E04}"/>
    <cellStyle name="Normal 2 4 3 3 3 2 2 3" xfId="38553" xr:uid="{8EA83049-5EFE-4E1A-BEE0-A03890A21F4F}"/>
    <cellStyle name="Normal 2 4 3 3 3 2 2 4" xfId="30105" xr:uid="{925194C4-01EA-4724-932A-9E7E61984406}"/>
    <cellStyle name="Normal 2 4 3 3 3 2 2 5" xfId="21658" xr:uid="{1CDFA506-E8B7-491B-8CA9-A8690424E05E}"/>
    <cellStyle name="Normal 2 4 3 3 3 2 2 6" xfId="12361" xr:uid="{0527B612-7289-44C9-8850-C36DB6674CB2}"/>
    <cellStyle name="Normal 2 4 3 3 3 2 3" xfId="5107" xr:uid="{00000000-0005-0000-0000-0000FD0F0000}"/>
    <cellStyle name="Normal 2 4 3 3 3 2 3 2" xfId="40625" xr:uid="{FA5D104C-B092-486A-9252-A00EA6A26DAF}"/>
    <cellStyle name="Normal 2 4 3 3 3 2 3 3" xfId="32178" xr:uid="{31046796-49B1-435D-8098-A07C78A6B8CE}"/>
    <cellStyle name="Normal 2 4 3 3 3 2 3 4" xfId="23730" xr:uid="{0DD9FECB-0BC5-49C8-A61A-29C62218A8A6}"/>
    <cellStyle name="Normal 2 4 3 3 3 2 3 5" xfId="14433" xr:uid="{BD705755-AF23-4638-9599-9AE68AEAC33C}"/>
    <cellStyle name="Normal 2 4 3 3 3 2 4" xfId="9446" xr:uid="{7ACDBBC8-943F-41CF-9832-96F56BCB3985}"/>
    <cellStyle name="Normal 2 4 3 3 3 2 4 2" xfId="36408" xr:uid="{609E9E91-429D-4552-932C-9F7BA082D72B}"/>
    <cellStyle name="Normal 2 4 3 3 3 2 4 3" xfId="18759" xr:uid="{B9D5517B-9F81-44C5-B0F7-32BC301455E0}"/>
    <cellStyle name="Normal 2 4 3 3 3 2 5" xfId="27960" xr:uid="{23C22A0F-7E14-44D3-A0F5-4DA3452E13A7}"/>
    <cellStyle name="Normal 2 4 3 3 3 2 6" xfId="19513" xr:uid="{26436A09-58EA-427D-91E5-46B5D240896D}"/>
    <cellStyle name="Normal 2 4 3 3 3 2 7" xfId="10216" xr:uid="{B5315434-1AF2-48EF-A0A2-F3EE391AB39B}"/>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43183" xr:uid="{67682C71-98E9-4918-976D-F29DD02F4C74}"/>
    <cellStyle name="Normal 2 4 3 3 3 3 2 2 3" xfId="34736" xr:uid="{C496307D-7EA9-4AA0-92FD-094FDE0220EC}"/>
    <cellStyle name="Normal 2 4 3 3 3 3 2 2 4" xfId="26288" xr:uid="{243F9564-5287-4CCC-9A32-5F66817B504F}"/>
    <cellStyle name="Normal 2 4 3 3 3 3 2 2 5" xfId="16991" xr:uid="{7D8FFFDC-F957-45B7-B581-93C5F7439D29}"/>
    <cellStyle name="Normal 2 4 3 3 3 3 2 3" xfId="38966" xr:uid="{7E0E089F-BCBA-4CD2-8DD5-1EEABB3E724B}"/>
    <cellStyle name="Normal 2 4 3 3 3 3 2 4" xfId="30518" xr:uid="{E4EFD15A-8C2D-48A5-ABE4-44C87EF56E49}"/>
    <cellStyle name="Normal 2 4 3 3 3 3 2 5" xfId="22071" xr:uid="{54834D9C-9439-4B2B-978F-E962020E1468}"/>
    <cellStyle name="Normal 2 4 3 3 3 3 2 6" xfId="12774" xr:uid="{A5E28E2A-A78D-4358-9C0F-C88B99A24BE1}"/>
    <cellStyle name="Normal 2 4 3 3 3 3 3" xfId="5520" xr:uid="{00000000-0005-0000-0000-000001100000}"/>
    <cellStyle name="Normal 2 4 3 3 3 3 3 2" xfId="41038" xr:uid="{0C17AAC6-95BA-4CDA-A00C-6DA5E68BD00B}"/>
    <cellStyle name="Normal 2 4 3 3 3 3 3 3" xfId="32591" xr:uid="{78E89B9D-0913-42C7-A85A-10671D188D86}"/>
    <cellStyle name="Normal 2 4 3 3 3 3 3 4" xfId="24143" xr:uid="{B9E3CC24-9ADD-4AB8-991C-D8A4491E5D80}"/>
    <cellStyle name="Normal 2 4 3 3 3 3 3 5" xfId="14846" xr:uid="{1FFB4AD0-0018-4A46-9E68-E4C2981F8EB3}"/>
    <cellStyle name="Normal 2 4 3 3 3 3 4" xfId="36821" xr:uid="{BF0B3D61-9664-40E7-81B7-5D9E55446FB4}"/>
    <cellStyle name="Normal 2 4 3 3 3 3 5" xfId="28373" xr:uid="{162D1326-39C0-4734-A47C-90FC847DB245}"/>
    <cellStyle name="Normal 2 4 3 3 3 3 6" xfId="19926" xr:uid="{EEE7844F-2A5E-4C92-B391-C3DEF36A3798}"/>
    <cellStyle name="Normal 2 4 3 3 3 3 7" xfId="10629" xr:uid="{C1B0C624-C048-46AD-9A3C-5F7F6DF9F2BA}"/>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43596" xr:uid="{EA1581B3-4D5D-400E-B413-92D36E0E795F}"/>
    <cellStyle name="Normal 2 4 3 3 3 4 2 2 3" xfId="35149" xr:uid="{61504B16-5B9E-45EC-8422-4065C561ED23}"/>
    <cellStyle name="Normal 2 4 3 3 3 4 2 2 4" xfId="26701" xr:uid="{292EBE9A-5DC9-4287-BF3E-10E0AFB9DED2}"/>
    <cellStyle name="Normal 2 4 3 3 3 4 2 2 5" xfId="17404" xr:uid="{FA0AA62B-934C-4AA1-92BB-848AFD6FDC5D}"/>
    <cellStyle name="Normal 2 4 3 3 3 4 2 3" xfId="39379" xr:uid="{96A26934-AAFA-4B0A-A0B8-9AAA33EB553D}"/>
    <cellStyle name="Normal 2 4 3 3 3 4 2 4" xfId="30931" xr:uid="{920ABFE4-C6CD-45D4-A25C-5F5265EADC16}"/>
    <cellStyle name="Normal 2 4 3 3 3 4 2 5" xfId="22484" xr:uid="{F97DA61B-1242-44A9-83F6-1462E30CAE8D}"/>
    <cellStyle name="Normal 2 4 3 3 3 4 2 6" xfId="13187" xr:uid="{1A0BB745-C48C-4D02-8B43-DFA7A65E07EE}"/>
    <cellStyle name="Normal 2 4 3 3 3 4 3" xfId="5933" xr:uid="{00000000-0005-0000-0000-000005100000}"/>
    <cellStyle name="Normal 2 4 3 3 3 4 3 2" xfId="41451" xr:uid="{B2ED40CF-1C0B-4FD5-908B-E2ECFD9DD572}"/>
    <cellStyle name="Normal 2 4 3 3 3 4 3 3" xfId="33004" xr:uid="{A50A883F-9EE5-4A71-91E2-299F3E137990}"/>
    <cellStyle name="Normal 2 4 3 3 3 4 3 4" xfId="24556" xr:uid="{9EBD9B21-CEC0-4D7E-8F1A-94AC23D181D6}"/>
    <cellStyle name="Normal 2 4 3 3 3 4 3 5" xfId="15259" xr:uid="{BC4D3768-E67F-4E49-90C5-00AD0B2E036B}"/>
    <cellStyle name="Normal 2 4 3 3 3 4 4" xfId="37234" xr:uid="{3EB16749-FC9F-4E5E-9E14-EEE8F855B505}"/>
    <cellStyle name="Normal 2 4 3 3 3 4 5" xfId="28786" xr:uid="{434EF2A2-798D-4A41-9A2B-17695894CED0}"/>
    <cellStyle name="Normal 2 4 3 3 3 4 6" xfId="20339" xr:uid="{3D9B70A1-3BA7-449F-B666-7BBB595D4EB8}"/>
    <cellStyle name="Normal 2 4 3 3 3 4 7" xfId="11042" xr:uid="{74B3C463-CAE5-494A-BB4A-5720429CFE61}"/>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44009" xr:uid="{3DBE8EF3-ACA9-4E67-B91D-06E6206615FB}"/>
    <cellStyle name="Normal 2 4 3 3 3 5 2 2 3" xfId="35562" xr:uid="{98F799F1-8BF5-4F2C-8623-D473C8219F65}"/>
    <cellStyle name="Normal 2 4 3 3 3 5 2 2 4" xfId="27114" xr:uid="{6D68C1C5-A168-405E-B50D-CB005FD508CE}"/>
    <cellStyle name="Normal 2 4 3 3 3 5 2 2 5" xfId="17817" xr:uid="{49DA9EDC-5904-4FC5-828F-ED7445AA44B2}"/>
    <cellStyle name="Normal 2 4 3 3 3 5 2 3" xfId="39792" xr:uid="{5B3F4E2B-5F23-49D9-8C14-A1CC408A0FBC}"/>
    <cellStyle name="Normal 2 4 3 3 3 5 2 4" xfId="31344" xr:uid="{60569E63-2799-4F59-9398-43F5841C7896}"/>
    <cellStyle name="Normal 2 4 3 3 3 5 2 5" xfId="22897" xr:uid="{D188B718-7E17-4338-AA20-7CDFE4C52DDB}"/>
    <cellStyle name="Normal 2 4 3 3 3 5 2 6" xfId="13600" xr:uid="{D2DC71C3-485F-4E2D-975A-8D48274714EE}"/>
    <cellStyle name="Normal 2 4 3 3 3 5 3" xfId="6346" xr:uid="{00000000-0005-0000-0000-000009100000}"/>
    <cellStyle name="Normal 2 4 3 3 3 5 3 2" xfId="41864" xr:uid="{07438A46-B7EF-4E90-92D7-32101B2AB67B}"/>
    <cellStyle name="Normal 2 4 3 3 3 5 3 3" xfId="33417" xr:uid="{0384FDA0-EAD3-45FD-B2E9-C575F3705F54}"/>
    <cellStyle name="Normal 2 4 3 3 3 5 3 4" xfId="24969" xr:uid="{C8A5556C-016E-43F2-8281-A78F58B3A380}"/>
    <cellStyle name="Normal 2 4 3 3 3 5 3 5" xfId="15672" xr:uid="{C2EA9FC9-395D-42CE-B234-9B81A27C9638}"/>
    <cellStyle name="Normal 2 4 3 3 3 5 4" xfId="37647" xr:uid="{39B883DF-EBC5-4279-A421-FDB6F05E48EE}"/>
    <cellStyle name="Normal 2 4 3 3 3 5 5" xfId="29199" xr:uid="{0BE8E761-18F1-4FDA-800E-E2A58D732370}"/>
    <cellStyle name="Normal 2 4 3 3 3 5 6" xfId="20752" xr:uid="{C4B18FA8-894F-441B-AFE7-77017A41D65B}"/>
    <cellStyle name="Normal 2 4 3 3 3 5 7" xfId="11455" xr:uid="{AB5B3907-B4E5-45D4-A630-D0E176517460}"/>
    <cellStyle name="Normal 2 4 3 3 3 6" xfId="2476" xr:uid="{00000000-0005-0000-0000-00000A100000}"/>
    <cellStyle name="Normal 2 4 3 3 3 6 2" xfId="6759" xr:uid="{00000000-0005-0000-0000-00000B100000}"/>
    <cellStyle name="Normal 2 4 3 3 3 6 2 2" xfId="42277" xr:uid="{AAE02D9B-BBAC-4555-AB31-62B545A0DA6B}"/>
    <cellStyle name="Normal 2 4 3 3 3 6 2 3" xfId="33830" xr:uid="{FC4290B6-9BE6-4AF9-8DCC-3CBCC899D4EC}"/>
    <cellStyle name="Normal 2 4 3 3 3 6 2 4" xfId="25382" xr:uid="{B4EBC1B6-F58E-434B-B058-2FEE92341E22}"/>
    <cellStyle name="Normal 2 4 3 3 3 6 2 5" xfId="16085" xr:uid="{C90A57A9-EDC8-4E05-B996-707F7B262941}"/>
    <cellStyle name="Normal 2 4 3 3 3 6 3" xfId="38060" xr:uid="{BD9BD758-311E-497E-8951-B87F953B61FC}"/>
    <cellStyle name="Normal 2 4 3 3 3 6 4" xfId="29612" xr:uid="{513B99DA-3A61-42CC-AF71-28256CAC27F9}"/>
    <cellStyle name="Normal 2 4 3 3 3 6 5" xfId="21165" xr:uid="{76B78FEF-67A5-42B7-BB6D-C9890132F50C}"/>
    <cellStyle name="Normal 2 4 3 3 3 6 6" xfId="11868" xr:uid="{1750A3FA-E6F8-4EEA-8C78-F78304DAEC28}"/>
    <cellStyle name="Normal 2 4 3 3 3 7" xfId="4693" xr:uid="{00000000-0005-0000-0000-00000C100000}"/>
    <cellStyle name="Normal 2 4 3 3 3 7 2" xfId="40211" xr:uid="{5762BDA6-CF63-4ABE-832D-D8C45399D87D}"/>
    <cellStyle name="Normal 2 4 3 3 3 7 3" xfId="31764" xr:uid="{F6F6743C-24C6-4E7C-A440-A71720811457}"/>
    <cellStyle name="Normal 2 4 3 3 3 7 4" xfId="23316" xr:uid="{A88F5932-1014-4531-B5A7-49BA081F8CBE}"/>
    <cellStyle name="Normal 2 4 3 3 3 7 5" xfId="14019" xr:uid="{79CD2950-D13C-4003-BF10-E82D2D70DE3F}"/>
    <cellStyle name="Normal 2 4 3 3 3 8" xfId="9021" xr:uid="{4EC0F035-DC07-4262-9C58-7142AC357944}"/>
    <cellStyle name="Normal 2 4 3 3 3 8 2" xfId="35994" xr:uid="{9916D3AB-9F27-4E2A-BBE0-7ECAED7FD9C8}"/>
    <cellStyle name="Normal 2 4 3 3 3 8 3" xfId="18344" xr:uid="{3C6BFDB2-22CC-40AD-B818-2EFDC5CA229C}"/>
    <cellStyle name="Normal 2 4 3 3 3 9" xfId="27546" xr:uid="{1A51A31E-2DF2-4607-A1DF-B604703A5290}"/>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42767" xr:uid="{FB7DD4E6-91CC-4FE4-A68A-E443314622BB}"/>
    <cellStyle name="Normal 2 4 3 3 4 2 2 3" xfId="34320" xr:uid="{19B7D59F-B8C3-426C-8CC5-2403374851BB}"/>
    <cellStyle name="Normal 2 4 3 3 4 2 2 4" xfId="25872" xr:uid="{4A54864A-1306-4365-AD0B-EBF3B1C7983E}"/>
    <cellStyle name="Normal 2 4 3 3 4 2 2 5" xfId="16575" xr:uid="{8747A865-3F21-49B6-B936-0860725B332E}"/>
    <cellStyle name="Normal 2 4 3 3 4 2 3" xfId="38550" xr:uid="{57A99190-EED6-4DF8-A203-54A0EAE976D2}"/>
    <cellStyle name="Normal 2 4 3 3 4 2 4" xfId="30102" xr:uid="{7FAE30EE-616E-4097-8FF0-A22217EA7E3E}"/>
    <cellStyle name="Normal 2 4 3 3 4 2 5" xfId="21655" xr:uid="{72683744-304A-481F-8A7D-76BD418B7948}"/>
    <cellStyle name="Normal 2 4 3 3 4 2 6" xfId="12358" xr:uid="{3803A0B4-C571-41E5-B011-D70B22D9FCE6}"/>
    <cellStyle name="Normal 2 4 3 3 4 3" xfId="5104" xr:uid="{00000000-0005-0000-0000-000010100000}"/>
    <cellStyle name="Normal 2 4 3 3 4 3 2" xfId="40622" xr:uid="{1B41DA5E-1B31-4247-83CC-5421DCD955F9}"/>
    <cellStyle name="Normal 2 4 3 3 4 3 3" xfId="32175" xr:uid="{61A5B535-D0FE-4066-8243-B177F84F0E48}"/>
    <cellStyle name="Normal 2 4 3 3 4 3 4" xfId="23727" xr:uid="{1EEC6FB3-8D5A-4488-A3BE-D803A38167EF}"/>
    <cellStyle name="Normal 2 4 3 3 4 3 5" xfId="14430" xr:uid="{F0C5F620-2E93-4EDD-8A15-19FE4DB7D2E8}"/>
    <cellStyle name="Normal 2 4 3 3 4 4" xfId="9239" xr:uid="{3DCBA9AF-C63D-4CA9-81B6-AC7CB7B67292}"/>
    <cellStyle name="Normal 2 4 3 3 4 4 2" xfId="36405" xr:uid="{8A863D03-52E7-48C5-B930-F727AC108140}"/>
    <cellStyle name="Normal 2 4 3 3 4 4 3" xfId="18552" xr:uid="{1CE309C9-288C-4CEA-B882-3B94BD177F62}"/>
    <cellStyle name="Normal 2 4 3 3 4 5" xfId="27957" xr:uid="{63BE428F-5C73-4569-B3CA-20D3FC92DAC7}"/>
    <cellStyle name="Normal 2 4 3 3 4 6" xfId="19510" xr:uid="{30EE2C94-7CEC-47C9-86A4-CDE3B095F20B}"/>
    <cellStyle name="Normal 2 4 3 3 4 7" xfId="10213" xr:uid="{8EAF8698-7642-4BC3-935E-335046FBB5B7}"/>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43180" xr:uid="{ADF6D46D-732C-48AB-A659-FAD6FFFE254D}"/>
    <cellStyle name="Normal 2 4 3 3 5 2 2 3" xfId="34733" xr:uid="{397BA313-9D4B-4411-BC65-FBB78CF24AC1}"/>
    <cellStyle name="Normal 2 4 3 3 5 2 2 4" xfId="26285" xr:uid="{63618274-5646-4C7F-8269-091B5FBAE5C2}"/>
    <cellStyle name="Normal 2 4 3 3 5 2 2 5" xfId="16988" xr:uid="{B48E161A-C97D-49A9-A118-AB5A2CC7063C}"/>
    <cellStyle name="Normal 2 4 3 3 5 2 3" xfId="38963" xr:uid="{C54FD0C3-16B4-46FD-B8AF-B3EA1E380D65}"/>
    <cellStyle name="Normal 2 4 3 3 5 2 4" xfId="30515" xr:uid="{8D613486-E53E-4E14-9B5B-2506E9B47559}"/>
    <cellStyle name="Normal 2 4 3 3 5 2 5" xfId="22068" xr:uid="{8289B92A-9826-47CD-BC82-852AC5528D19}"/>
    <cellStyle name="Normal 2 4 3 3 5 2 6" xfId="12771" xr:uid="{515C21FF-A7B4-4F80-B263-B9BF284263DC}"/>
    <cellStyle name="Normal 2 4 3 3 5 3" xfId="5517" xr:uid="{00000000-0005-0000-0000-000014100000}"/>
    <cellStyle name="Normal 2 4 3 3 5 3 2" xfId="41035" xr:uid="{915D6740-9E37-4A2E-BAE3-CC9A1823CBB8}"/>
    <cellStyle name="Normal 2 4 3 3 5 3 3" xfId="32588" xr:uid="{1DE68C3D-F42B-42F4-ADFD-8E50AD907725}"/>
    <cellStyle name="Normal 2 4 3 3 5 3 4" xfId="24140" xr:uid="{BBCC86EE-7B6B-4CCA-839F-8487D92D03A7}"/>
    <cellStyle name="Normal 2 4 3 3 5 3 5" xfId="14843" xr:uid="{20AF72B4-8107-489D-A076-C01C99839109}"/>
    <cellStyle name="Normal 2 4 3 3 5 4" xfId="36818" xr:uid="{09001404-27FA-45B3-97EF-34F473385200}"/>
    <cellStyle name="Normal 2 4 3 3 5 5" xfId="28370" xr:uid="{54E8EF54-FD24-489F-A056-30F658D925AC}"/>
    <cellStyle name="Normal 2 4 3 3 5 6" xfId="19923" xr:uid="{74C94444-99B3-48F8-8F99-8DDDF1675091}"/>
    <cellStyle name="Normal 2 4 3 3 5 7" xfId="10626" xr:uid="{4A19227E-7B9E-45F8-A881-E9D071EB97A5}"/>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43593" xr:uid="{EA86AB34-6EE0-488D-80B7-AEED85ADE328}"/>
    <cellStyle name="Normal 2 4 3 3 6 2 2 3" xfId="35146" xr:uid="{142C1520-68AF-4190-A6D1-145F2EC3B021}"/>
    <cellStyle name="Normal 2 4 3 3 6 2 2 4" xfId="26698" xr:uid="{E155BE9E-3A5F-4F70-9479-F6BD6D0FC84B}"/>
    <cellStyle name="Normal 2 4 3 3 6 2 2 5" xfId="17401" xr:uid="{CF2AF055-EA70-4A5F-B96D-9240FAD9B629}"/>
    <cellStyle name="Normal 2 4 3 3 6 2 3" xfId="39376" xr:uid="{7A02EB54-65A9-4DB3-9A0D-3503CDD93410}"/>
    <cellStyle name="Normal 2 4 3 3 6 2 4" xfId="30928" xr:uid="{A63FDB2B-095C-4B2D-84FD-94B3C9D70793}"/>
    <cellStyle name="Normal 2 4 3 3 6 2 5" xfId="22481" xr:uid="{3C61532A-D3E1-4152-9EE2-62C3245BE5B8}"/>
    <cellStyle name="Normal 2 4 3 3 6 2 6" xfId="13184" xr:uid="{3903654C-B25C-4FAD-9EAF-9D8C2188EA7C}"/>
    <cellStyle name="Normal 2 4 3 3 6 3" xfId="5930" xr:uid="{00000000-0005-0000-0000-000018100000}"/>
    <cellStyle name="Normal 2 4 3 3 6 3 2" xfId="41448" xr:uid="{21AA0BF1-D96C-4A81-9BF5-D0279FAE461C}"/>
    <cellStyle name="Normal 2 4 3 3 6 3 3" xfId="33001" xr:uid="{83BEE0E9-3992-48A6-8B79-63A51B1C9336}"/>
    <cellStyle name="Normal 2 4 3 3 6 3 4" xfId="24553" xr:uid="{2006617A-DA95-4C43-9978-4A7C95FF6A4A}"/>
    <cellStyle name="Normal 2 4 3 3 6 3 5" xfId="15256" xr:uid="{0BBD2C96-640D-4DDA-9490-7521AB06E233}"/>
    <cellStyle name="Normal 2 4 3 3 6 4" xfId="37231" xr:uid="{564FAC88-0C7C-43AE-8DD0-6ED967FDD36C}"/>
    <cellStyle name="Normal 2 4 3 3 6 5" xfId="28783" xr:uid="{9077F106-44AE-4101-B3F0-DA0F5820C2DD}"/>
    <cellStyle name="Normal 2 4 3 3 6 6" xfId="20336" xr:uid="{FF89D171-2C19-436A-9E5E-C86C77699C19}"/>
    <cellStyle name="Normal 2 4 3 3 6 7" xfId="11039" xr:uid="{4A99EFA5-DC1B-4D30-A318-E79FDE4A8BB0}"/>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44006" xr:uid="{E95FACDE-69FE-49C8-8A70-001149C7A534}"/>
    <cellStyle name="Normal 2 4 3 3 7 2 2 3" xfId="35559" xr:uid="{5C7B9390-B6EF-4881-865E-A0B4E843A181}"/>
    <cellStyle name="Normal 2 4 3 3 7 2 2 4" xfId="27111" xr:uid="{6971653C-14DC-4FC2-B8EC-4F5033297D30}"/>
    <cellStyle name="Normal 2 4 3 3 7 2 2 5" xfId="17814" xr:uid="{AFA5C263-915F-41B3-B77C-28EDBBE702BA}"/>
    <cellStyle name="Normal 2 4 3 3 7 2 3" xfId="39789" xr:uid="{4512CAED-60D8-4899-9993-AF1BE9B96B1E}"/>
    <cellStyle name="Normal 2 4 3 3 7 2 4" xfId="31341" xr:uid="{16BBF6E5-66BA-48DF-8BCB-D958D818730F}"/>
    <cellStyle name="Normal 2 4 3 3 7 2 5" xfId="22894" xr:uid="{D21E138E-8B5A-49B9-AE2E-C37B84BDF8CD}"/>
    <cellStyle name="Normal 2 4 3 3 7 2 6" xfId="13597" xr:uid="{AE48300B-BAC8-4459-9C3C-15C3F380FF8F}"/>
    <cellStyle name="Normal 2 4 3 3 7 3" xfId="6343" xr:uid="{00000000-0005-0000-0000-00001C100000}"/>
    <cellStyle name="Normal 2 4 3 3 7 3 2" xfId="41861" xr:uid="{EABD2CB9-4F0A-434B-B58A-83D398F13D70}"/>
    <cellStyle name="Normal 2 4 3 3 7 3 3" xfId="33414" xr:uid="{097F665B-BDCD-4EB2-80F7-257893A4A684}"/>
    <cellStyle name="Normal 2 4 3 3 7 3 4" xfId="24966" xr:uid="{5D0B597D-E6C3-4508-8318-94D9A2963B75}"/>
    <cellStyle name="Normal 2 4 3 3 7 3 5" xfId="15669" xr:uid="{500C8E54-3332-4CC5-85A3-43D7B924289E}"/>
    <cellStyle name="Normal 2 4 3 3 7 4" xfId="37644" xr:uid="{4B1EFFB0-12FF-44F5-B3A5-B864BDEFE6E7}"/>
    <cellStyle name="Normal 2 4 3 3 7 5" xfId="29196" xr:uid="{F13E12CA-23A8-47C1-B1CF-CC5486C290A5}"/>
    <cellStyle name="Normal 2 4 3 3 7 6" xfId="20749" xr:uid="{63D2C595-B0DC-4098-B45E-7E5AF8442E25}"/>
    <cellStyle name="Normal 2 4 3 3 7 7" xfId="11452" xr:uid="{FBE469F6-BF1C-4FF1-AF47-0708ED387910}"/>
    <cellStyle name="Normal 2 4 3 3 8" xfId="2473" xr:uid="{00000000-0005-0000-0000-00001D100000}"/>
    <cellStyle name="Normal 2 4 3 3 8 2" xfId="6756" xr:uid="{00000000-0005-0000-0000-00001E100000}"/>
    <cellStyle name="Normal 2 4 3 3 8 2 2" xfId="42274" xr:uid="{796AF9B3-8062-488B-9E8D-16E219795698}"/>
    <cellStyle name="Normal 2 4 3 3 8 2 3" xfId="33827" xr:uid="{9DE51884-53DF-4BB9-A751-F8F3FED8C4A9}"/>
    <cellStyle name="Normal 2 4 3 3 8 2 4" xfId="25379" xr:uid="{3EB73383-3072-466D-9C5F-434B3CCA481C}"/>
    <cellStyle name="Normal 2 4 3 3 8 2 5" xfId="16082" xr:uid="{D96CB326-1172-4AF5-A79E-791F3C9FC6FC}"/>
    <cellStyle name="Normal 2 4 3 3 8 3" xfId="38057" xr:uid="{04156871-4117-491F-8D59-ADB5F5B65083}"/>
    <cellStyle name="Normal 2 4 3 3 8 4" xfId="29609" xr:uid="{4474CD6A-D1CB-4C49-A5C5-E35A1CCEFFF8}"/>
    <cellStyle name="Normal 2 4 3 3 8 5" xfId="21162" xr:uid="{A23EBDA0-8A29-4304-A49E-04B1A0AC06BC}"/>
    <cellStyle name="Normal 2 4 3 3 8 6" xfId="11865" xr:uid="{C377BD37-1870-4C7B-96C9-C5CCFB9B97F9}"/>
    <cellStyle name="Normal 2 4 3 3 9" xfId="4690" xr:uid="{00000000-0005-0000-0000-00001F100000}"/>
    <cellStyle name="Normal 2 4 3 3 9 2" xfId="40208" xr:uid="{DCC1DCE7-3A9A-45A3-958D-ED0552BC9FCE}"/>
    <cellStyle name="Normal 2 4 3 3 9 3" xfId="31761" xr:uid="{9C555A74-BEF2-4680-A5AD-1652F7CA9E52}"/>
    <cellStyle name="Normal 2 4 3 3 9 4" xfId="23313" xr:uid="{26D9CD15-2480-42BA-87A7-EF85EF3D1029}"/>
    <cellStyle name="Normal 2 4 3 3 9 5" xfId="14016" xr:uid="{AFAF3244-3E9C-4CFE-B94C-6EADEB5E44C7}"/>
    <cellStyle name="Normal 2 4 3 4" xfId="787" xr:uid="{00000000-0005-0000-0000-000020100000}"/>
    <cellStyle name="Normal 2 4 3 4 2" xfId="3026" xr:uid="{00000000-0005-0000-0000-000021100000}"/>
    <cellStyle name="Normal 2 4 3 4 2 2" xfId="7248" xr:uid="{00000000-0005-0000-0000-000022100000}"/>
    <cellStyle name="Normal 2 4 3 4 2 2 2" xfId="42766" xr:uid="{36024347-6E48-4552-9F69-63E74A6CB1AF}"/>
    <cellStyle name="Normal 2 4 3 4 2 2 3" xfId="34319" xr:uid="{4A017AD0-3288-42DB-91B3-B0824C3DE769}"/>
    <cellStyle name="Normal 2 4 3 4 2 2 4" xfId="25871" xr:uid="{EFBACBF7-E5FD-478D-B662-7AB80C0D1914}"/>
    <cellStyle name="Normal 2 4 3 4 2 2 5" xfId="16574" xr:uid="{24F31945-283F-4572-9B56-97AD13E17323}"/>
    <cellStyle name="Normal 2 4 3 4 2 3" xfId="38549" xr:uid="{88ED7F46-3C89-4FD1-97EE-C0BEE0AE8F23}"/>
    <cellStyle name="Normal 2 4 3 4 2 4" xfId="30101" xr:uid="{4E36C160-3CA3-4F53-AB0B-99BA02646DAC}"/>
    <cellStyle name="Normal 2 4 3 4 2 5" xfId="21654" xr:uid="{4E5CE13F-F72D-4684-BA4F-3034DB927977}"/>
    <cellStyle name="Normal 2 4 3 4 2 6" xfId="12357" xr:uid="{040DD729-B5E6-40AA-85E1-14BEE20F66AE}"/>
    <cellStyle name="Normal 2 4 3 4 3" xfId="5103" xr:uid="{00000000-0005-0000-0000-000023100000}"/>
    <cellStyle name="Normal 2 4 3 4 3 2" xfId="40621" xr:uid="{CBBB4A0E-6865-41AB-8FEA-1AD7BE310C78}"/>
    <cellStyle name="Normal 2 4 3 4 3 3" xfId="32174" xr:uid="{FB4AAB28-EF3A-46CA-9374-1CEB453275BC}"/>
    <cellStyle name="Normal 2 4 3 4 3 4" xfId="23726" xr:uid="{F23045E8-677B-47C0-93A4-5955C10B615E}"/>
    <cellStyle name="Normal 2 4 3 4 3 5" xfId="14429" xr:uid="{4EDB07E4-5AC9-4066-8152-2E352739092C}"/>
    <cellStyle name="Normal 2 4 3 4 4" xfId="9605" xr:uid="{31B075F0-6828-4EC6-AC77-4B4B0626A722}"/>
    <cellStyle name="Normal 2 4 3 4 4 2" xfId="36404" xr:uid="{8FC061DB-DA6A-4ACE-9925-C065C54A6F85}"/>
    <cellStyle name="Normal 2 4 3 4 4 3" xfId="18904" xr:uid="{5A80F526-02EF-448B-A550-896152F90133}"/>
    <cellStyle name="Normal 2 4 3 4 5" xfId="27956" xr:uid="{753F868D-7E6E-433E-8118-0F6D4E1E9990}"/>
    <cellStyle name="Normal 2 4 3 4 6" xfId="19509" xr:uid="{355DD476-02E0-4095-826E-2A36FD887BF7}"/>
    <cellStyle name="Normal 2 4 3 4 7" xfId="10212" xr:uid="{2E67CEB5-CE96-4795-81B6-EDE653451C5D}"/>
    <cellStyle name="Normal 2 4 3 5" xfId="1209" xr:uid="{00000000-0005-0000-0000-000024100000}"/>
    <cellStyle name="Normal 2 4 3 5 2" xfId="3439" xr:uid="{00000000-0005-0000-0000-000025100000}"/>
    <cellStyle name="Normal 2 4 3 5 2 2" xfId="7661" xr:uid="{00000000-0005-0000-0000-000026100000}"/>
    <cellStyle name="Normal 2 4 3 5 2 2 2" xfId="43179" xr:uid="{47205905-9A8A-46B0-A205-2BA22DD794E9}"/>
    <cellStyle name="Normal 2 4 3 5 2 2 3" xfId="34732" xr:uid="{AA8BB162-0320-4D4C-8610-4FFB9C08E4FC}"/>
    <cellStyle name="Normal 2 4 3 5 2 2 4" xfId="26284" xr:uid="{C8F4D15D-07B9-4722-BE06-7D39476CC947}"/>
    <cellStyle name="Normal 2 4 3 5 2 2 5" xfId="16987" xr:uid="{097D203B-07A2-4F72-8DDB-0BB2FBB19EDC}"/>
    <cellStyle name="Normal 2 4 3 5 2 3" xfId="38962" xr:uid="{0A4D6E46-41B3-4C9A-84CA-15E4C69D741A}"/>
    <cellStyle name="Normal 2 4 3 5 2 4" xfId="30514" xr:uid="{C8013F56-16E0-418B-9989-C55982D67621}"/>
    <cellStyle name="Normal 2 4 3 5 2 5" xfId="22067" xr:uid="{B1C287A4-DECB-4796-BA7D-2C77090300EF}"/>
    <cellStyle name="Normal 2 4 3 5 2 6" xfId="12770" xr:uid="{49852E04-C495-4CA0-8569-BA34197973E7}"/>
    <cellStyle name="Normal 2 4 3 5 3" xfId="5516" xr:uid="{00000000-0005-0000-0000-000027100000}"/>
    <cellStyle name="Normal 2 4 3 5 3 2" xfId="41034" xr:uid="{FC26F869-D45D-47A6-B1AA-9B14F83CDF02}"/>
    <cellStyle name="Normal 2 4 3 5 3 3" xfId="32587" xr:uid="{CE3003BD-6A96-49E8-B5AB-86308201B19C}"/>
    <cellStyle name="Normal 2 4 3 5 3 4" xfId="24139" xr:uid="{F358C967-E586-4182-AC3E-E875F0B4EC19}"/>
    <cellStyle name="Normal 2 4 3 5 3 5" xfId="14842" xr:uid="{52FD997F-EACE-432A-B089-AE6CB5BB7824}"/>
    <cellStyle name="Normal 2 4 3 5 4" xfId="36817" xr:uid="{6C06D40C-388F-4579-AFBC-8C4A5F48015E}"/>
    <cellStyle name="Normal 2 4 3 5 5" xfId="28369" xr:uid="{9B6C6ED0-F195-43A2-96CD-C029752D2667}"/>
    <cellStyle name="Normal 2 4 3 5 6" xfId="19922" xr:uid="{CFCF4D9C-851D-442D-B1FA-668067E38BC5}"/>
    <cellStyle name="Normal 2 4 3 5 7" xfId="10625" xr:uid="{62C80D25-0E4D-4548-898F-06473B28F107}"/>
    <cellStyle name="Normal 2 4 3 6" xfId="1622" xr:uid="{00000000-0005-0000-0000-000028100000}"/>
    <cellStyle name="Normal 2 4 3 6 2" xfId="3852" xr:uid="{00000000-0005-0000-0000-000029100000}"/>
    <cellStyle name="Normal 2 4 3 6 2 2" xfId="8074" xr:uid="{00000000-0005-0000-0000-00002A100000}"/>
    <cellStyle name="Normal 2 4 3 6 2 2 2" xfId="43592" xr:uid="{0D80F5DE-E610-46BC-8484-1CD82DEB0762}"/>
    <cellStyle name="Normal 2 4 3 6 2 2 3" xfId="35145" xr:uid="{E7D0A0CA-69CF-4E2C-A199-3C750E8ED652}"/>
    <cellStyle name="Normal 2 4 3 6 2 2 4" xfId="26697" xr:uid="{647E67C7-D01F-48B7-AED2-836146AC348F}"/>
    <cellStyle name="Normal 2 4 3 6 2 2 5" xfId="17400" xr:uid="{EEF7A7E1-9C26-4522-B2B6-29E9C7281F3F}"/>
    <cellStyle name="Normal 2 4 3 6 2 3" xfId="39375" xr:uid="{F6941A57-E1F0-4EC5-B4D2-9BB8D409A906}"/>
    <cellStyle name="Normal 2 4 3 6 2 4" xfId="30927" xr:uid="{8861908B-7C7C-4950-992C-19BB78F7C82F}"/>
    <cellStyle name="Normal 2 4 3 6 2 5" xfId="22480" xr:uid="{DE6DFC34-1F94-4357-A406-303BE2970EE2}"/>
    <cellStyle name="Normal 2 4 3 6 2 6" xfId="13183" xr:uid="{4CC0568D-954B-4306-AD35-6F9DA719E8F6}"/>
    <cellStyle name="Normal 2 4 3 6 3" xfId="5929" xr:uid="{00000000-0005-0000-0000-00002B100000}"/>
    <cellStyle name="Normal 2 4 3 6 3 2" xfId="41447" xr:uid="{0F7572B2-5A00-4D7B-8C8B-F3D1E78C7F97}"/>
    <cellStyle name="Normal 2 4 3 6 3 3" xfId="33000" xr:uid="{EE62626F-2C48-4761-9648-8399CCF9BA25}"/>
    <cellStyle name="Normal 2 4 3 6 3 4" xfId="24552" xr:uid="{7BF48592-8001-4FFC-B2FD-DBB0063BD0A0}"/>
    <cellStyle name="Normal 2 4 3 6 3 5" xfId="15255" xr:uid="{242E63EF-929B-49B6-9539-182EC917AC33}"/>
    <cellStyle name="Normal 2 4 3 6 4" xfId="37230" xr:uid="{DB439767-DB7B-4DF9-B30A-E494177AAB07}"/>
    <cellStyle name="Normal 2 4 3 6 5" xfId="28782" xr:uid="{C3136EE5-4DD8-4A76-9532-5A11018E3337}"/>
    <cellStyle name="Normal 2 4 3 6 6" xfId="20335" xr:uid="{4F33B993-CDA1-4E53-8F9C-7AAAC0FA8B18}"/>
    <cellStyle name="Normal 2 4 3 6 7" xfId="11038" xr:uid="{7246A9A4-2DEB-471A-B726-20F1A0AF0217}"/>
    <cellStyle name="Normal 2 4 3 7" xfId="2036" xr:uid="{00000000-0005-0000-0000-00002C100000}"/>
    <cellStyle name="Normal 2 4 3 7 2" xfId="4265" xr:uid="{00000000-0005-0000-0000-00002D100000}"/>
    <cellStyle name="Normal 2 4 3 7 2 2" xfId="8487" xr:uid="{00000000-0005-0000-0000-00002E100000}"/>
    <cellStyle name="Normal 2 4 3 7 2 2 2" xfId="44005" xr:uid="{564DDDB0-9DB4-4FAF-9A20-2C7CAC3E12F2}"/>
    <cellStyle name="Normal 2 4 3 7 2 2 3" xfId="35558" xr:uid="{2E61A144-2FD2-4E45-9F2E-8EE4B68D1E76}"/>
    <cellStyle name="Normal 2 4 3 7 2 2 4" xfId="27110" xr:uid="{A7F64276-126E-4904-8B59-ACFCBF71E3DA}"/>
    <cellStyle name="Normal 2 4 3 7 2 2 5" xfId="17813" xr:uid="{EC324BBD-0BC6-44CE-BAD8-51B96D8BE80E}"/>
    <cellStyle name="Normal 2 4 3 7 2 3" xfId="39788" xr:uid="{788A12FC-A2BC-46A1-90E4-03BCD8DE54A7}"/>
    <cellStyle name="Normal 2 4 3 7 2 4" xfId="31340" xr:uid="{B3442CDB-8625-4B81-9E7A-5B0890F900FD}"/>
    <cellStyle name="Normal 2 4 3 7 2 5" xfId="22893" xr:uid="{FD1191F5-7110-4973-B8B3-746017C78136}"/>
    <cellStyle name="Normal 2 4 3 7 2 6" xfId="13596" xr:uid="{B8440244-389D-4B3D-A0F4-1B41C5BFBC20}"/>
    <cellStyle name="Normal 2 4 3 7 3" xfId="6342" xr:uid="{00000000-0005-0000-0000-00002F100000}"/>
    <cellStyle name="Normal 2 4 3 7 3 2" xfId="41860" xr:uid="{6A864F5D-E727-4D4D-9C6F-69D08D144DF8}"/>
    <cellStyle name="Normal 2 4 3 7 3 3" xfId="33413" xr:uid="{4BC83C0C-25B1-4AF2-A88D-97B7591A01C3}"/>
    <cellStyle name="Normal 2 4 3 7 3 4" xfId="24965" xr:uid="{F652E5F2-E55A-4F23-A915-9D258A201C85}"/>
    <cellStyle name="Normal 2 4 3 7 3 5" xfId="15668" xr:uid="{ADB0B74E-41D5-4E4A-AA49-FC5AF0188372}"/>
    <cellStyle name="Normal 2 4 3 7 4" xfId="37643" xr:uid="{337DD5DD-0BE5-4FEB-807D-075FAA3A7C5E}"/>
    <cellStyle name="Normal 2 4 3 7 5" xfId="29195" xr:uid="{50DAF676-468F-4DA2-BC91-28BB444D833C}"/>
    <cellStyle name="Normal 2 4 3 7 6" xfId="20748" xr:uid="{B1ED573B-4C47-4E0D-BD37-0B66C8E8A315}"/>
    <cellStyle name="Normal 2 4 3 7 7" xfId="11451" xr:uid="{EA4258F5-8799-45FB-898D-8469B7B4D568}"/>
    <cellStyle name="Normal 2 4 3 8" xfId="2472" xr:uid="{00000000-0005-0000-0000-000030100000}"/>
    <cellStyle name="Normal 2 4 3 8 2" xfId="6755" xr:uid="{00000000-0005-0000-0000-000031100000}"/>
    <cellStyle name="Normal 2 4 3 8 2 2" xfId="42273" xr:uid="{A2AD030E-B03A-4BD5-9359-4A1B0D34B889}"/>
    <cellStyle name="Normal 2 4 3 8 2 3" xfId="33826" xr:uid="{08B93BB5-A724-4CF6-B1EF-94A03C55F486}"/>
    <cellStyle name="Normal 2 4 3 8 2 4" xfId="25378" xr:uid="{09DCD310-781A-4D26-BC58-80DCC3E9882E}"/>
    <cellStyle name="Normal 2 4 3 8 2 5" xfId="16081" xr:uid="{A6B43B79-8A20-49A5-870E-9E490ABACC47}"/>
    <cellStyle name="Normal 2 4 3 8 3" xfId="38056" xr:uid="{C6EF382E-EBEC-46D9-A078-233FE4F70347}"/>
    <cellStyle name="Normal 2 4 3 8 4" xfId="29608" xr:uid="{BAD31CF1-FEE4-429C-A497-30D7BB612C10}"/>
    <cellStyle name="Normal 2 4 3 8 5" xfId="21161" xr:uid="{F05E8E9A-F86A-448C-84BB-6FAB5EE6BAED}"/>
    <cellStyle name="Normal 2 4 3 8 6" xfId="11864" xr:uid="{2D3209CC-C402-4FD8-B7ED-57BE716F1413}"/>
    <cellStyle name="Normal 2 4 3 9" xfId="4689" xr:uid="{00000000-0005-0000-0000-000032100000}"/>
    <cellStyle name="Normal 2 4 3 9 2" xfId="40207" xr:uid="{6C5792EC-FF7B-476E-BDD6-1136D992BF5B}"/>
    <cellStyle name="Normal 2 4 3 9 3" xfId="31760" xr:uid="{37010C33-AEAF-4B2D-82EC-0B1AF3E4FD67}"/>
    <cellStyle name="Normal 2 4 3 9 4" xfId="23312" xr:uid="{4015145E-657E-408B-8A2A-CD4FB642E99A}"/>
    <cellStyle name="Normal 2 4 3 9 5" xfId="14015" xr:uid="{4755539B-1C1C-42E5-AE99-3F89C983B4BF}"/>
    <cellStyle name="Normal 2 4 4" xfId="302" xr:uid="{00000000-0005-0000-0000-000033100000}"/>
    <cellStyle name="Normal 2 4 5" xfId="303" xr:uid="{00000000-0005-0000-0000-000034100000}"/>
    <cellStyle name="Normal 2 4 5 10" xfId="4694" xr:uid="{00000000-0005-0000-0000-000035100000}"/>
    <cellStyle name="Normal 2 4 5 10 2" xfId="40212" xr:uid="{A7049270-D8CF-4337-BC15-7508E8960613}"/>
    <cellStyle name="Normal 2 4 5 10 3" xfId="31765" xr:uid="{83C37650-6B84-401D-8EE5-39F70AFB2784}"/>
    <cellStyle name="Normal 2 4 5 10 4" xfId="23317" xr:uid="{772AA6A2-D3D2-4546-8C38-CCDE8D0AF8A6}"/>
    <cellStyle name="Normal 2 4 5 10 5" xfId="14020" xr:uid="{D6033D89-745C-4534-B826-436D7C30EE35}"/>
    <cellStyle name="Normal 2 4 5 11" xfId="8780" xr:uid="{7650B30D-5C17-47F0-B17B-A5E27258C29E}"/>
    <cellStyle name="Normal 2 4 5 11 2" xfId="35995" xr:uid="{1366D586-E5C6-4174-9AEF-7171EEA06ECE}"/>
    <cellStyle name="Normal 2 4 5 11 3" xfId="18103" xr:uid="{B33D888B-8B0F-4BF6-A411-2640E391D453}"/>
    <cellStyle name="Normal 2 4 5 12" xfId="27547" xr:uid="{21DB4B1A-CF01-4DFD-B15D-8DE3EFDB60D9}"/>
    <cellStyle name="Normal 2 4 5 13" xfId="19100" xr:uid="{B61B10E4-0162-44F9-A924-CE832ABD2F6D}"/>
    <cellStyle name="Normal 2 4 5 14" xfId="9803" xr:uid="{0147914F-3D2D-4AB4-94AF-9241F5A83C6E}"/>
    <cellStyle name="Normal 2 4 5 2" xfId="304" xr:uid="{00000000-0005-0000-0000-000036100000}"/>
    <cellStyle name="Normal 2 4 5 2 10" xfId="8815" xr:uid="{40A5EFE5-2EC9-4F25-B9EC-CAF9321E00F7}"/>
    <cellStyle name="Normal 2 4 5 2 10 2" xfId="35996" xr:uid="{78CB8C10-7E79-45D8-BF44-FF68884BE18E}"/>
    <cellStyle name="Normal 2 4 5 2 10 3" xfId="18138" xr:uid="{A4224CF8-9D73-434F-856F-C332D54AA8E8}"/>
    <cellStyle name="Normal 2 4 5 2 11" xfId="27548" xr:uid="{F9CF092E-7193-4554-8029-EFF036352095}"/>
    <cellStyle name="Normal 2 4 5 2 12" xfId="19101" xr:uid="{F9BB44EC-94EC-4659-B20F-E7598BE2729D}"/>
    <cellStyle name="Normal 2 4 5 2 13" xfId="9804" xr:uid="{998B7B00-DAC5-495F-B697-1089C1631C92}"/>
    <cellStyle name="Normal 2 4 5 2 2" xfId="305" xr:uid="{00000000-0005-0000-0000-000037100000}"/>
    <cellStyle name="Normal 2 4 5 2 2 10" xfId="27549" xr:uid="{D840C9BE-7FA4-437A-BCE1-4CBBCB0624C2}"/>
    <cellStyle name="Normal 2 4 5 2 2 11" xfId="19102" xr:uid="{1B17FC97-A9A6-4E32-9974-2C167FCAA6E5}"/>
    <cellStyle name="Normal 2 4 5 2 2 12" xfId="9805" xr:uid="{04B805A5-E7C7-4A7B-A12C-E7E685D161BD}"/>
    <cellStyle name="Normal 2 4 5 2 2 2" xfId="306" xr:uid="{00000000-0005-0000-0000-000038100000}"/>
    <cellStyle name="Normal 2 4 5 2 2 2 10" xfId="19103" xr:uid="{E03EFDE6-F997-4ADA-AE96-328BA27DB23B}"/>
    <cellStyle name="Normal 2 4 5 2 2 2 11" xfId="9806" xr:uid="{3EBF8DBC-05B3-4514-8848-29481BD05AB2}"/>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42774" xr:uid="{8FCEA0CC-6DE3-4F80-B0E1-F6A289B0465D}"/>
    <cellStyle name="Normal 2 4 5 2 2 2 2 2 2 3" xfId="34327" xr:uid="{B4A44154-D1C1-482F-BE59-125CE2CF095D}"/>
    <cellStyle name="Normal 2 4 5 2 2 2 2 2 2 4" xfId="25879" xr:uid="{11E6BFB0-5EB3-4D24-BD71-DBE27472A7A7}"/>
    <cellStyle name="Normal 2 4 5 2 2 2 2 2 2 5" xfId="16582" xr:uid="{17095E9F-A993-488F-AD79-C6A1D542420F}"/>
    <cellStyle name="Normal 2 4 5 2 2 2 2 2 3" xfId="38557" xr:uid="{F051A9C0-05F7-4C43-904B-AE7202C7E9F6}"/>
    <cellStyle name="Normal 2 4 5 2 2 2 2 2 4" xfId="30109" xr:uid="{851F7302-D103-4774-B92F-0166DA5F45C7}"/>
    <cellStyle name="Normal 2 4 5 2 2 2 2 2 5" xfId="21662" xr:uid="{76B2A927-4D25-45C5-8798-EA26DADD84A4}"/>
    <cellStyle name="Normal 2 4 5 2 2 2 2 2 6" xfId="12365" xr:uid="{05E83BAE-CD5F-474A-B413-2D853324C283}"/>
    <cellStyle name="Normal 2 4 5 2 2 2 2 3" xfId="5111" xr:uid="{00000000-0005-0000-0000-00003C100000}"/>
    <cellStyle name="Normal 2 4 5 2 2 2 2 3 2" xfId="40629" xr:uid="{61A2C65A-3162-4577-87F3-C9C7212B1B89}"/>
    <cellStyle name="Normal 2 4 5 2 2 2 2 3 3" xfId="32182" xr:uid="{67949150-795C-4309-B6EE-6427F5CD8762}"/>
    <cellStyle name="Normal 2 4 5 2 2 2 2 3 4" xfId="23734" xr:uid="{0F6B79A0-46B8-469A-9AF2-BCEB56F9DC90}"/>
    <cellStyle name="Normal 2 4 5 2 2 2 2 3 5" xfId="14437" xr:uid="{801FF016-B22D-41E2-AECE-81B8A7B6B412}"/>
    <cellStyle name="Normal 2 4 5 2 2 2 2 4" xfId="9550" xr:uid="{8A7671EC-AB7E-4F51-9B1B-FE1F0FDC42A9}"/>
    <cellStyle name="Normal 2 4 5 2 2 2 2 4 2" xfId="36412" xr:uid="{E6DFDF63-4C21-4D7B-8BB0-D791ED17DEAD}"/>
    <cellStyle name="Normal 2 4 5 2 2 2 2 4 3" xfId="18863" xr:uid="{26783CB8-D28B-442E-87C2-618DBABCC80A}"/>
    <cellStyle name="Normal 2 4 5 2 2 2 2 5" xfId="27964" xr:uid="{092466FE-EDDA-4536-8B13-B3A8F84323B6}"/>
    <cellStyle name="Normal 2 4 5 2 2 2 2 6" xfId="19517" xr:uid="{7ED2B906-7F1E-4337-8B96-996DFCE9095B}"/>
    <cellStyle name="Normal 2 4 5 2 2 2 2 7" xfId="10220" xr:uid="{29847427-10B2-42A0-B1E5-5A834EF3696E}"/>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43187" xr:uid="{126E2618-37BF-491D-ADA6-7AD49468C31F}"/>
    <cellStyle name="Normal 2 4 5 2 2 2 3 2 2 3" xfId="34740" xr:uid="{CDE0949A-2A8D-400B-AD5E-53DBC2AC48F4}"/>
    <cellStyle name="Normal 2 4 5 2 2 2 3 2 2 4" xfId="26292" xr:uid="{611D1956-C55E-4238-B109-3B4BD66AB7D8}"/>
    <cellStyle name="Normal 2 4 5 2 2 2 3 2 2 5" xfId="16995" xr:uid="{6D9F0301-A16F-4CCF-AC30-1E065203505B}"/>
    <cellStyle name="Normal 2 4 5 2 2 2 3 2 3" xfId="38970" xr:uid="{E140922A-BE49-4A26-AAA0-F1CFFDA95BB6}"/>
    <cellStyle name="Normal 2 4 5 2 2 2 3 2 4" xfId="30522" xr:uid="{9CE27ECA-A83F-483F-BAB1-0CC54AFE2608}"/>
    <cellStyle name="Normal 2 4 5 2 2 2 3 2 5" xfId="22075" xr:uid="{CC62A8C9-C338-4F19-8A31-9E4A5D2B445B}"/>
    <cellStyle name="Normal 2 4 5 2 2 2 3 2 6" xfId="12778" xr:uid="{7EA79C4A-22A0-49C8-89F6-A4473766B140}"/>
    <cellStyle name="Normal 2 4 5 2 2 2 3 3" xfId="5524" xr:uid="{00000000-0005-0000-0000-000040100000}"/>
    <cellStyle name="Normal 2 4 5 2 2 2 3 3 2" xfId="41042" xr:uid="{543B8499-371B-4C60-9395-1BAC86AB926E}"/>
    <cellStyle name="Normal 2 4 5 2 2 2 3 3 3" xfId="32595" xr:uid="{7FD61A25-1E17-423A-9A91-7F4F7C983897}"/>
    <cellStyle name="Normal 2 4 5 2 2 2 3 3 4" xfId="24147" xr:uid="{7189E232-2DF8-4582-83DD-0AD0DB6DEA04}"/>
    <cellStyle name="Normal 2 4 5 2 2 2 3 3 5" xfId="14850" xr:uid="{8DB39BC0-9F81-48FF-A6AA-A003F1B9DD1D}"/>
    <cellStyle name="Normal 2 4 5 2 2 2 3 4" xfId="36825" xr:uid="{87FE8227-7E8B-43E0-9B45-D9EB5D1C9961}"/>
    <cellStyle name="Normal 2 4 5 2 2 2 3 5" xfId="28377" xr:uid="{50B5B547-A448-4DEA-9371-9F618C21EA8E}"/>
    <cellStyle name="Normal 2 4 5 2 2 2 3 6" xfId="19930" xr:uid="{D5F7F47E-A4E7-42A1-BBB2-3633B40BA667}"/>
    <cellStyle name="Normal 2 4 5 2 2 2 3 7" xfId="10633" xr:uid="{8EC9A906-9390-444C-B2AE-0E2E8CCDC2D8}"/>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43600" xr:uid="{AE5BC12C-B273-4211-902E-8051C1C97A26}"/>
    <cellStyle name="Normal 2 4 5 2 2 2 4 2 2 3" xfId="35153" xr:uid="{C2534193-89FC-46F9-ACC2-16C3A5F691C1}"/>
    <cellStyle name="Normal 2 4 5 2 2 2 4 2 2 4" xfId="26705" xr:uid="{D4AFE56A-1F3A-43ED-9754-49FE574D083E}"/>
    <cellStyle name="Normal 2 4 5 2 2 2 4 2 2 5" xfId="17408" xr:uid="{FF98D136-323D-4277-BD15-CC6A1C8D2D26}"/>
    <cellStyle name="Normal 2 4 5 2 2 2 4 2 3" xfId="39383" xr:uid="{2888C890-4B15-40E5-B907-FAECF71448CD}"/>
    <cellStyle name="Normal 2 4 5 2 2 2 4 2 4" xfId="30935" xr:uid="{81DE85DB-FB81-4FD7-A910-84A01A467724}"/>
    <cellStyle name="Normal 2 4 5 2 2 2 4 2 5" xfId="22488" xr:uid="{EEAB6D60-7687-4EC0-BA09-0A935CA6C66E}"/>
    <cellStyle name="Normal 2 4 5 2 2 2 4 2 6" xfId="13191" xr:uid="{63D2AF64-AF3B-4CD6-BECC-4FE3FA3E38BA}"/>
    <cellStyle name="Normal 2 4 5 2 2 2 4 3" xfId="5937" xr:uid="{00000000-0005-0000-0000-000044100000}"/>
    <cellStyle name="Normal 2 4 5 2 2 2 4 3 2" xfId="41455" xr:uid="{8958FDC9-B7D5-4C23-960B-6436791652BD}"/>
    <cellStyle name="Normal 2 4 5 2 2 2 4 3 3" xfId="33008" xr:uid="{A7CE78EE-281E-4927-B861-3394EFEFFAA3}"/>
    <cellStyle name="Normal 2 4 5 2 2 2 4 3 4" xfId="24560" xr:uid="{0E9613C2-5C6B-4FD3-BEBC-4261EF7192F7}"/>
    <cellStyle name="Normal 2 4 5 2 2 2 4 3 5" xfId="15263" xr:uid="{D8121117-2C34-423E-AE35-7FF9A91769D7}"/>
    <cellStyle name="Normal 2 4 5 2 2 2 4 4" xfId="37238" xr:uid="{677A8784-536C-4329-8988-6900F49B419C}"/>
    <cellStyle name="Normal 2 4 5 2 2 2 4 5" xfId="28790" xr:uid="{856EB63A-030A-420D-8FB9-7C7A9B452965}"/>
    <cellStyle name="Normal 2 4 5 2 2 2 4 6" xfId="20343" xr:uid="{F94E7A9B-9F22-475F-804C-2B82382774EC}"/>
    <cellStyle name="Normal 2 4 5 2 2 2 4 7" xfId="11046" xr:uid="{7695C2F3-F62A-4702-862D-1795E33BB083}"/>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44013" xr:uid="{17211974-F59B-4ADF-BEB8-CBDEDFC34075}"/>
    <cellStyle name="Normal 2 4 5 2 2 2 5 2 2 3" xfId="35566" xr:uid="{E491B27D-DB54-4934-99BF-12A6A02E5630}"/>
    <cellStyle name="Normal 2 4 5 2 2 2 5 2 2 4" xfId="27118" xr:uid="{9BCA35DA-BC2E-49BD-B8CE-8D5972A061BF}"/>
    <cellStyle name="Normal 2 4 5 2 2 2 5 2 2 5" xfId="17821" xr:uid="{B32C8BF9-9134-482A-BC33-B728E6942697}"/>
    <cellStyle name="Normal 2 4 5 2 2 2 5 2 3" xfId="39796" xr:uid="{C3D7F339-C9A6-4A7E-8B1C-48211BB96640}"/>
    <cellStyle name="Normal 2 4 5 2 2 2 5 2 4" xfId="31348" xr:uid="{B03B96DA-A518-4CA2-A580-D180E8C8412C}"/>
    <cellStyle name="Normal 2 4 5 2 2 2 5 2 5" xfId="22901" xr:uid="{A41C78F2-33ED-46D6-900F-B2780DB0FC45}"/>
    <cellStyle name="Normal 2 4 5 2 2 2 5 2 6" xfId="13604" xr:uid="{E3DA6CE7-C8FC-4F5D-BFA9-7818DA434B87}"/>
    <cellStyle name="Normal 2 4 5 2 2 2 5 3" xfId="6350" xr:uid="{00000000-0005-0000-0000-000048100000}"/>
    <cellStyle name="Normal 2 4 5 2 2 2 5 3 2" xfId="41868" xr:uid="{92D41664-5373-4B35-BBD5-BD6D30255964}"/>
    <cellStyle name="Normal 2 4 5 2 2 2 5 3 3" xfId="33421" xr:uid="{94A5C758-02D3-4490-92F5-6F0AF3E9677D}"/>
    <cellStyle name="Normal 2 4 5 2 2 2 5 3 4" xfId="24973" xr:uid="{B9C7D2DA-633C-4CCB-87EC-87EB3A3B123E}"/>
    <cellStyle name="Normal 2 4 5 2 2 2 5 3 5" xfId="15676" xr:uid="{F92C80E8-F019-486A-B511-35AA3BDE5EEC}"/>
    <cellStyle name="Normal 2 4 5 2 2 2 5 4" xfId="37651" xr:uid="{C4EE9371-6C71-46A0-8349-49BC07A20B28}"/>
    <cellStyle name="Normal 2 4 5 2 2 2 5 5" xfId="29203" xr:uid="{2D4EA3B3-11FB-4687-9A83-E007FE4B4DCF}"/>
    <cellStyle name="Normal 2 4 5 2 2 2 5 6" xfId="20756" xr:uid="{358094E7-514D-44F3-9E19-CA1B7315EDEB}"/>
    <cellStyle name="Normal 2 4 5 2 2 2 5 7" xfId="11459" xr:uid="{CCC4D837-B07E-4837-B323-2C0A5CE7C6FD}"/>
    <cellStyle name="Normal 2 4 5 2 2 2 6" xfId="2480" xr:uid="{00000000-0005-0000-0000-000049100000}"/>
    <cellStyle name="Normal 2 4 5 2 2 2 6 2" xfId="6763" xr:uid="{00000000-0005-0000-0000-00004A100000}"/>
    <cellStyle name="Normal 2 4 5 2 2 2 6 2 2" xfId="42281" xr:uid="{744290EE-689F-4172-8674-9B8408D2E73D}"/>
    <cellStyle name="Normal 2 4 5 2 2 2 6 2 3" xfId="33834" xr:uid="{3D0565E0-1CF7-4CB0-81EB-6A5CF26D55CC}"/>
    <cellStyle name="Normal 2 4 5 2 2 2 6 2 4" xfId="25386" xr:uid="{F916679E-7D3F-424A-A0AD-3608CAAC6E6D}"/>
    <cellStyle name="Normal 2 4 5 2 2 2 6 2 5" xfId="16089" xr:uid="{9995DC66-A011-4C25-AEA0-451D6454CDEC}"/>
    <cellStyle name="Normal 2 4 5 2 2 2 6 3" xfId="38064" xr:uid="{44382A4F-84B2-4254-A39F-4F79230F1455}"/>
    <cellStyle name="Normal 2 4 5 2 2 2 6 4" xfId="29616" xr:uid="{A0ECE1A7-1BD9-466C-856A-30DFEF7C2031}"/>
    <cellStyle name="Normal 2 4 5 2 2 2 6 5" xfId="21169" xr:uid="{1CA960EB-D2B6-4D6B-85AE-1B65DB4D477A}"/>
    <cellStyle name="Normal 2 4 5 2 2 2 6 6" xfId="11872" xr:uid="{E3637C7C-464A-4B3A-B318-0F1FAF72FCBF}"/>
    <cellStyle name="Normal 2 4 5 2 2 2 7" xfId="4697" xr:uid="{00000000-0005-0000-0000-00004B100000}"/>
    <cellStyle name="Normal 2 4 5 2 2 2 7 2" xfId="40215" xr:uid="{04C69E85-8DFB-4799-8512-E8AF39391C96}"/>
    <cellStyle name="Normal 2 4 5 2 2 2 7 3" xfId="31768" xr:uid="{8B2A7510-B7D9-4A6F-A854-AB57697581FF}"/>
    <cellStyle name="Normal 2 4 5 2 2 2 7 4" xfId="23320" xr:uid="{E8593DB2-7255-4459-8ADE-BED4A48F7747}"/>
    <cellStyle name="Normal 2 4 5 2 2 2 7 5" xfId="14023" xr:uid="{F3FE4D1A-3AAD-43E5-B662-761E846A3851}"/>
    <cellStyle name="Normal 2 4 5 2 2 2 8" xfId="9125" xr:uid="{AE6B93A1-5C0B-49F1-AF15-6FC3FAFFE3B2}"/>
    <cellStyle name="Normal 2 4 5 2 2 2 8 2" xfId="35998" xr:uid="{8B09B4B5-828F-4B38-A04E-D2EC42BDE7DF}"/>
    <cellStyle name="Normal 2 4 5 2 2 2 8 3" xfId="18448" xr:uid="{283763E0-863B-40E8-B709-BA5387B727E9}"/>
    <cellStyle name="Normal 2 4 5 2 2 2 9" xfId="27550" xr:uid="{3A1C9B54-7EE6-4DE7-A8E3-E6F68B71100A}"/>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42773" xr:uid="{E708EF25-3E28-45E3-92AE-CE7C322C69E9}"/>
    <cellStyle name="Normal 2 4 5 2 2 3 2 2 3" xfId="34326" xr:uid="{231820C5-59D8-4991-A93A-0C642B6E584D}"/>
    <cellStyle name="Normal 2 4 5 2 2 3 2 2 4" xfId="25878" xr:uid="{71D8EA33-D647-4B7F-9097-48F7396EEC88}"/>
    <cellStyle name="Normal 2 4 5 2 2 3 2 2 5" xfId="16581" xr:uid="{B94B8033-F2E5-412A-B858-99BFE9C0287A}"/>
    <cellStyle name="Normal 2 4 5 2 2 3 2 3" xfId="38556" xr:uid="{FAA6EF63-C557-4FAD-82A7-C355DE0488B6}"/>
    <cellStyle name="Normal 2 4 5 2 2 3 2 4" xfId="30108" xr:uid="{2D6C83BE-4A1A-4D15-8ED7-B4B09FBF7CF2}"/>
    <cellStyle name="Normal 2 4 5 2 2 3 2 5" xfId="21661" xr:uid="{AD95F53A-6D45-4F3F-A9BD-95A8E48C2C4C}"/>
    <cellStyle name="Normal 2 4 5 2 2 3 2 6" xfId="12364" xr:uid="{A599B1DC-7BA1-43D8-969C-AE61E2F316A4}"/>
    <cellStyle name="Normal 2 4 5 2 2 3 3" xfId="5110" xr:uid="{00000000-0005-0000-0000-00004F100000}"/>
    <cellStyle name="Normal 2 4 5 2 2 3 3 2" xfId="40628" xr:uid="{E5318C38-5D6B-41B9-B0DA-5929D6E707A0}"/>
    <cellStyle name="Normal 2 4 5 2 2 3 3 3" xfId="32181" xr:uid="{FDF2F6E8-0E14-446A-8DF5-F98EE43909AF}"/>
    <cellStyle name="Normal 2 4 5 2 2 3 3 4" xfId="23733" xr:uid="{13EDCEAC-5D6C-4FFD-B2FF-2DFF9C48A66D}"/>
    <cellStyle name="Normal 2 4 5 2 2 3 3 5" xfId="14436" xr:uid="{B87153DA-ABAF-466C-A8BC-B8681AA1A487}"/>
    <cellStyle name="Normal 2 4 5 2 2 3 4" xfId="9343" xr:uid="{FC4CD386-4202-45E2-8021-2A85CACF4E8B}"/>
    <cellStyle name="Normal 2 4 5 2 2 3 4 2" xfId="36411" xr:uid="{30840451-FF18-493D-8478-384BA52DB9B3}"/>
    <cellStyle name="Normal 2 4 5 2 2 3 4 3" xfId="18656" xr:uid="{A879C99A-A02C-41AB-A5B3-B0F70E727855}"/>
    <cellStyle name="Normal 2 4 5 2 2 3 5" xfId="27963" xr:uid="{FC15C556-25B1-40AA-82C4-5BD30FB498AD}"/>
    <cellStyle name="Normal 2 4 5 2 2 3 6" xfId="19516" xr:uid="{BCEA0F12-11B4-4FFA-BEFE-40F5264B3B14}"/>
    <cellStyle name="Normal 2 4 5 2 2 3 7" xfId="10219" xr:uid="{C707829E-3595-464D-A506-88E3141E3207}"/>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43186" xr:uid="{013E6682-2CC3-4A24-AC5E-79015B33B2EC}"/>
    <cellStyle name="Normal 2 4 5 2 2 4 2 2 3" xfId="34739" xr:uid="{CC2F9A00-B505-4B60-9FF7-C85BCA268D9C}"/>
    <cellStyle name="Normal 2 4 5 2 2 4 2 2 4" xfId="26291" xr:uid="{F66789D7-7B4C-4467-B61C-D2477B003438}"/>
    <cellStyle name="Normal 2 4 5 2 2 4 2 2 5" xfId="16994" xr:uid="{873E1432-2BA5-4753-8F7D-874C2AF79381}"/>
    <cellStyle name="Normal 2 4 5 2 2 4 2 3" xfId="38969" xr:uid="{C4693E99-79E0-4339-9340-81A0074BB2B8}"/>
    <cellStyle name="Normal 2 4 5 2 2 4 2 4" xfId="30521" xr:uid="{80A4B2C9-452F-409A-8D3F-77C6A1CA15FD}"/>
    <cellStyle name="Normal 2 4 5 2 2 4 2 5" xfId="22074" xr:uid="{7334F814-99BF-4D42-8C24-675A6E4C0AD9}"/>
    <cellStyle name="Normal 2 4 5 2 2 4 2 6" xfId="12777" xr:uid="{955C2ED2-2711-4FF6-8E95-AF7EB4425995}"/>
    <cellStyle name="Normal 2 4 5 2 2 4 3" xfId="5523" xr:uid="{00000000-0005-0000-0000-000053100000}"/>
    <cellStyle name="Normal 2 4 5 2 2 4 3 2" xfId="41041" xr:uid="{E121A5C5-8FDF-4307-B366-66A0F3A7499F}"/>
    <cellStyle name="Normal 2 4 5 2 2 4 3 3" xfId="32594" xr:uid="{00B4608E-AA0C-41D0-8399-B715AAA60367}"/>
    <cellStyle name="Normal 2 4 5 2 2 4 3 4" xfId="24146" xr:uid="{38B936DA-5C1E-438E-A109-972A60AF9DFA}"/>
    <cellStyle name="Normal 2 4 5 2 2 4 3 5" xfId="14849" xr:uid="{5FC7C6CA-93EC-4B48-9211-A2A11C389BCB}"/>
    <cellStyle name="Normal 2 4 5 2 2 4 4" xfId="36824" xr:uid="{B9E02A4C-6110-45E8-AD27-5171BB9B4E6D}"/>
    <cellStyle name="Normal 2 4 5 2 2 4 5" xfId="28376" xr:uid="{41DBB928-D298-46B5-9295-9A303CA51FA8}"/>
    <cellStyle name="Normal 2 4 5 2 2 4 6" xfId="19929" xr:uid="{BDED2CE1-4ED1-410F-BFBA-342AA3580707}"/>
    <cellStyle name="Normal 2 4 5 2 2 4 7" xfId="10632" xr:uid="{DB1BA866-FC17-46F4-89C1-1BD887CF0E42}"/>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43599" xr:uid="{CF5DA6B5-CCAB-4E0F-853D-CF866AF79583}"/>
    <cellStyle name="Normal 2 4 5 2 2 5 2 2 3" xfId="35152" xr:uid="{3EA0416F-7A24-4F15-95D9-9591E4D87E2B}"/>
    <cellStyle name="Normal 2 4 5 2 2 5 2 2 4" xfId="26704" xr:uid="{451A6707-34F5-489F-B977-A85115D29752}"/>
    <cellStyle name="Normal 2 4 5 2 2 5 2 2 5" xfId="17407" xr:uid="{B1F7880C-1D7B-47C3-8098-0FAF2C6792E6}"/>
    <cellStyle name="Normal 2 4 5 2 2 5 2 3" xfId="39382" xr:uid="{F699DF44-1B4C-47CC-B19D-FC470ABDC696}"/>
    <cellStyle name="Normal 2 4 5 2 2 5 2 4" xfId="30934" xr:uid="{27811AEB-C826-4534-A669-5DAC97F4F8CE}"/>
    <cellStyle name="Normal 2 4 5 2 2 5 2 5" xfId="22487" xr:uid="{4DC706DE-4A3C-4F31-A9EF-20B11BA36255}"/>
    <cellStyle name="Normal 2 4 5 2 2 5 2 6" xfId="13190" xr:uid="{088E61EE-11CA-41EF-8BE6-3970B22975F9}"/>
    <cellStyle name="Normal 2 4 5 2 2 5 3" xfId="5936" xr:uid="{00000000-0005-0000-0000-000057100000}"/>
    <cellStyle name="Normal 2 4 5 2 2 5 3 2" xfId="41454" xr:uid="{7A57F718-50F4-44E5-8F94-B1E118C10A71}"/>
    <cellStyle name="Normal 2 4 5 2 2 5 3 3" xfId="33007" xr:uid="{27319784-00B7-4275-884D-3E95259BE2A5}"/>
    <cellStyle name="Normal 2 4 5 2 2 5 3 4" xfId="24559" xr:uid="{4F7EFF19-0539-41AA-8157-6DA6C27E3A3E}"/>
    <cellStyle name="Normal 2 4 5 2 2 5 3 5" xfId="15262" xr:uid="{9B6AD158-8AF1-4A24-9E89-7E2FB2C2A971}"/>
    <cellStyle name="Normal 2 4 5 2 2 5 4" xfId="37237" xr:uid="{71FA91E8-C609-44DA-B27E-06053917944E}"/>
    <cellStyle name="Normal 2 4 5 2 2 5 5" xfId="28789" xr:uid="{0E5A82FD-8552-4EE5-A62D-FEEE042B077E}"/>
    <cellStyle name="Normal 2 4 5 2 2 5 6" xfId="20342" xr:uid="{BE552656-AF18-4533-BC06-148099B2243B}"/>
    <cellStyle name="Normal 2 4 5 2 2 5 7" xfId="11045" xr:uid="{BE768A8C-F7A4-4301-BD84-E51F8CFE00D9}"/>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44012" xr:uid="{769E5A92-AD72-46B6-B750-D1B4BA21146C}"/>
    <cellStyle name="Normal 2 4 5 2 2 6 2 2 3" xfId="35565" xr:uid="{CDF51446-A818-49CC-A7D5-5B6AF1D2D75F}"/>
    <cellStyle name="Normal 2 4 5 2 2 6 2 2 4" xfId="27117" xr:uid="{10826387-3FEC-4C9E-9A66-B2B27C6966D3}"/>
    <cellStyle name="Normal 2 4 5 2 2 6 2 2 5" xfId="17820" xr:uid="{4542704E-8AEE-4C2F-A647-566E930670F2}"/>
    <cellStyle name="Normal 2 4 5 2 2 6 2 3" xfId="39795" xr:uid="{9AF647A3-1976-4BD6-AE86-1A3B3A7D1791}"/>
    <cellStyle name="Normal 2 4 5 2 2 6 2 4" xfId="31347" xr:uid="{C351B178-1B3D-4F87-BA4B-C36BE3D0D051}"/>
    <cellStyle name="Normal 2 4 5 2 2 6 2 5" xfId="22900" xr:uid="{93E60753-E8D0-4DF7-B266-9404B2569BEE}"/>
    <cellStyle name="Normal 2 4 5 2 2 6 2 6" xfId="13603" xr:uid="{B0D341FE-9345-45B7-8F17-7704FDDBE782}"/>
    <cellStyle name="Normal 2 4 5 2 2 6 3" xfId="6349" xr:uid="{00000000-0005-0000-0000-00005B100000}"/>
    <cellStyle name="Normal 2 4 5 2 2 6 3 2" xfId="41867" xr:uid="{534C2BE6-BB80-401A-B38C-8B2261EA5178}"/>
    <cellStyle name="Normal 2 4 5 2 2 6 3 3" xfId="33420" xr:uid="{9D25BC22-6A50-4BB0-B9F1-7573C4215236}"/>
    <cellStyle name="Normal 2 4 5 2 2 6 3 4" xfId="24972" xr:uid="{8D21B78A-4A55-42E1-ACAB-4AF2EF28A496}"/>
    <cellStyle name="Normal 2 4 5 2 2 6 3 5" xfId="15675" xr:uid="{F813ED54-7418-4D5A-A407-A10594AA154F}"/>
    <cellStyle name="Normal 2 4 5 2 2 6 4" xfId="37650" xr:uid="{E9249DE6-4A6D-4716-970D-9D1B7A6FABC9}"/>
    <cellStyle name="Normal 2 4 5 2 2 6 5" xfId="29202" xr:uid="{21C9E384-2597-49EC-B995-E6C4395BB04D}"/>
    <cellStyle name="Normal 2 4 5 2 2 6 6" xfId="20755" xr:uid="{E88E4835-032D-4ED5-8736-26E52309D0B4}"/>
    <cellStyle name="Normal 2 4 5 2 2 6 7" xfId="11458" xr:uid="{9ED2FFE6-77AB-425B-B26E-1E7F313979C0}"/>
    <cellStyle name="Normal 2 4 5 2 2 7" xfId="2479" xr:uid="{00000000-0005-0000-0000-00005C100000}"/>
    <cellStyle name="Normal 2 4 5 2 2 7 2" xfId="6762" xr:uid="{00000000-0005-0000-0000-00005D100000}"/>
    <cellStyle name="Normal 2 4 5 2 2 7 2 2" xfId="42280" xr:uid="{F37EA03E-6275-4E1E-AFBF-407828A1555D}"/>
    <cellStyle name="Normal 2 4 5 2 2 7 2 3" xfId="33833" xr:uid="{964C32E4-8303-4D39-B70F-5E8FA0D31315}"/>
    <cellStyle name="Normal 2 4 5 2 2 7 2 4" xfId="25385" xr:uid="{A0C4E1B1-E836-4772-9A7F-BAD5899F65CD}"/>
    <cellStyle name="Normal 2 4 5 2 2 7 2 5" xfId="16088" xr:uid="{6EBE914F-5A83-4FFA-BDA0-9556844FECE7}"/>
    <cellStyle name="Normal 2 4 5 2 2 7 3" xfId="38063" xr:uid="{8D217667-D6DA-4A40-8F4B-BC091237226C}"/>
    <cellStyle name="Normal 2 4 5 2 2 7 4" xfId="29615" xr:uid="{A85ED105-70A4-444E-AF6E-5FD9D2C0FD3E}"/>
    <cellStyle name="Normal 2 4 5 2 2 7 5" xfId="21168" xr:uid="{1B4E3912-A696-4A3A-9BA0-89A2D8EBEC10}"/>
    <cellStyle name="Normal 2 4 5 2 2 7 6" xfId="11871" xr:uid="{B7A561CC-6E5D-464E-B9C0-FF2195BD4C9E}"/>
    <cellStyle name="Normal 2 4 5 2 2 8" xfId="4696" xr:uid="{00000000-0005-0000-0000-00005E100000}"/>
    <cellStyle name="Normal 2 4 5 2 2 8 2" xfId="40214" xr:uid="{21A0B8D6-8FB6-429A-9EFB-1589527096DB}"/>
    <cellStyle name="Normal 2 4 5 2 2 8 3" xfId="31767" xr:uid="{242CE344-0BFB-4A40-A519-1F328C7DD02C}"/>
    <cellStyle name="Normal 2 4 5 2 2 8 4" xfId="23319" xr:uid="{871862FF-3B27-4DAC-A4EA-CDCEDC9506B9}"/>
    <cellStyle name="Normal 2 4 5 2 2 8 5" xfId="14022" xr:uid="{E592D5C3-851C-463F-B1D6-D61F95FF1464}"/>
    <cellStyle name="Normal 2 4 5 2 2 9" xfId="8918" xr:uid="{C191AFB9-5B9B-45BF-8589-0BB68E370D0F}"/>
    <cellStyle name="Normal 2 4 5 2 2 9 2" xfId="35997" xr:uid="{ED9C4367-6BF7-40E0-9DB8-5913C33E9E3C}"/>
    <cellStyle name="Normal 2 4 5 2 2 9 3" xfId="18241" xr:uid="{0BF1A348-EB67-43CB-B3A7-E9BCA4D878FD}"/>
    <cellStyle name="Normal 2 4 5 2 3" xfId="307" xr:uid="{00000000-0005-0000-0000-00005F100000}"/>
    <cellStyle name="Normal 2 4 5 2 3 10" xfId="19104" xr:uid="{489C5F06-7DDF-4426-8E23-197EFB35FD8F}"/>
    <cellStyle name="Normal 2 4 5 2 3 11" xfId="9807" xr:uid="{7D02D1F7-2491-431D-8655-2FCFE204C3A7}"/>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42775" xr:uid="{D2885FAA-B754-4166-8834-76F943DDAAE5}"/>
    <cellStyle name="Normal 2 4 5 2 3 2 2 2 3" xfId="34328" xr:uid="{52F3EAEC-7DE0-4238-93D5-73F24C9CD173}"/>
    <cellStyle name="Normal 2 4 5 2 3 2 2 2 4" xfId="25880" xr:uid="{7315AF63-9E20-4FC7-96DE-F2CAB64371D9}"/>
    <cellStyle name="Normal 2 4 5 2 3 2 2 2 5" xfId="16583" xr:uid="{8CA4A67D-277C-486D-B3A4-AC0B698365DC}"/>
    <cellStyle name="Normal 2 4 5 2 3 2 2 3" xfId="38558" xr:uid="{061CDB99-2C71-49EE-B4B7-FEC8C70C0AD8}"/>
    <cellStyle name="Normal 2 4 5 2 3 2 2 4" xfId="30110" xr:uid="{3B6329C5-5E9D-49EE-BAA0-8F6324D4D98F}"/>
    <cellStyle name="Normal 2 4 5 2 3 2 2 5" xfId="21663" xr:uid="{C1A7BF2C-A755-4FA6-B65A-EDC077466123}"/>
    <cellStyle name="Normal 2 4 5 2 3 2 2 6" xfId="12366" xr:uid="{B880603E-5F7E-422E-9298-97B53D0932FB}"/>
    <cellStyle name="Normal 2 4 5 2 3 2 3" xfId="5112" xr:uid="{00000000-0005-0000-0000-000063100000}"/>
    <cellStyle name="Normal 2 4 5 2 3 2 3 2" xfId="40630" xr:uid="{8AA1F56C-4A16-41FB-9B24-BA8F6D5C777B}"/>
    <cellStyle name="Normal 2 4 5 2 3 2 3 3" xfId="32183" xr:uid="{884992F1-5083-446B-9025-17091639F63F}"/>
    <cellStyle name="Normal 2 4 5 2 3 2 3 4" xfId="23735" xr:uid="{C51E2314-C170-449E-93BE-FF7DDB1BFA49}"/>
    <cellStyle name="Normal 2 4 5 2 3 2 3 5" xfId="14438" xr:uid="{C7B355D5-9837-476D-9D05-1A980E02291F}"/>
    <cellStyle name="Normal 2 4 5 2 3 2 4" xfId="9447" xr:uid="{5DAE67B2-15F6-4C7F-9310-B9C816D42F72}"/>
    <cellStyle name="Normal 2 4 5 2 3 2 4 2" xfId="36413" xr:uid="{180765C6-FD70-4A3B-A0A4-0648AB3D95AE}"/>
    <cellStyle name="Normal 2 4 5 2 3 2 4 3" xfId="18760" xr:uid="{AF0EB427-387F-46DE-B895-6DB1385067C5}"/>
    <cellStyle name="Normal 2 4 5 2 3 2 5" xfId="27965" xr:uid="{F6881CD7-8B03-4B8D-9A1F-863398605A39}"/>
    <cellStyle name="Normal 2 4 5 2 3 2 6" xfId="19518" xr:uid="{A955FDF0-5A7D-4FDA-86CE-E0F0D3FA3C4F}"/>
    <cellStyle name="Normal 2 4 5 2 3 2 7" xfId="10221" xr:uid="{898BBA26-DA16-43AD-9688-A78BF52B9774}"/>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43188" xr:uid="{88169B13-4D0A-416E-A92A-6F6DB25D7518}"/>
    <cellStyle name="Normal 2 4 5 2 3 3 2 2 3" xfId="34741" xr:uid="{368F2478-2304-44FA-B892-4DE77EDB0397}"/>
    <cellStyle name="Normal 2 4 5 2 3 3 2 2 4" xfId="26293" xr:uid="{BADF1D42-ECB7-498B-904D-D598228A4B1B}"/>
    <cellStyle name="Normal 2 4 5 2 3 3 2 2 5" xfId="16996" xr:uid="{DEB63F72-0215-4CF3-903B-C3DBC8BD3B00}"/>
    <cellStyle name="Normal 2 4 5 2 3 3 2 3" xfId="38971" xr:uid="{55BBC5E7-641A-4C0C-821D-FDD605AB418A}"/>
    <cellStyle name="Normal 2 4 5 2 3 3 2 4" xfId="30523" xr:uid="{16EA0D63-FF49-41F7-9F2E-35381B286F7E}"/>
    <cellStyle name="Normal 2 4 5 2 3 3 2 5" xfId="22076" xr:uid="{6C16056C-C061-4A0B-B767-B56EC4976919}"/>
    <cellStyle name="Normal 2 4 5 2 3 3 2 6" xfId="12779" xr:uid="{7914D9E8-B04F-46EB-9660-A4D21879BAAE}"/>
    <cellStyle name="Normal 2 4 5 2 3 3 3" xfId="5525" xr:uid="{00000000-0005-0000-0000-000067100000}"/>
    <cellStyle name="Normal 2 4 5 2 3 3 3 2" xfId="41043" xr:uid="{E56B0262-EEDB-4370-9067-7F14F0DBDE91}"/>
    <cellStyle name="Normal 2 4 5 2 3 3 3 3" xfId="32596" xr:uid="{F7C6553F-2E0E-4A28-A057-EFD3FEE3F977}"/>
    <cellStyle name="Normal 2 4 5 2 3 3 3 4" xfId="24148" xr:uid="{B099E553-114C-4186-A7FE-4A30C3E1137C}"/>
    <cellStyle name="Normal 2 4 5 2 3 3 3 5" xfId="14851" xr:uid="{CDE5F618-1140-4988-92C5-7F43C41D660C}"/>
    <cellStyle name="Normal 2 4 5 2 3 3 4" xfId="36826" xr:uid="{0FB56FBF-16A9-40A4-8D42-2F4126C53364}"/>
    <cellStyle name="Normal 2 4 5 2 3 3 5" xfId="28378" xr:uid="{0F8DFF09-8F9F-4B47-8C76-46BFF36AC7EA}"/>
    <cellStyle name="Normal 2 4 5 2 3 3 6" xfId="19931" xr:uid="{C5DC43B6-7245-4EC6-A73C-AA1B8F3B73A8}"/>
    <cellStyle name="Normal 2 4 5 2 3 3 7" xfId="10634" xr:uid="{E8574249-3309-4C7B-BE2A-71ED9E1C3245}"/>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43601" xr:uid="{5E9A4FE8-C2CF-422A-951F-868BFB2D0E2D}"/>
    <cellStyle name="Normal 2 4 5 2 3 4 2 2 3" xfId="35154" xr:uid="{4ECB0AAE-76A2-4A02-BC77-5131D6B425ED}"/>
    <cellStyle name="Normal 2 4 5 2 3 4 2 2 4" xfId="26706" xr:uid="{85D1DFED-2C99-4BFD-B331-D6172F48757D}"/>
    <cellStyle name="Normal 2 4 5 2 3 4 2 2 5" xfId="17409" xr:uid="{728F9CC4-C6C3-4D87-9DF8-6AAC53FA8C94}"/>
    <cellStyle name="Normal 2 4 5 2 3 4 2 3" xfId="39384" xr:uid="{70B47304-639D-4D52-9FF3-F2A35E8ADFD0}"/>
    <cellStyle name="Normal 2 4 5 2 3 4 2 4" xfId="30936" xr:uid="{FDCD97EB-DA16-4C61-A6D4-D0F450745B0E}"/>
    <cellStyle name="Normal 2 4 5 2 3 4 2 5" xfId="22489" xr:uid="{1FC3A24C-163A-4041-8F9F-4B421255D9F4}"/>
    <cellStyle name="Normal 2 4 5 2 3 4 2 6" xfId="13192" xr:uid="{CBB0FC41-C777-4144-A1C2-F2E18E190B6F}"/>
    <cellStyle name="Normal 2 4 5 2 3 4 3" xfId="5938" xr:uid="{00000000-0005-0000-0000-00006B100000}"/>
    <cellStyle name="Normal 2 4 5 2 3 4 3 2" xfId="41456" xr:uid="{1A8FB1B6-7C75-4568-8182-CA86F430A7CC}"/>
    <cellStyle name="Normal 2 4 5 2 3 4 3 3" xfId="33009" xr:uid="{699D0520-2E3D-4B90-86BD-3F5C95E94499}"/>
    <cellStyle name="Normal 2 4 5 2 3 4 3 4" xfId="24561" xr:uid="{6EAB420C-365A-4D61-8523-EBF19B8F0308}"/>
    <cellStyle name="Normal 2 4 5 2 3 4 3 5" xfId="15264" xr:uid="{EBDCC50E-42C5-4141-973D-2F1D2E8AEE06}"/>
    <cellStyle name="Normal 2 4 5 2 3 4 4" xfId="37239" xr:uid="{9999ECB5-E384-4038-B5B0-38BF86A3E508}"/>
    <cellStyle name="Normal 2 4 5 2 3 4 5" xfId="28791" xr:uid="{7ACC5BFD-592E-4789-A2AB-A68B6759E935}"/>
    <cellStyle name="Normal 2 4 5 2 3 4 6" xfId="20344" xr:uid="{2613CCB6-E2F5-4D18-9B6C-D74632324D40}"/>
    <cellStyle name="Normal 2 4 5 2 3 4 7" xfId="11047" xr:uid="{B871E42D-D0DA-43B0-8FB6-9F3985AC27EF}"/>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44014" xr:uid="{22AF1EB8-B407-4336-B9E0-EAC75EED8BEE}"/>
    <cellStyle name="Normal 2 4 5 2 3 5 2 2 3" xfId="35567" xr:uid="{27E9A2E7-C8F7-44EC-94EA-A41EFDBA3EBA}"/>
    <cellStyle name="Normal 2 4 5 2 3 5 2 2 4" xfId="27119" xr:uid="{B22481BF-677D-4FDC-ACB9-8AE4BF59802F}"/>
    <cellStyle name="Normal 2 4 5 2 3 5 2 2 5" xfId="17822" xr:uid="{3F752802-584C-441F-8731-7637D9F3BD64}"/>
    <cellStyle name="Normal 2 4 5 2 3 5 2 3" xfId="39797" xr:uid="{6520425C-CF18-4868-A23E-84E69CD893EF}"/>
    <cellStyle name="Normal 2 4 5 2 3 5 2 4" xfId="31349" xr:uid="{8215EB30-B0AD-4626-A595-7E73CB1B2C67}"/>
    <cellStyle name="Normal 2 4 5 2 3 5 2 5" xfId="22902" xr:uid="{4B952084-7E9C-4DCE-A5BD-0083F177E197}"/>
    <cellStyle name="Normal 2 4 5 2 3 5 2 6" xfId="13605" xr:uid="{2988EC83-F261-4F0F-9AEA-19B5A8E08294}"/>
    <cellStyle name="Normal 2 4 5 2 3 5 3" xfId="6351" xr:uid="{00000000-0005-0000-0000-00006F100000}"/>
    <cellStyle name="Normal 2 4 5 2 3 5 3 2" xfId="41869" xr:uid="{E3C9C35D-7D97-406B-A3B3-662ED4C253CE}"/>
    <cellStyle name="Normal 2 4 5 2 3 5 3 3" xfId="33422" xr:uid="{7D9E9D98-ACF8-4D72-B7BE-F5C53FC3D3FA}"/>
    <cellStyle name="Normal 2 4 5 2 3 5 3 4" xfId="24974" xr:uid="{B0E1D72E-5C92-4428-A380-1E5D51BE74FF}"/>
    <cellStyle name="Normal 2 4 5 2 3 5 3 5" xfId="15677" xr:uid="{C6DABBEB-809E-4315-B452-3B12EB4CB93D}"/>
    <cellStyle name="Normal 2 4 5 2 3 5 4" xfId="37652" xr:uid="{95758D4D-4952-4E27-B3F5-6575BC02C6D2}"/>
    <cellStyle name="Normal 2 4 5 2 3 5 5" xfId="29204" xr:uid="{550A1E95-A80A-4EE9-A431-8C5369DAD3E4}"/>
    <cellStyle name="Normal 2 4 5 2 3 5 6" xfId="20757" xr:uid="{A24C84BB-1202-49F3-8452-D6ADCDD108EF}"/>
    <cellStyle name="Normal 2 4 5 2 3 5 7" xfId="11460" xr:uid="{19A56AA9-440F-46D5-AABA-2CDD5457C2E2}"/>
    <cellStyle name="Normal 2 4 5 2 3 6" xfId="2481" xr:uid="{00000000-0005-0000-0000-000070100000}"/>
    <cellStyle name="Normal 2 4 5 2 3 6 2" xfId="6764" xr:uid="{00000000-0005-0000-0000-000071100000}"/>
    <cellStyle name="Normal 2 4 5 2 3 6 2 2" xfId="42282" xr:uid="{76973AE5-B19A-43AF-B3FC-995FD1ECFE4A}"/>
    <cellStyle name="Normal 2 4 5 2 3 6 2 3" xfId="33835" xr:uid="{7A1D76F7-20A9-4F95-9E9A-26FB75DCA043}"/>
    <cellStyle name="Normal 2 4 5 2 3 6 2 4" xfId="25387" xr:uid="{C205D2C1-15E3-450F-822B-075E253A2F5A}"/>
    <cellStyle name="Normal 2 4 5 2 3 6 2 5" xfId="16090" xr:uid="{26FE54C8-B274-4BB3-BCA9-D0A80387503D}"/>
    <cellStyle name="Normal 2 4 5 2 3 6 3" xfId="38065" xr:uid="{7549185B-8F9D-4EC4-8A80-601B14F257B1}"/>
    <cellStyle name="Normal 2 4 5 2 3 6 4" xfId="29617" xr:uid="{AEE10355-7FDC-4FCD-B5A8-C520D2709066}"/>
    <cellStyle name="Normal 2 4 5 2 3 6 5" xfId="21170" xr:uid="{F123FA13-DF57-4771-95A6-68AA14F48CAD}"/>
    <cellStyle name="Normal 2 4 5 2 3 6 6" xfId="11873" xr:uid="{C31CD41C-E4E5-450A-9D4A-28EDEDC6285B}"/>
    <cellStyle name="Normal 2 4 5 2 3 7" xfId="4698" xr:uid="{00000000-0005-0000-0000-000072100000}"/>
    <cellStyle name="Normal 2 4 5 2 3 7 2" xfId="40216" xr:uid="{DC610641-D900-45E9-9A28-2F6C0B460EA9}"/>
    <cellStyle name="Normal 2 4 5 2 3 7 3" xfId="31769" xr:uid="{7BA255DE-D89D-4528-BD10-3BD5CBF690AE}"/>
    <cellStyle name="Normal 2 4 5 2 3 7 4" xfId="23321" xr:uid="{B5AAB314-1EBD-4210-BAFE-DC03D24D8892}"/>
    <cellStyle name="Normal 2 4 5 2 3 7 5" xfId="14024" xr:uid="{75A096E3-2DAC-4FE3-AFAC-3E4A9FF373B3}"/>
    <cellStyle name="Normal 2 4 5 2 3 8" xfId="9022" xr:uid="{B979F5DF-A88B-437D-B1B4-B92D08856DC7}"/>
    <cellStyle name="Normal 2 4 5 2 3 8 2" xfId="35999" xr:uid="{48AC2212-63F7-4BE9-82BA-27E58AB93D6F}"/>
    <cellStyle name="Normal 2 4 5 2 3 8 3" xfId="18345" xr:uid="{97789C66-EC7E-469B-9ACE-ACA7B54F73FE}"/>
    <cellStyle name="Normal 2 4 5 2 3 9" xfId="27551" xr:uid="{747F2EF3-A6BF-4CD0-8D1C-702C355DDEE0}"/>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42772" xr:uid="{A27D9780-B225-4301-9510-765AA4524F2B}"/>
    <cellStyle name="Normal 2 4 5 2 4 2 2 3" xfId="34325" xr:uid="{BCB59FBB-5C9E-4AA1-9D72-D06651C5D2D8}"/>
    <cellStyle name="Normal 2 4 5 2 4 2 2 4" xfId="25877" xr:uid="{A0815540-32F8-4D13-A57B-BEB4FAA54BA0}"/>
    <cellStyle name="Normal 2 4 5 2 4 2 2 5" xfId="16580" xr:uid="{DFE8251E-340E-41CD-9C88-C309370461B3}"/>
    <cellStyle name="Normal 2 4 5 2 4 2 3" xfId="38555" xr:uid="{750A5EAA-DCD3-4942-BC82-732FEB74CD48}"/>
    <cellStyle name="Normal 2 4 5 2 4 2 4" xfId="30107" xr:uid="{C6B0E9F0-E61D-4024-9DAD-BAB83A2B34F9}"/>
    <cellStyle name="Normal 2 4 5 2 4 2 5" xfId="21660" xr:uid="{678D5ADB-41B4-4421-9AB7-F92ACE9D61DC}"/>
    <cellStyle name="Normal 2 4 5 2 4 2 6" xfId="12363" xr:uid="{6A44A57C-96FF-4E0E-A91E-F512F4610A75}"/>
    <cellStyle name="Normal 2 4 5 2 4 3" xfId="5109" xr:uid="{00000000-0005-0000-0000-000076100000}"/>
    <cellStyle name="Normal 2 4 5 2 4 3 2" xfId="40627" xr:uid="{98576E85-6348-44B7-A95C-8E642781C762}"/>
    <cellStyle name="Normal 2 4 5 2 4 3 3" xfId="32180" xr:uid="{0892FC08-8177-4E4E-8700-A2E3D16C33D3}"/>
    <cellStyle name="Normal 2 4 5 2 4 3 4" xfId="23732" xr:uid="{925B58E2-5030-4E58-A6E0-C0BED6B8A25D}"/>
    <cellStyle name="Normal 2 4 5 2 4 3 5" xfId="14435" xr:uid="{A9B1C886-91A1-41D3-B34C-579BC28D273C}"/>
    <cellStyle name="Normal 2 4 5 2 4 4" xfId="9240" xr:uid="{16FBE981-4867-4157-8C0D-9C1339DB5B3F}"/>
    <cellStyle name="Normal 2 4 5 2 4 4 2" xfId="36410" xr:uid="{A73DF569-C8A3-4ACA-80E4-6CCB01780D55}"/>
    <cellStyle name="Normal 2 4 5 2 4 4 3" xfId="18553" xr:uid="{7CA36D6B-B683-450B-A99D-E50754873D9F}"/>
    <cellStyle name="Normal 2 4 5 2 4 5" xfId="27962" xr:uid="{DA344079-68AA-4C52-88E1-1D256CBCFEA3}"/>
    <cellStyle name="Normal 2 4 5 2 4 6" xfId="19515" xr:uid="{D7DFCB8D-1DC0-43C1-B1B9-2476C48B107A}"/>
    <cellStyle name="Normal 2 4 5 2 4 7" xfId="10218" xr:uid="{DF5450F8-03D1-459F-8A7F-02C73161FC98}"/>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43185" xr:uid="{5577846C-F44B-403F-B32E-7A4CBE88628F}"/>
    <cellStyle name="Normal 2 4 5 2 5 2 2 3" xfId="34738" xr:uid="{055CE0E2-77AF-473E-9C07-E7E7C9188C37}"/>
    <cellStyle name="Normal 2 4 5 2 5 2 2 4" xfId="26290" xr:uid="{A0342744-8E18-4DBD-9696-4B5CCEF159A7}"/>
    <cellStyle name="Normal 2 4 5 2 5 2 2 5" xfId="16993" xr:uid="{19BE2975-2621-47C5-86FC-2A117D04BC15}"/>
    <cellStyle name="Normal 2 4 5 2 5 2 3" xfId="38968" xr:uid="{EBA11C82-EB8B-4D99-B213-B61AB544DA2B}"/>
    <cellStyle name="Normal 2 4 5 2 5 2 4" xfId="30520" xr:uid="{79A8F054-F221-45AC-BA00-90D8CF9DCD94}"/>
    <cellStyle name="Normal 2 4 5 2 5 2 5" xfId="22073" xr:uid="{4F3C8BD7-60A8-413A-9603-1F10848CE6AF}"/>
    <cellStyle name="Normal 2 4 5 2 5 2 6" xfId="12776" xr:uid="{A0370ED6-194B-4C62-A108-928C0422A097}"/>
    <cellStyle name="Normal 2 4 5 2 5 3" xfId="5522" xr:uid="{00000000-0005-0000-0000-00007A100000}"/>
    <cellStyle name="Normal 2 4 5 2 5 3 2" xfId="41040" xr:uid="{BA971ECB-83E9-4903-94E3-CC53D998465C}"/>
    <cellStyle name="Normal 2 4 5 2 5 3 3" xfId="32593" xr:uid="{C8DDD9CA-D2C3-4B0D-8816-B0C87266AFEC}"/>
    <cellStyle name="Normal 2 4 5 2 5 3 4" xfId="24145" xr:uid="{A4216E08-9EA1-4C73-B4A8-632F08101E94}"/>
    <cellStyle name="Normal 2 4 5 2 5 3 5" xfId="14848" xr:uid="{F5312293-1510-4759-AA6D-BB7EC4BD25D9}"/>
    <cellStyle name="Normal 2 4 5 2 5 4" xfId="36823" xr:uid="{8510A784-18F5-482B-85EA-0B7C5D3BCB83}"/>
    <cellStyle name="Normal 2 4 5 2 5 5" xfId="28375" xr:uid="{26D62222-C4C4-4BAA-9354-CAA94AD3AB45}"/>
    <cellStyle name="Normal 2 4 5 2 5 6" xfId="19928" xr:uid="{B342528B-3995-4A34-9426-A6A8E75BCE7F}"/>
    <cellStyle name="Normal 2 4 5 2 5 7" xfId="10631" xr:uid="{038E03AC-5A72-4998-BFAF-231C3A0D3B55}"/>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43598" xr:uid="{CA573F28-FD2E-482D-BBD2-D640704E9CC1}"/>
    <cellStyle name="Normal 2 4 5 2 6 2 2 3" xfId="35151" xr:uid="{A34119F9-4999-4332-BC6D-ED09669EFD03}"/>
    <cellStyle name="Normal 2 4 5 2 6 2 2 4" xfId="26703" xr:uid="{4ED1EB73-6DA8-4111-A95D-9BB4576042E0}"/>
    <cellStyle name="Normal 2 4 5 2 6 2 2 5" xfId="17406" xr:uid="{88A29B25-E371-48C9-9092-B5FEB7B34B23}"/>
    <cellStyle name="Normal 2 4 5 2 6 2 3" xfId="39381" xr:uid="{3D038E33-EA6E-4BBC-82AF-C8F06E7EA22F}"/>
    <cellStyle name="Normal 2 4 5 2 6 2 4" xfId="30933" xr:uid="{8535FAD0-8994-4DC2-BD7F-59336160EF06}"/>
    <cellStyle name="Normal 2 4 5 2 6 2 5" xfId="22486" xr:uid="{F4B5E13F-099D-417B-AC69-181CE4DBEB1D}"/>
    <cellStyle name="Normal 2 4 5 2 6 2 6" xfId="13189" xr:uid="{33DB8BCB-0393-4C62-B0EE-C4A4A046E2A9}"/>
    <cellStyle name="Normal 2 4 5 2 6 3" xfId="5935" xr:uid="{00000000-0005-0000-0000-00007E100000}"/>
    <cellStyle name="Normal 2 4 5 2 6 3 2" xfId="41453" xr:uid="{702664DC-9594-4CF4-B81B-E5A397A1B3BF}"/>
    <cellStyle name="Normal 2 4 5 2 6 3 3" xfId="33006" xr:uid="{77D2FEE2-2B93-4483-802F-B537D78072F6}"/>
    <cellStyle name="Normal 2 4 5 2 6 3 4" xfId="24558" xr:uid="{1A3FDDF1-B898-471E-80C8-28FB5EE838E6}"/>
    <cellStyle name="Normal 2 4 5 2 6 3 5" xfId="15261" xr:uid="{FA6971C3-E4D0-4FDC-B19E-9DB72B1B5621}"/>
    <cellStyle name="Normal 2 4 5 2 6 4" xfId="37236" xr:uid="{6D509BA7-8A70-4677-9160-96F47B646261}"/>
    <cellStyle name="Normal 2 4 5 2 6 5" xfId="28788" xr:uid="{BA39EBC2-F8B4-44B0-9FB1-D43F740703E0}"/>
    <cellStyle name="Normal 2 4 5 2 6 6" xfId="20341" xr:uid="{62C999AE-CFDA-4E5D-9B2E-A91504188289}"/>
    <cellStyle name="Normal 2 4 5 2 6 7" xfId="11044" xr:uid="{57DAB352-12FB-4C4B-AF66-8D710B91B899}"/>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44011" xr:uid="{84FDFDF6-EBCF-4E09-8084-C1CC151791B1}"/>
    <cellStyle name="Normal 2 4 5 2 7 2 2 3" xfId="35564" xr:uid="{B1276B72-136C-4DC3-BC32-2EFAEDFC7881}"/>
    <cellStyle name="Normal 2 4 5 2 7 2 2 4" xfId="27116" xr:uid="{4EDA0DDF-03EB-45C6-80A4-1EF0DDE02530}"/>
    <cellStyle name="Normal 2 4 5 2 7 2 2 5" xfId="17819" xr:uid="{ED9A22E4-2406-42C1-ACC2-B1C08A406111}"/>
    <cellStyle name="Normal 2 4 5 2 7 2 3" xfId="39794" xr:uid="{D2EEF1BB-3DC2-4918-BFA7-C568D5127D38}"/>
    <cellStyle name="Normal 2 4 5 2 7 2 4" xfId="31346" xr:uid="{8BAF6A05-F392-4C18-9172-ECFE56D35BB8}"/>
    <cellStyle name="Normal 2 4 5 2 7 2 5" xfId="22899" xr:uid="{DFEB268B-2437-41C9-B571-C44F0F54EE90}"/>
    <cellStyle name="Normal 2 4 5 2 7 2 6" xfId="13602" xr:uid="{EAA1EE83-8570-478F-8BFA-9AE05BEB4417}"/>
    <cellStyle name="Normal 2 4 5 2 7 3" xfId="6348" xr:uid="{00000000-0005-0000-0000-000082100000}"/>
    <cellStyle name="Normal 2 4 5 2 7 3 2" xfId="41866" xr:uid="{AEFEA9B9-1150-405B-89E0-FE5FD0EDD5CF}"/>
    <cellStyle name="Normal 2 4 5 2 7 3 3" xfId="33419" xr:uid="{5DF838E3-DF80-4137-B314-7BB6A391F61F}"/>
    <cellStyle name="Normal 2 4 5 2 7 3 4" xfId="24971" xr:uid="{97EDC02E-2B68-47EA-943B-4C2601D55250}"/>
    <cellStyle name="Normal 2 4 5 2 7 3 5" xfId="15674" xr:uid="{AC6C8122-13B0-4180-BBCB-0D75D780F25D}"/>
    <cellStyle name="Normal 2 4 5 2 7 4" xfId="37649" xr:uid="{66D71BAB-C0DC-4D29-95EB-22121525331B}"/>
    <cellStyle name="Normal 2 4 5 2 7 5" xfId="29201" xr:uid="{F362EA6E-FFA4-435A-9222-F0866A7021D0}"/>
    <cellStyle name="Normal 2 4 5 2 7 6" xfId="20754" xr:uid="{B61443B1-F70F-4812-B90A-0162CD073ADF}"/>
    <cellStyle name="Normal 2 4 5 2 7 7" xfId="11457" xr:uid="{85DC0F18-54B3-4000-994C-75F1B2C0DA8C}"/>
    <cellStyle name="Normal 2 4 5 2 8" xfId="2478" xr:uid="{00000000-0005-0000-0000-000083100000}"/>
    <cellStyle name="Normal 2 4 5 2 8 2" xfId="6761" xr:uid="{00000000-0005-0000-0000-000084100000}"/>
    <cellStyle name="Normal 2 4 5 2 8 2 2" xfId="42279" xr:uid="{5E76269E-A574-48FB-B3F8-750D726BB24E}"/>
    <cellStyle name="Normal 2 4 5 2 8 2 3" xfId="33832" xr:uid="{CFBA5AAF-720D-4330-8E38-68E19E7241E2}"/>
    <cellStyle name="Normal 2 4 5 2 8 2 4" xfId="25384" xr:uid="{A667050C-626A-4106-BAE8-037F8448FFF7}"/>
    <cellStyle name="Normal 2 4 5 2 8 2 5" xfId="16087" xr:uid="{470E06DA-6D81-42DB-9559-506E6C2C52A0}"/>
    <cellStyle name="Normal 2 4 5 2 8 3" xfId="38062" xr:uid="{0A9A8BA5-F97D-4A39-9349-7E3D317A4CE2}"/>
    <cellStyle name="Normal 2 4 5 2 8 4" xfId="29614" xr:uid="{05F0C1E7-98A9-4E0C-90B1-A82ACE39FD84}"/>
    <cellStyle name="Normal 2 4 5 2 8 5" xfId="21167" xr:uid="{807864C3-4CCD-40A1-84FB-730E0D219C5D}"/>
    <cellStyle name="Normal 2 4 5 2 8 6" xfId="11870" xr:uid="{B7BB3091-FE79-4E55-98BB-5EEF15BC4EBA}"/>
    <cellStyle name="Normal 2 4 5 2 9" xfId="4695" xr:uid="{00000000-0005-0000-0000-000085100000}"/>
    <cellStyle name="Normal 2 4 5 2 9 2" xfId="40213" xr:uid="{2B0F7DE8-1266-4FA3-85FD-2E81D4103B3E}"/>
    <cellStyle name="Normal 2 4 5 2 9 3" xfId="31766" xr:uid="{2C3BCADD-A58D-4DDB-A5E6-B917E2949B5E}"/>
    <cellStyle name="Normal 2 4 5 2 9 4" xfId="23318" xr:uid="{F41BEBF3-11CC-45E8-A112-EEE9CF9FC4FC}"/>
    <cellStyle name="Normal 2 4 5 2 9 5" xfId="14021" xr:uid="{0F05E5F7-8932-4E43-96FC-D3B460712E1C}"/>
    <cellStyle name="Normal 2 4 5 3" xfId="308" xr:uid="{00000000-0005-0000-0000-000086100000}"/>
    <cellStyle name="Normal 2 4 5 3 10" xfId="27552" xr:uid="{AA0122BD-82EC-4440-914C-C7FBD2F1893A}"/>
    <cellStyle name="Normal 2 4 5 3 11" xfId="19105" xr:uid="{7303A909-EF46-4A1E-ADBB-365B5CD48E2A}"/>
    <cellStyle name="Normal 2 4 5 3 12" xfId="9808" xr:uid="{0F317593-DCEE-46F1-ADB7-01E03BA7A152}"/>
    <cellStyle name="Normal 2 4 5 3 2" xfId="309" xr:uid="{00000000-0005-0000-0000-000087100000}"/>
    <cellStyle name="Normal 2 4 5 3 2 10" xfId="19106" xr:uid="{468AC19F-1323-4F86-8788-EDF8D9CE86B5}"/>
    <cellStyle name="Normal 2 4 5 3 2 11" xfId="9809" xr:uid="{411B77C7-607E-4697-A214-6D314CAD37B3}"/>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42777" xr:uid="{42ECEFFC-1C12-4F67-B037-1485992E2D8E}"/>
    <cellStyle name="Normal 2 4 5 3 2 2 2 2 3" xfId="34330" xr:uid="{691E84A1-4930-4E1B-A82D-3A8F4B6A62F4}"/>
    <cellStyle name="Normal 2 4 5 3 2 2 2 2 4" xfId="25882" xr:uid="{550E89DB-5176-459C-9DD7-F7C8D01518F5}"/>
    <cellStyle name="Normal 2 4 5 3 2 2 2 2 5" xfId="16585" xr:uid="{22ADF79F-B15A-4ABE-8678-F3999B4BA021}"/>
    <cellStyle name="Normal 2 4 5 3 2 2 2 3" xfId="38560" xr:uid="{2FD8FB9C-3327-4238-AE1F-E241CDC8BA8A}"/>
    <cellStyle name="Normal 2 4 5 3 2 2 2 4" xfId="30112" xr:uid="{192ED9FA-14E3-430D-BF40-B866BF1D5831}"/>
    <cellStyle name="Normal 2 4 5 3 2 2 2 5" xfId="21665" xr:uid="{2049ADBF-5479-412C-8C9A-B9CD299C69CF}"/>
    <cellStyle name="Normal 2 4 5 3 2 2 2 6" xfId="12368" xr:uid="{F1C6FA94-D235-4311-9840-62B40562B241}"/>
    <cellStyle name="Normal 2 4 5 3 2 2 3" xfId="5114" xr:uid="{00000000-0005-0000-0000-00008B100000}"/>
    <cellStyle name="Normal 2 4 5 3 2 2 3 2" xfId="40632" xr:uid="{717B05D0-5680-4468-B321-3B191B4963C5}"/>
    <cellStyle name="Normal 2 4 5 3 2 2 3 3" xfId="32185" xr:uid="{ED9BA4B3-CFE2-4637-8BF5-B1F11ABBEB57}"/>
    <cellStyle name="Normal 2 4 5 3 2 2 3 4" xfId="23737" xr:uid="{DC1CDC02-320F-4BE2-89CD-C179F39C47CE}"/>
    <cellStyle name="Normal 2 4 5 3 2 2 3 5" xfId="14440" xr:uid="{9A6CB581-0DE3-4D4C-B1B7-D0A9D4F75E14}"/>
    <cellStyle name="Normal 2 4 5 3 2 2 4" xfId="9515" xr:uid="{A1D6949C-773D-44DB-B26F-4DD01D24FF00}"/>
    <cellStyle name="Normal 2 4 5 3 2 2 4 2" xfId="36415" xr:uid="{0802BD9A-15B4-46D2-B4FA-8442DB5D8D05}"/>
    <cellStyle name="Normal 2 4 5 3 2 2 4 3" xfId="18828" xr:uid="{A6666AAE-4438-4961-A3DD-7821DF83C30E}"/>
    <cellStyle name="Normal 2 4 5 3 2 2 5" xfId="27967" xr:uid="{4CB26361-6C62-44D7-B590-B26508524F42}"/>
    <cellStyle name="Normal 2 4 5 3 2 2 6" xfId="19520" xr:uid="{F5285073-651B-4B76-A777-35332AC6F12E}"/>
    <cellStyle name="Normal 2 4 5 3 2 2 7" xfId="10223" xr:uid="{13DAC74E-A56F-41D1-92F9-16850A70E2F8}"/>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43190" xr:uid="{9E041910-9559-4875-B70A-13819C2636AB}"/>
    <cellStyle name="Normal 2 4 5 3 2 3 2 2 3" xfId="34743" xr:uid="{FE6CA1DC-47FB-4BBB-B0A9-37C4943E733F}"/>
    <cellStyle name="Normal 2 4 5 3 2 3 2 2 4" xfId="26295" xr:uid="{6DCA737A-3D4B-477D-88EF-AF02C97148D7}"/>
    <cellStyle name="Normal 2 4 5 3 2 3 2 2 5" xfId="16998" xr:uid="{7A434165-5941-45BC-90DD-06E9D0338263}"/>
    <cellStyle name="Normal 2 4 5 3 2 3 2 3" xfId="38973" xr:uid="{C400EB27-0954-407E-8530-C3A88C52B8F4}"/>
    <cellStyle name="Normal 2 4 5 3 2 3 2 4" xfId="30525" xr:uid="{F55352CF-132A-4079-A33F-7E2C747675EC}"/>
    <cellStyle name="Normal 2 4 5 3 2 3 2 5" xfId="22078" xr:uid="{CBF31417-91BA-4932-A0EC-28AF8D96B915}"/>
    <cellStyle name="Normal 2 4 5 3 2 3 2 6" xfId="12781" xr:uid="{C57CC1CF-5F1E-457E-BD76-2D3BFD8BC35D}"/>
    <cellStyle name="Normal 2 4 5 3 2 3 3" xfId="5527" xr:uid="{00000000-0005-0000-0000-00008F100000}"/>
    <cellStyle name="Normal 2 4 5 3 2 3 3 2" xfId="41045" xr:uid="{EF236293-FC91-449B-BF24-E2243A37DFDF}"/>
    <cellStyle name="Normal 2 4 5 3 2 3 3 3" xfId="32598" xr:uid="{9EF535F4-94AE-49DD-9983-768EFCA5D6D8}"/>
    <cellStyle name="Normal 2 4 5 3 2 3 3 4" xfId="24150" xr:uid="{A0DFC051-3A48-4625-A03F-F3325FDE8841}"/>
    <cellStyle name="Normal 2 4 5 3 2 3 3 5" xfId="14853" xr:uid="{86E57891-3CEA-4CA3-B88D-3AAA347487B0}"/>
    <cellStyle name="Normal 2 4 5 3 2 3 4" xfId="36828" xr:uid="{0963DC5C-FAA4-44A8-A5B0-BC4F3D0796B2}"/>
    <cellStyle name="Normal 2 4 5 3 2 3 5" xfId="28380" xr:uid="{CC59447A-88EA-4C76-B814-07BFE122917C}"/>
    <cellStyle name="Normal 2 4 5 3 2 3 6" xfId="19933" xr:uid="{CAC3E382-4BF3-43F6-AC53-04ACFDAFAC1E}"/>
    <cellStyle name="Normal 2 4 5 3 2 3 7" xfId="10636" xr:uid="{F6DD86C6-6165-4F52-9D3B-BE846B6B739B}"/>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43603" xr:uid="{AC979B58-A8CA-4785-86A3-C2EFB44A5943}"/>
    <cellStyle name="Normal 2 4 5 3 2 4 2 2 3" xfId="35156" xr:uid="{218C849F-FA5F-40C4-B852-F08CC96A7E65}"/>
    <cellStyle name="Normal 2 4 5 3 2 4 2 2 4" xfId="26708" xr:uid="{EA9DC182-5186-4616-969B-D70BC9A9CF55}"/>
    <cellStyle name="Normal 2 4 5 3 2 4 2 2 5" xfId="17411" xr:uid="{A78AE728-8279-4558-8E90-3E4251278323}"/>
    <cellStyle name="Normal 2 4 5 3 2 4 2 3" xfId="39386" xr:uid="{7AE9E0DA-CBAB-4E52-B465-7E3C63934489}"/>
    <cellStyle name="Normal 2 4 5 3 2 4 2 4" xfId="30938" xr:uid="{0BAE83D4-2C1C-4070-9B41-ED44D08382ED}"/>
    <cellStyle name="Normal 2 4 5 3 2 4 2 5" xfId="22491" xr:uid="{F40959EB-0185-4E51-A395-5B2BACDC1403}"/>
    <cellStyle name="Normal 2 4 5 3 2 4 2 6" xfId="13194" xr:uid="{276DD472-BE84-47C5-8EDA-EA18CAAC55C7}"/>
    <cellStyle name="Normal 2 4 5 3 2 4 3" xfId="5940" xr:uid="{00000000-0005-0000-0000-000093100000}"/>
    <cellStyle name="Normal 2 4 5 3 2 4 3 2" xfId="41458" xr:uid="{41268787-B892-495F-BEB7-2CBC043A9DF8}"/>
    <cellStyle name="Normal 2 4 5 3 2 4 3 3" xfId="33011" xr:uid="{75749D75-17B9-4975-9D27-B2665A61AFF0}"/>
    <cellStyle name="Normal 2 4 5 3 2 4 3 4" xfId="24563" xr:uid="{E548C796-2ACC-4246-BF24-A36186238B3A}"/>
    <cellStyle name="Normal 2 4 5 3 2 4 3 5" xfId="15266" xr:uid="{FD47C255-5AED-481C-A3C8-A079A3397F53}"/>
    <cellStyle name="Normal 2 4 5 3 2 4 4" xfId="37241" xr:uid="{D46DC17E-6D30-4100-87FF-BC4D6CEA96DB}"/>
    <cellStyle name="Normal 2 4 5 3 2 4 5" xfId="28793" xr:uid="{CF9586F3-6666-47DE-8BA9-8BD798BAB2B1}"/>
    <cellStyle name="Normal 2 4 5 3 2 4 6" xfId="20346" xr:uid="{FB6C6197-DA72-4BA1-B6BB-31B091D05CE8}"/>
    <cellStyle name="Normal 2 4 5 3 2 4 7" xfId="11049" xr:uid="{B936A69B-6347-40AA-AFBC-B6A2133C84EF}"/>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44016" xr:uid="{4A654A3D-D41E-4BF4-8B3A-2D8E6908DC65}"/>
    <cellStyle name="Normal 2 4 5 3 2 5 2 2 3" xfId="35569" xr:uid="{C4A8EB26-3E4C-4D68-A687-EEEA35C75EA2}"/>
    <cellStyle name="Normal 2 4 5 3 2 5 2 2 4" xfId="27121" xr:uid="{72B4A3EC-1506-4C4A-A1E7-F33883E1CBA9}"/>
    <cellStyle name="Normal 2 4 5 3 2 5 2 2 5" xfId="17824" xr:uid="{3E8A8AE4-BDE7-4997-A46C-75DDC94441AA}"/>
    <cellStyle name="Normal 2 4 5 3 2 5 2 3" xfId="39799" xr:uid="{8E39B61F-877C-4BAA-A09B-3990BA50CED4}"/>
    <cellStyle name="Normal 2 4 5 3 2 5 2 4" xfId="31351" xr:uid="{45B4CF5D-8549-4FA9-B548-2FC87AA96E25}"/>
    <cellStyle name="Normal 2 4 5 3 2 5 2 5" xfId="22904" xr:uid="{1212960D-B3CA-483C-8D58-BD61FCEA0F76}"/>
    <cellStyle name="Normal 2 4 5 3 2 5 2 6" xfId="13607" xr:uid="{7B130F12-80C4-4CB8-B104-8A1825DB5D32}"/>
    <cellStyle name="Normal 2 4 5 3 2 5 3" xfId="6353" xr:uid="{00000000-0005-0000-0000-000097100000}"/>
    <cellStyle name="Normal 2 4 5 3 2 5 3 2" xfId="41871" xr:uid="{99B0294B-EACA-4CAB-8101-3B5AE32F05E1}"/>
    <cellStyle name="Normal 2 4 5 3 2 5 3 3" xfId="33424" xr:uid="{75056E97-0E17-416F-A4F5-E805179B812F}"/>
    <cellStyle name="Normal 2 4 5 3 2 5 3 4" xfId="24976" xr:uid="{42F2F162-E936-4DC8-8518-95D580DFF270}"/>
    <cellStyle name="Normal 2 4 5 3 2 5 3 5" xfId="15679" xr:uid="{B2350DBB-FEF8-438C-8280-A2116875BA6D}"/>
    <cellStyle name="Normal 2 4 5 3 2 5 4" xfId="37654" xr:uid="{52C76AA3-D12D-42BC-BF0E-9BC14AE1CE24}"/>
    <cellStyle name="Normal 2 4 5 3 2 5 5" xfId="29206" xr:uid="{86205441-8905-4FDF-B55D-4DA991819FCC}"/>
    <cellStyle name="Normal 2 4 5 3 2 5 6" xfId="20759" xr:uid="{ECDC585E-32A6-4367-8608-F97125C0572D}"/>
    <cellStyle name="Normal 2 4 5 3 2 5 7" xfId="11462" xr:uid="{B386D812-0FD7-4F86-859D-517961708B8D}"/>
    <cellStyle name="Normal 2 4 5 3 2 6" xfId="2483" xr:uid="{00000000-0005-0000-0000-000098100000}"/>
    <cellStyle name="Normal 2 4 5 3 2 6 2" xfId="6766" xr:uid="{00000000-0005-0000-0000-000099100000}"/>
    <cellStyle name="Normal 2 4 5 3 2 6 2 2" xfId="42284" xr:uid="{36EFB66B-5A7C-497B-8DB9-4DBF45E8DB68}"/>
    <cellStyle name="Normal 2 4 5 3 2 6 2 3" xfId="33837" xr:uid="{CC2763A6-6825-48B1-933A-ED4125289AEE}"/>
    <cellStyle name="Normal 2 4 5 3 2 6 2 4" xfId="25389" xr:uid="{87818FCB-C0AB-4838-AE64-2B6F542693A1}"/>
    <cellStyle name="Normal 2 4 5 3 2 6 2 5" xfId="16092" xr:uid="{937E80BD-BA2B-4720-AF8C-3B85DB03EF18}"/>
    <cellStyle name="Normal 2 4 5 3 2 6 3" xfId="38067" xr:uid="{0A2BDDEA-B6A9-4F0C-BF3E-3551DE4E4DF6}"/>
    <cellStyle name="Normal 2 4 5 3 2 6 4" xfId="29619" xr:uid="{CB7D8300-5FEA-453D-B14C-4692D79F6C93}"/>
    <cellStyle name="Normal 2 4 5 3 2 6 5" xfId="21172" xr:uid="{FF15EE19-3439-4948-B062-8FA63EB7F817}"/>
    <cellStyle name="Normal 2 4 5 3 2 6 6" xfId="11875" xr:uid="{32033EAB-AC32-411D-AE4F-C53657BD038B}"/>
    <cellStyle name="Normal 2 4 5 3 2 7" xfId="4700" xr:uid="{00000000-0005-0000-0000-00009A100000}"/>
    <cellStyle name="Normal 2 4 5 3 2 7 2" xfId="40218" xr:uid="{33A67B3C-044F-43AB-B044-AAA4F85F0493}"/>
    <cellStyle name="Normal 2 4 5 3 2 7 3" xfId="31771" xr:uid="{F97C6B05-045B-4623-A820-B63B6425BCA0}"/>
    <cellStyle name="Normal 2 4 5 3 2 7 4" xfId="23323" xr:uid="{EBA1F995-6CF1-40CA-AAE8-4E80A8A3ED8D}"/>
    <cellStyle name="Normal 2 4 5 3 2 7 5" xfId="14026" xr:uid="{AECD5301-A25C-4CDB-8E5D-4B951526A123}"/>
    <cellStyle name="Normal 2 4 5 3 2 8" xfId="9090" xr:uid="{4B64C5F8-5AC3-43D3-B94A-46850BBF79A5}"/>
    <cellStyle name="Normal 2 4 5 3 2 8 2" xfId="36001" xr:uid="{11E1141B-0053-4D75-86C1-152A49FA5843}"/>
    <cellStyle name="Normal 2 4 5 3 2 8 3" xfId="18413" xr:uid="{6879178A-8333-4CC9-A498-1A69A4A2A741}"/>
    <cellStyle name="Normal 2 4 5 3 2 9" xfId="27553" xr:uid="{6E492DF1-214C-4D08-9F7F-50182631AC7F}"/>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42776" xr:uid="{CF86C68F-6241-44DF-BACA-2566DB41071E}"/>
    <cellStyle name="Normal 2 4 5 3 3 2 2 3" xfId="34329" xr:uid="{9BA44401-9EAB-43FE-9F2A-AAA590ECC4C8}"/>
    <cellStyle name="Normal 2 4 5 3 3 2 2 4" xfId="25881" xr:uid="{E4878DA4-D77B-4FFD-8394-3A8E07626303}"/>
    <cellStyle name="Normal 2 4 5 3 3 2 2 5" xfId="16584" xr:uid="{1F995972-F1D4-42BA-84FF-25286191F86E}"/>
    <cellStyle name="Normal 2 4 5 3 3 2 3" xfId="38559" xr:uid="{B0DFD9E4-6F57-4D17-9E1D-F3C667B3619B}"/>
    <cellStyle name="Normal 2 4 5 3 3 2 4" xfId="30111" xr:uid="{D19E0BEC-137A-463E-A228-9D684E96FAEB}"/>
    <cellStyle name="Normal 2 4 5 3 3 2 5" xfId="21664" xr:uid="{4F297DED-9407-43A4-981B-0DEB683B9B75}"/>
    <cellStyle name="Normal 2 4 5 3 3 2 6" xfId="12367" xr:uid="{23E11A9C-EE22-4447-A202-4B691CF3632B}"/>
    <cellStyle name="Normal 2 4 5 3 3 3" xfId="5113" xr:uid="{00000000-0005-0000-0000-00009E100000}"/>
    <cellStyle name="Normal 2 4 5 3 3 3 2" xfId="40631" xr:uid="{FEC2A083-AB1F-45AA-B86D-5E6FD7B7BFC8}"/>
    <cellStyle name="Normal 2 4 5 3 3 3 3" xfId="32184" xr:uid="{D517D108-2F44-4E6A-9A01-D5C8C01F6F04}"/>
    <cellStyle name="Normal 2 4 5 3 3 3 4" xfId="23736" xr:uid="{CACEAB07-FC58-46C5-BCF7-6EF7F5841E86}"/>
    <cellStyle name="Normal 2 4 5 3 3 3 5" xfId="14439" xr:uid="{BAE4E2FC-8FC3-41DA-B2E7-F620C29FEB6D}"/>
    <cellStyle name="Normal 2 4 5 3 3 4" xfId="9308" xr:uid="{40198FFA-4C90-42BE-90C8-42459F1A2A1C}"/>
    <cellStyle name="Normal 2 4 5 3 3 4 2" xfId="36414" xr:uid="{E33B7089-9425-40A8-A934-0F65575D2F1C}"/>
    <cellStyle name="Normal 2 4 5 3 3 4 3" xfId="18621" xr:uid="{1C1FA632-762B-4F3E-833D-9EB893E7336D}"/>
    <cellStyle name="Normal 2 4 5 3 3 5" xfId="27966" xr:uid="{F4FEFE42-BB9A-44B0-8470-D41DBD9BC166}"/>
    <cellStyle name="Normal 2 4 5 3 3 6" xfId="19519" xr:uid="{93833071-A916-49BC-A2D1-B1F4805CF790}"/>
    <cellStyle name="Normal 2 4 5 3 3 7" xfId="10222" xr:uid="{8FC3F995-7175-48F6-9103-3EA262506AD1}"/>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43189" xr:uid="{81E87451-9D5C-407A-88F3-285511B01211}"/>
    <cellStyle name="Normal 2 4 5 3 4 2 2 3" xfId="34742" xr:uid="{BFEB6642-23B1-458E-8779-802E5680D3E2}"/>
    <cellStyle name="Normal 2 4 5 3 4 2 2 4" xfId="26294" xr:uid="{321ED1E2-6199-4D29-BC9B-41A5C765E884}"/>
    <cellStyle name="Normal 2 4 5 3 4 2 2 5" xfId="16997" xr:uid="{5CBC3142-A3F3-4623-9DE9-DAA2ADFC2F82}"/>
    <cellStyle name="Normal 2 4 5 3 4 2 3" xfId="38972" xr:uid="{41B4DAA9-1CD5-4FFE-B6EC-41093BF35499}"/>
    <cellStyle name="Normal 2 4 5 3 4 2 4" xfId="30524" xr:uid="{5623F8C9-EFF7-4374-862D-374D140782A2}"/>
    <cellStyle name="Normal 2 4 5 3 4 2 5" xfId="22077" xr:uid="{88AB46A9-FDFA-43BE-A328-7A3ACDC5879C}"/>
    <cellStyle name="Normal 2 4 5 3 4 2 6" xfId="12780" xr:uid="{74BDD96D-79F7-4AE0-91A7-4806781A3E63}"/>
    <cellStyle name="Normal 2 4 5 3 4 3" xfId="5526" xr:uid="{00000000-0005-0000-0000-0000A2100000}"/>
    <cellStyle name="Normal 2 4 5 3 4 3 2" xfId="41044" xr:uid="{13BB30E0-F699-45A7-B6B9-BE147D4FE812}"/>
    <cellStyle name="Normal 2 4 5 3 4 3 3" xfId="32597" xr:uid="{BE7D4F99-BFF9-42AF-A947-D485103C1DF6}"/>
    <cellStyle name="Normal 2 4 5 3 4 3 4" xfId="24149" xr:uid="{0FF24DCF-879A-4766-99D8-9799DC985727}"/>
    <cellStyle name="Normal 2 4 5 3 4 3 5" xfId="14852" xr:uid="{5280FC2F-D008-41CA-B8BC-D22F0A7E3D6F}"/>
    <cellStyle name="Normal 2 4 5 3 4 4" xfId="36827" xr:uid="{61F6641E-47DD-4D9D-BC2A-CB9F474C7F0A}"/>
    <cellStyle name="Normal 2 4 5 3 4 5" xfId="28379" xr:uid="{5FD98A39-987D-4ABF-8881-52C03C554140}"/>
    <cellStyle name="Normal 2 4 5 3 4 6" xfId="19932" xr:uid="{B770D300-B8F5-4C7E-BE2F-B57608FAAA05}"/>
    <cellStyle name="Normal 2 4 5 3 4 7" xfId="10635" xr:uid="{5DB1DDBC-4F43-483C-9C80-D0709BAFB232}"/>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43602" xr:uid="{A8DD0238-FAD8-497E-ABD5-F85E67C7DBDD}"/>
    <cellStyle name="Normal 2 4 5 3 5 2 2 3" xfId="35155" xr:uid="{488B55F5-3262-403F-AF58-53CA6F9158E7}"/>
    <cellStyle name="Normal 2 4 5 3 5 2 2 4" xfId="26707" xr:uid="{C9E1D9B3-3071-4FB1-A91D-2650B8502F82}"/>
    <cellStyle name="Normal 2 4 5 3 5 2 2 5" xfId="17410" xr:uid="{D68CF432-9B56-4D68-AE88-3701E5363E92}"/>
    <cellStyle name="Normal 2 4 5 3 5 2 3" xfId="39385" xr:uid="{23D373CC-A3B8-442C-A810-D05D60FC1E6F}"/>
    <cellStyle name="Normal 2 4 5 3 5 2 4" xfId="30937" xr:uid="{32C022CD-B40E-486D-9AD7-1244E99067E5}"/>
    <cellStyle name="Normal 2 4 5 3 5 2 5" xfId="22490" xr:uid="{1DBB37BA-BCD8-469F-947D-2FF1B3DC3B59}"/>
    <cellStyle name="Normal 2 4 5 3 5 2 6" xfId="13193" xr:uid="{56B25FEE-9497-48C3-A2E8-CDC760FC02C8}"/>
    <cellStyle name="Normal 2 4 5 3 5 3" xfId="5939" xr:uid="{00000000-0005-0000-0000-0000A6100000}"/>
    <cellStyle name="Normal 2 4 5 3 5 3 2" xfId="41457" xr:uid="{D4C18FD6-702B-408C-AFB1-5A5A05A45457}"/>
    <cellStyle name="Normal 2 4 5 3 5 3 3" xfId="33010" xr:uid="{4386F8EB-9128-41BA-8369-9C50107075C5}"/>
    <cellStyle name="Normal 2 4 5 3 5 3 4" xfId="24562" xr:uid="{D49CE5E9-B83C-43DA-B007-8D24FCF74A73}"/>
    <cellStyle name="Normal 2 4 5 3 5 3 5" xfId="15265" xr:uid="{7E6DDA48-27C4-4FCB-94EB-0C23C13CFF9F}"/>
    <cellStyle name="Normal 2 4 5 3 5 4" xfId="37240" xr:uid="{8BE6C514-B2B2-4465-AB59-A7A867510E63}"/>
    <cellStyle name="Normal 2 4 5 3 5 5" xfId="28792" xr:uid="{145A7E09-AF35-44F5-B4DE-A7FD7B36F3FF}"/>
    <cellStyle name="Normal 2 4 5 3 5 6" xfId="20345" xr:uid="{4B07E054-8188-485A-80F2-F0EC4E1FB38C}"/>
    <cellStyle name="Normal 2 4 5 3 5 7" xfId="11048" xr:uid="{F5D30271-02C6-4084-AB3C-0C99541D8E2A}"/>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44015" xr:uid="{57F09973-DFBF-4C7D-AC38-4BAD1DCA8656}"/>
    <cellStyle name="Normal 2 4 5 3 6 2 2 3" xfId="35568" xr:uid="{372949F4-153E-4C76-89A3-0A56587F891B}"/>
    <cellStyle name="Normal 2 4 5 3 6 2 2 4" xfId="27120" xr:uid="{CC3BB4F0-7C03-4B82-B130-699726D4F205}"/>
    <cellStyle name="Normal 2 4 5 3 6 2 2 5" xfId="17823" xr:uid="{5261C4E2-B571-41F9-BEE4-D9751E075EE0}"/>
    <cellStyle name="Normal 2 4 5 3 6 2 3" xfId="39798" xr:uid="{3BDDB38D-52F7-4053-B1F7-6C2531FB1AC7}"/>
    <cellStyle name="Normal 2 4 5 3 6 2 4" xfId="31350" xr:uid="{2A0FFAAF-B5D1-4994-A6C2-072E24C4806C}"/>
    <cellStyle name="Normal 2 4 5 3 6 2 5" xfId="22903" xr:uid="{A41F2845-4966-4925-8C3C-EE648E3DE8F5}"/>
    <cellStyle name="Normal 2 4 5 3 6 2 6" xfId="13606" xr:uid="{79446815-E809-4D78-92D8-020E37D263B4}"/>
    <cellStyle name="Normal 2 4 5 3 6 3" xfId="6352" xr:uid="{00000000-0005-0000-0000-0000AA100000}"/>
    <cellStyle name="Normal 2 4 5 3 6 3 2" xfId="41870" xr:uid="{FC298410-91C6-4672-A993-5F08B26E482F}"/>
    <cellStyle name="Normal 2 4 5 3 6 3 3" xfId="33423" xr:uid="{D734C868-F927-4EA8-9486-F894F35CD2CC}"/>
    <cellStyle name="Normal 2 4 5 3 6 3 4" xfId="24975" xr:uid="{AFC9AAC8-E0DB-4BFE-9617-DA6527B33F9D}"/>
    <cellStyle name="Normal 2 4 5 3 6 3 5" xfId="15678" xr:uid="{14590A37-3C6E-439C-89C5-C480AF208B37}"/>
    <cellStyle name="Normal 2 4 5 3 6 4" xfId="37653" xr:uid="{0F6F7B69-91F0-474C-9366-B506E494E5E5}"/>
    <cellStyle name="Normal 2 4 5 3 6 5" xfId="29205" xr:uid="{77F4CAF2-1A6E-480D-A6E6-0F564949D86B}"/>
    <cellStyle name="Normal 2 4 5 3 6 6" xfId="20758" xr:uid="{46D0F8AE-3CE5-4AA8-91FC-47C792A7724A}"/>
    <cellStyle name="Normal 2 4 5 3 6 7" xfId="11461" xr:uid="{91FD02F8-9C6E-42A7-914C-A92B8CD2CD9D}"/>
    <cellStyle name="Normal 2 4 5 3 7" xfId="2482" xr:uid="{00000000-0005-0000-0000-0000AB100000}"/>
    <cellStyle name="Normal 2 4 5 3 7 2" xfId="6765" xr:uid="{00000000-0005-0000-0000-0000AC100000}"/>
    <cellStyle name="Normal 2 4 5 3 7 2 2" xfId="42283" xr:uid="{67042B99-DFA5-4F8C-8EED-2946E4E8A3F2}"/>
    <cellStyle name="Normal 2 4 5 3 7 2 3" xfId="33836" xr:uid="{0CBCF41F-CBD3-4C6B-89DC-897DD6CEB445}"/>
    <cellStyle name="Normal 2 4 5 3 7 2 4" xfId="25388" xr:uid="{3EFBE0A0-E7C7-4926-A94B-FAD73635E83C}"/>
    <cellStyle name="Normal 2 4 5 3 7 2 5" xfId="16091" xr:uid="{A6AE7757-983F-4515-B3FE-39BB8F8B4288}"/>
    <cellStyle name="Normal 2 4 5 3 7 3" xfId="38066" xr:uid="{70808F37-194C-4DF2-80F9-1E19AB377469}"/>
    <cellStyle name="Normal 2 4 5 3 7 4" xfId="29618" xr:uid="{7A9E70CA-1500-43AB-AEF7-2BBE4FD96369}"/>
    <cellStyle name="Normal 2 4 5 3 7 5" xfId="21171" xr:uid="{98773EB6-8AAE-4668-A12A-014477D2AC28}"/>
    <cellStyle name="Normal 2 4 5 3 7 6" xfId="11874" xr:uid="{7AA10707-8461-4128-8073-73250BD5C70E}"/>
    <cellStyle name="Normal 2 4 5 3 8" xfId="4699" xr:uid="{00000000-0005-0000-0000-0000AD100000}"/>
    <cellStyle name="Normal 2 4 5 3 8 2" xfId="40217" xr:uid="{6DD38C9F-1853-4B69-AB65-CCFC7C8A9D5C}"/>
    <cellStyle name="Normal 2 4 5 3 8 3" xfId="31770" xr:uid="{4A107E33-222B-42D6-8A7A-0CF044B40825}"/>
    <cellStyle name="Normal 2 4 5 3 8 4" xfId="23322" xr:uid="{88A2C08A-0797-45BC-BA56-C23073DFA4E3}"/>
    <cellStyle name="Normal 2 4 5 3 8 5" xfId="14025" xr:uid="{0CF93A5E-B894-4551-97CA-61D961E8D2A8}"/>
    <cellStyle name="Normal 2 4 5 3 9" xfId="8883" xr:uid="{0A470B75-873E-4D74-A257-113E3E343E18}"/>
    <cellStyle name="Normal 2 4 5 3 9 2" xfId="36000" xr:uid="{D21AC968-48E7-4B0D-A860-729048C130CC}"/>
    <cellStyle name="Normal 2 4 5 3 9 3" xfId="18206" xr:uid="{B8552760-8D56-45A3-9832-AFDE8B385A25}"/>
    <cellStyle name="Normal 2 4 5 4" xfId="310" xr:uid="{00000000-0005-0000-0000-0000AE100000}"/>
    <cellStyle name="Normal 2 4 5 4 10" xfId="19107" xr:uid="{31F48D04-2F9A-49FE-8698-6B31BC9FB3AC}"/>
    <cellStyle name="Normal 2 4 5 4 11" xfId="9810" xr:uid="{5EEC7DE9-7552-4B0F-A29F-580EC9A96187}"/>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42778" xr:uid="{3B0D4D72-49E8-41C1-B0E1-151DBE6797E5}"/>
    <cellStyle name="Normal 2 4 5 4 2 2 2 3" xfId="34331" xr:uid="{290DA0EA-B493-454C-8215-955850C281B2}"/>
    <cellStyle name="Normal 2 4 5 4 2 2 2 4" xfId="25883" xr:uid="{A406341F-73CF-4216-8219-EC7A584F338D}"/>
    <cellStyle name="Normal 2 4 5 4 2 2 2 5" xfId="16586" xr:uid="{0F7969A0-55D2-4032-9661-49FEE0C67C2D}"/>
    <cellStyle name="Normal 2 4 5 4 2 2 3" xfId="38561" xr:uid="{544C7DEE-C78D-48B6-8CFA-342FC34CD9AC}"/>
    <cellStyle name="Normal 2 4 5 4 2 2 4" xfId="30113" xr:uid="{0D9ACF9D-EFBA-42E9-9FEC-3F18FD8BAF75}"/>
    <cellStyle name="Normal 2 4 5 4 2 2 5" xfId="21666" xr:uid="{EDBA000E-8768-407D-8403-027967A8C094}"/>
    <cellStyle name="Normal 2 4 5 4 2 2 6" xfId="12369" xr:uid="{A2F59910-E385-488C-82BE-36D91634BF30}"/>
    <cellStyle name="Normal 2 4 5 4 2 3" xfId="5115" xr:uid="{00000000-0005-0000-0000-0000B2100000}"/>
    <cellStyle name="Normal 2 4 5 4 2 3 2" xfId="40633" xr:uid="{5D9C7A1D-178F-49FC-B0A4-45660CC992FE}"/>
    <cellStyle name="Normal 2 4 5 4 2 3 3" xfId="32186" xr:uid="{F174C93C-05FB-4348-A1B0-0217B09ED0BC}"/>
    <cellStyle name="Normal 2 4 5 4 2 3 4" xfId="23738" xr:uid="{B655A0F2-0D5D-4847-B00D-84030528A26C}"/>
    <cellStyle name="Normal 2 4 5 4 2 3 5" xfId="14441" xr:uid="{7857323E-65B5-46AB-81B4-5DC7596684C3}"/>
    <cellStyle name="Normal 2 4 5 4 2 4" xfId="9412" xr:uid="{0ECAC303-3EA0-4623-AA0F-854157CA32E5}"/>
    <cellStyle name="Normal 2 4 5 4 2 4 2" xfId="36416" xr:uid="{0934ED48-AAF2-461C-A7D3-A0E2E047CB1B}"/>
    <cellStyle name="Normal 2 4 5 4 2 4 3" xfId="18725" xr:uid="{F022852C-BB33-42A6-94C0-D5BA6594460A}"/>
    <cellStyle name="Normal 2 4 5 4 2 5" xfId="27968" xr:uid="{1EE0F509-B55B-4ACE-A4D5-119707B6DF1E}"/>
    <cellStyle name="Normal 2 4 5 4 2 6" xfId="19521" xr:uid="{BC641050-331A-4430-B8F2-6CA991C6C601}"/>
    <cellStyle name="Normal 2 4 5 4 2 7" xfId="10224" xr:uid="{9AF501C4-7E21-4D43-9B45-BCEA0688EF95}"/>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43191" xr:uid="{09676479-A56F-4A78-81A6-63C9534290FD}"/>
    <cellStyle name="Normal 2 4 5 4 3 2 2 3" xfId="34744" xr:uid="{6B0F443A-DE09-44EF-BCAA-898C8D73F09C}"/>
    <cellStyle name="Normal 2 4 5 4 3 2 2 4" xfId="26296" xr:uid="{C0E10593-FDBF-4C90-AA42-3C99D426894F}"/>
    <cellStyle name="Normal 2 4 5 4 3 2 2 5" xfId="16999" xr:uid="{102BE981-E53F-4356-8D47-2E4AA82893B8}"/>
    <cellStyle name="Normal 2 4 5 4 3 2 3" xfId="38974" xr:uid="{2418D084-4F95-491F-985F-C015606B8400}"/>
    <cellStyle name="Normal 2 4 5 4 3 2 4" xfId="30526" xr:uid="{E9E8EA7E-4173-487F-BBD0-52292CA09978}"/>
    <cellStyle name="Normal 2 4 5 4 3 2 5" xfId="22079" xr:uid="{A1C21C53-9C2D-43C5-9A2A-D91D476273B3}"/>
    <cellStyle name="Normal 2 4 5 4 3 2 6" xfId="12782" xr:uid="{34A33700-CB15-498E-ACC2-3D3802D31B76}"/>
    <cellStyle name="Normal 2 4 5 4 3 3" xfId="5528" xr:uid="{00000000-0005-0000-0000-0000B6100000}"/>
    <cellStyle name="Normal 2 4 5 4 3 3 2" xfId="41046" xr:uid="{DDC055B7-E8A4-417F-901F-01E4FF44C928}"/>
    <cellStyle name="Normal 2 4 5 4 3 3 3" xfId="32599" xr:uid="{2710D482-DBBC-4D32-A23F-33DB546DDFBE}"/>
    <cellStyle name="Normal 2 4 5 4 3 3 4" xfId="24151" xr:uid="{CD10110F-3C22-4021-9BB1-1E6B1C4E3B2B}"/>
    <cellStyle name="Normal 2 4 5 4 3 3 5" xfId="14854" xr:uid="{6DA3A657-BBF7-48E7-B3D3-A01D9470B3F1}"/>
    <cellStyle name="Normal 2 4 5 4 3 4" xfId="36829" xr:uid="{8FDE9A8A-AACC-4A3E-AD3D-CD2A53D79AA1}"/>
    <cellStyle name="Normal 2 4 5 4 3 5" xfId="28381" xr:uid="{69265EBA-8BA1-40B0-B137-3628E5AA34C1}"/>
    <cellStyle name="Normal 2 4 5 4 3 6" xfId="19934" xr:uid="{F026006D-00FF-429C-8473-0F109D31F3E6}"/>
    <cellStyle name="Normal 2 4 5 4 3 7" xfId="10637" xr:uid="{99445FDB-A2E2-4EB1-9F46-3AF4CA3C924D}"/>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43604" xr:uid="{CF05D2A8-E798-4042-8BB6-6192CE0A2452}"/>
    <cellStyle name="Normal 2 4 5 4 4 2 2 3" xfId="35157" xr:uid="{937B9311-E3D7-41AA-BA68-F9FEA2A6A18A}"/>
    <cellStyle name="Normal 2 4 5 4 4 2 2 4" xfId="26709" xr:uid="{CFCE95FE-F3EB-4A6A-8F6F-12A5B94DD4AF}"/>
    <cellStyle name="Normal 2 4 5 4 4 2 2 5" xfId="17412" xr:uid="{E48077D9-9CF9-4E41-BB47-28E6ABD3FFED}"/>
    <cellStyle name="Normal 2 4 5 4 4 2 3" xfId="39387" xr:uid="{0FFD2D7F-7DCF-4214-88AA-65674140CEED}"/>
    <cellStyle name="Normal 2 4 5 4 4 2 4" xfId="30939" xr:uid="{CA321364-266B-4F64-B4E0-00DCC4E4AD08}"/>
    <cellStyle name="Normal 2 4 5 4 4 2 5" xfId="22492" xr:uid="{A145ED7E-126F-433C-AFA5-2B0AFBC030F0}"/>
    <cellStyle name="Normal 2 4 5 4 4 2 6" xfId="13195" xr:uid="{66CFFB51-6B86-48B2-A56D-CA306FB9024F}"/>
    <cellStyle name="Normal 2 4 5 4 4 3" xfId="5941" xr:uid="{00000000-0005-0000-0000-0000BA100000}"/>
    <cellStyle name="Normal 2 4 5 4 4 3 2" xfId="41459" xr:uid="{AE86C651-80C8-4583-876A-72267C4C9EEB}"/>
    <cellStyle name="Normal 2 4 5 4 4 3 3" xfId="33012" xr:uid="{A8AEBBB4-C16A-42C3-828A-2ED416411EEB}"/>
    <cellStyle name="Normal 2 4 5 4 4 3 4" xfId="24564" xr:uid="{9208B0E5-B8CE-4545-BC3A-3C5D49DAC970}"/>
    <cellStyle name="Normal 2 4 5 4 4 3 5" xfId="15267" xr:uid="{FDF519FF-249E-447C-A14E-BC087161D099}"/>
    <cellStyle name="Normal 2 4 5 4 4 4" xfId="37242" xr:uid="{353D774A-3E67-4253-9A2B-B33D15813630}"/>
    <cellStyle name="Normal 2 4 5 4 4 5" xfId="28794" xr:uid="{A19D7F37-6003-4887-9224-9376DB9E5069}"/>
    <cellStyle name="Normal 2 4 5 4 4 6" xfId="20347" xr:uid="{F774B6FC-A6C3-4F16-9138-A7950CE00990}"/>
    <cellStyle name="Normal 2 4 5 4 4 7" xfId="11050" xr:uid="{05FD88FB-E88A-4694-9CCF-90DB493B51E9}"/>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44017" xr:uid="{BEB0D737-43DD-4925-A464-9FB5776F793A}"/>
    <cellStyle name="Normal 2 4 5 4 5 2 2 3" xfId="35570" xr:uid="{C4406344-9573-4683-9B09-2E7C972097A6}"/>
    <cellStyle name="Normal 2 4 5 4 5 2 2 4" xfId="27122" xr:uid="{A07BC2DA-EC9A-41B5-9A38-2510FA2239D8}"/>
    <cellStyle name="Normal 2 4 5 4 5 2 2 5" xfId="17825" xr:uid="{325676D4-4796-4510-A08C-4C011D2BD151}"/>
    <cellStyle name="Normal 2 4 5 4 5 2 3" xfId="39800" xr:uid="{E736E7B2-3599-4C41-B825-021B5C4E303E}"/>
    <cellStyle name="Normal 2 4 5 4 5 2 4" xfId="31352" xr:uid="{ADBD2EEC-9883-4272-9E7F-DDE405A25A22}"/>
    <cellStyle name="Normal 2 4 5 4 5 2 5" xfId="22905" xr:uid="{59E66B30-591F-4D60-ACBA-04669660FBAE}"/>
    <cellStyle name="Normal 2 4 5 4 5 2 6" xfId="13608" xr:uid="{3BC594C9-D785-415F-B625-C2FD821E66D6}"/>
    <cellStyle name="Normal 2 4 5 4 5 3" xfId="6354" xr:uid="{00000000-0005-0000-0000-0000BE100000}"/>
    <cellStyle name="Normal 2 4 5 4 5 3 2" xfId="41872" xr:uid="{A56669F2-41C5-4EEF-BA0F-13E419E660B2}"/>
    <cellStyle name="Normal 2 4 5 4 5 3 3" xfId="33425" xr:uid="{BA6FB952-97A8-48FC-A883-C355E7964CD3}"/>
    <cellStyle name="Normal 2 4 5 4 5 3 4" xfId="24977" xr:uid="{19AD8608-77AE-492E-9B72-720C40C39B80}"/>
    <cellStyle name="Normal 2 4 5 4 5 3 5" xfId="15680" xr:uid="{AFD7A71E-ACCE-4B59-9676-19309420A63A}"/>
    <cellStyle name="Normal 2 4 5 4 5 4" xfId="37655" xr:uid="{1ED8427C-1729-4FA5-B6A1-7E42FB6E758A}"/>
    <cellStyle name="Normal 2 4 5 4 5 5" xfId="29207" xr:uid="{D0D9355D-CD61-4559-9C7B-052857D298AD}"/>
    <cellStyle name="Normal 2 4 5 4 5 6" xfId="20760" xr:uid="{1F15BBA6-8F2C-4F1C-8D64-71AFE8039752}"/>
    <cellStyle name="Normal 2 4 5 4 5 7" xfId="11463" xr:uid="{C6B0C1E5-FA5B-4033-9D6D-7D7DFC7B5989}"/>
    <cellStyle name="Normal 2 4 5 4 6" xfId="2484" xr:uid="{00000000-0005-0000-0000-0000BF100000}"/>
    <cellStyle name="Normal 2 4 5 4 6 2" xfId="6767" xr:uid="{00000000-0005-0000-0000-0000C0100000}"/>
    <cellStyle name="Normal 2 4 5 4 6 2 2" xfId="42285" xr:uid="{EBBCC33A-9478-4D78-AC11-C72C76A81C72}"/>
    <cellStyle name="Normal 2 4 5 4 6 2 3" xfId="33838" xr:uid="{335B4FE2-63D4-4D5B-841D-39DDA262A50A}"/>
    <cellStyle name="Normal 2 4 5 4 6 2 4" xfId="25390" xr:uid="{62D8324D-0655-4893-A286-60654E7345E9}"/>
    <cellStyle name="Normal 2 4 5 4 6 2 5" xfId="16093" xr:uid="{707926E4-5D8A-42CE-99E8-ED26ABDFBE40}"/>
    <cellStyle name="Normal 2 4 5 4 6 3" xfId="38068" xr:uid="{9EC9FFC1-33A9-47A1-B75B-49568FC05AA2}"/>
    <cellStyle name="Normal 2 4 5 4 6 4" xfId="29620" xr:uid="{499D933A-B0DD-43BA-A61E-57DB190FF728}"/>
    <cellStyle name="Normal 2 4 5 4 6 5" xfId="21173" xr:uid="{936F59AD-8FC4-4E43-A7AC-BE9DF45EFD01}"/>
    <cellStyle name="Normal 2 4 5 4 6 6" xfId="11876" xr:uid="{63AF0D62-E803-4087-B678-0D0BE4BC043B}"/>
    <cellStyle name="Normal 2 4 5 4 7" xfId="4701" xr:uid="{00000000-0005-0000-0000-0000C1100000}"/>
    <cellStyle name="Normal 2 4 5 4 7 2" xfId="40219" xr:uid="{9F16CA9B-5D5A-477B-AF10-4D32C27BE471}"/>
    <cellStyle name="Normal 2 4 5 4 7 3" xfId="31772" xr:uid="{F8444767-AD8D-4955-8E08-23261F763B18}"/>
    <cellStyle name="Normal 2 4 5 4 7 4" xfId="23324" xr:uid="{ADD7225F-9101-4C74-B2BB-C942F74D6BB8}"/>
    <cellStyle name="Normal 2 4 5 4 7 5" xfId="14027" xr:uid="{29E91574-461D-4052-839C-76AC0BE5DF77}"/>
    <cellStyle name="Normal 2 4 5 4 8" xfId="8987" xr:uid="{8DC2C01A-3078-41AD-BCFB-AA1CA8EE9C0A}"/>
    <cellStyle name="Normal 2 4 5 4 8 2" xfId="36002" xr:uid="{09C451CE-2EC2-4BBB-971E-B58A5E9E6212}"/>
    <cellStyle name="Normal 2 4 5 4 8 3" xfId="18310" xr:uid="{423BA9DB-34E7-4495-BD72-B865E56B899E}"/>
    <cellStyle name="Normal 2 4 5 4 9" xfId="27554" xr:uid="{39BD8F01-C037-4858-8422-1C0A1C991FF1}"/>
    <cellStyle name="Normal 2 4 5 5" xfId="792" xr:uid="{00000000-0005-0000-0000-0000C2100000}"/>
    <cellStyle name="Normal 2 4 5 5 2" xfId="3031" xr:uid="{00000000-0005-0000-0000-0000C3100000}"/>
    <cellStyle name="Normal 2 4 5 5 2 2" xfId="7253" xr:uid="{00000000-0005-0000-0000-0000C4100000}"/>
    <cellStyle name="Normal 2 4 5 5 2 2 2" xfId="42771" xr:uid="{CDEC5B2D-2FFD-4F98-AFD5-5D22427DF899}"/>
    <cellStyle name="Normal 2 4 5 5 2 2 3" xfId="34324" xr:uid="{0D0F35F6-C34F-4962-B718-FE15D68B590E}"/>
    <cellStyle name="Normal 2 4 5 5 2 2 4" xfId="25876" xr:uid="{F24DB2EE-4E40-4D3D-8C83-8074D772FE4E}"/>
    <cellStyle name="Normal 2 4 5 5 2 2 5" xfId="16579" xr:uid="{A137FF1E-7BCA-41D1-91A8-F98BD977B3B6}"/>
    <cellStyle name="Normal 2 4 5 5 2 3" xfId="38554" xr:uid="{ED2427AC-D388-41A5-926B-C910BC7525B2}"/>
    <cellStyle name="Normal 2 4 5 5 2 4" xfId="30106" xr:uid="{940E3F5A-64AA-4E73-903D-AB834D1A2431}"/>
    <cellStyle name="Normal 2 4 5 5 2 5" xfId="21659" xr:uid="{F3D24876-4495-4289-B73E-FEC685FB0770}"/>
    <cellStyle name="Normal 2 4 5 5 2 6" xfId="12362" xr:uid="{B32A0279-1E9F-4C1E-9BD3-1AAA1D1C2FE3}"/>
    <cellStyle name="Normal 2 4 5 5 3" xfId="5108" xr:uid="{00000000-0005-0000-0000-0000C5100000}"/>
    <cellStyle name="Normal 2 4 5 5 3 2" xfId="40626" xr:uid="{336FCE81-C505-447E-B9D3-DA1FD2B13E86}"/>
    <cellStyle name="Normal 2 4 5 5 3 3" xfId="32179" xr:uid="{7BF764B2-E0E8-4FC5-829D-0B0670580706}"/>
    <cellStyle name="Normal 2 4 5 5 3 4" xfId="23731" xr:uid="{197AA043-3525-402F-916C-387E54ABA546}"/>
    <cellStyle name="Normal 2 4 5 5 3 5" xfId="14434" xr:uid="{CA9BB5C1-7DFA-4665-8FDC-8C746BB73C79}"/>
    <cellStyle name="Normal 2 4 5 5 4" xfId="9204" xr:uid="{BE34B337-03EE-47D8-9E35-2EE6FAB30236}"/>
    <cellStyle name="Normal 2 4 5 5 4 2" xfId="36409" xr:uid="{0BFE136C-FB8A-4A84-B66B-284B8B1E60AC}"/>
    <cellStyle name="Normal 2 4 5 5 4 3" xfId="18518" xr:uid="{382593F9-4498-4A09-A7C0-3073E264E273}"/>
    <cellStyle name="Normal 2 4 5 5 5" xfId="27961" xr:uid="{9C79CE0F-2AC3-451D-BD21-F81011C74332}"/>
    <cellStyle name="Normal 2 4 5 5 6" xfId="19514" xr:uid="{16AB37B8-1602-4D93-8B6D-A9C486909060}"/>
    <cellStyle name="Normal 2 4 5 5 7" xfId="10217" xr:uid="{3AE97183-FB46-4DB7-8A17-A66A36DA4190}"/>
    <cellStyle name="Normal 2 4 5 6" xfId="1214" xr:uid="{00000000-0005-0000-0000-0000C6100000}"/>
    <cellStyle name="Normal 2 4 5 6 2" xfId="3444" xr:uid="{00000000-0005-0000-0000-0000C7100000}"/>
    <cellStyle name="Normal 2 4 5 6 2 2" xfId="7666" xr:uid="{00000000-0005-0000-0000-0000C8100000}"/>
    <cellStyle name="Normal 2 4 5 6 2 2 2" xfId="43184" xr:uid="{C415607F-CCFB-400D-8F31-C6DFB8CF721E}"/>
    <cellStyle name="Normal 2 4 5 6 2 2 3" xfId="34737" xr:uid="{9DFACDC9-8B4F-47D9-A3A0-88C8F0E7CBC7}"/>
    <cellStyle name="Normal 2 4 5 6 2 2 4" xfId="26289" xr:uid="{6752DE41-4BFB-4D5C-BD9D-3879E4BFB0CF}"/>
    <cellStyle name="Normal 2 4 5 6 2 2 5" xfId="16992" xr:uid="{3EB6BA0A-AAA9-4E1F-A4BC-996BD4960F24}"/>
    <cellStyle name="Normal 2 4 5 6 2 3" xfId="38967" xr:uid="{68760E6C-0DBD-44C8-B848-B6D3E3FA355B}"/>
    <cellStyle name="Normal 2 4 5 6 2 4" xfId="30519" xr:uid="{0D01EE6A-C786-42CF-AE40-0C07C17FE98D}"/>
    <cellStyle name="Normal 2 4 5 6 2 5" xfId="22072" xr:uid="{2C535DF7-4013-4AE2-9DDE-C84D38BAFAF9}"/>
    <cellStyle name="Normal 2 4 5 6 2 6" xfId="12775" xr:uid="{0A905699-5082-41CF-BAE6-3B0A2956DFEC}"/>
    <cellStyle name="Normal 2 4 5 6 3" xfId="5521" xr:uid="{00000000-0005-0000-0000-0000C9100000}"/>
    <cellStyle name="Normal 2 4 5 6 3 2" xfId="41039" xr:uid="{DE9DC864-3425-4FB6-AD98-8C064C1FE276}"/>
    <cellStyle name="Normal 2 4 5 6 3 3" xfId="32592" xr:uid="{4A572F15-25AB-447C-9079-9076830198AA}"/>
    <cellStyle name="Normal 2 4 5 6 3 4" xfId="24144" xr:uid="{BF984C74-D479-46D3-8C2B-16343493ABF5}"/>
    <cellStyle name="Normal 2 4 5 6 3 5" xfId="14847" xr:uid="{BD7E434D-312F-4857-A9EB-7DBC6EA2C82D}"/>
    <cellStyle name="Normal 2 4 5 6 4" xfId="36822" xr:uid="{670EB9B6-1238-48DA-9648-D52D9C125743}"/>
    <cellStyle name="Normal 2 4 5 6 5" xfId="28374" xr:uid="{E9D7412B-AF80-42F7-8A47-E4C5EC9AA426}"/>
    <cellStyle name="Normal 2 4 5 6 6" xfId="19927" xr:uid="{09C3FD4D-CB2C-476B-B2CB-A535DBDABA20}"/>
    <cellStyle name="Normal 2 4 5 6 7" xfId="10630" xr:uid="{91A1AE0A-EAFC-453C-BA4A-9EBC2BD6A898}"/>
    <cellStyle name="Normal 2 4 5 7" xfId="1627" xr:uid="{00000000-0005-0000-0000-0000CA100000}"/>
    <cellStyle name="Normal 2 4 5 7 2" xfId="3857" xr:uid="{00000000-0005-0000-0000-0000CB100000}"/>
    <cellStyle name="Normal 2 4 5 7 2 2" xfId="8079" xr:uid="{00000000-0005-0000-0000-0000CC100000}"/>
    <cellStyle name="Normal 2 4 5 7 2 2 2" xfId="43597" xr:uid="{0E5062D0-1E36-4042-A380-B9F8569B2C59}"/>
    <cellStyle name="Normal 2 4 5 7 2 2 3" xfId="35150" xr:uid="{367310DC-C4E1-4606-995E-F0D45CDE3760}"/>
    <cellStyle name="Normal 2 4 5 7 2 2 4" xfId="26702" xr:uid="{851AC3D8-E1EE-4619-869F-934F85CDEC82}"/>
    <cellStyle name="Normal 2 4 5 7 2 2 5" xfId="17405" xr:uid="{6DA7EBF2-B176-4859-B7A2-5893F9EB3C89}"/>
    <cellStyle name="Normal 2 4 5 7 2 3" xfId="39380" xr:uid="{2416D9DD-647D-4540-934F-ED4CF3C3655E}"/>
    <cellStyle name="Normal 2 4 5 7 2 4" xfId="30932" xr:uid="{035D0C4B-93BC-43A0-89EE-BBDB89299C0D}"/>
    <cellStyle name="Normal 2 4 5 7 2 5" xfId="22485" xr:uid="{D545D549-D0B6-4BE8-BA46-F0776B6B420D}"/>
    <cellStyle name="Normal 2 4 5 7 2 6" xfId="13188" xr:uid="{476EB354-35AD-47D7-B89B-815CADAF28DE}"/>
    <cellStyle name="Normal 2 4 5 7 3" xfId="5934" xr:uid="{00000000-0005-0000-0000-0000CD100000}"/>
    <cellStyle name="Normal 2 4 5 7 3 2" xfId="41452" xr:uid="{0E876E24-27A1-4805-8340-0C0580F27DA6}"/>
    <cellStyle name="Normal 2 4 5 7 3 3" xfId="33005" xr:uid="{C3E38305-EDB5-451A-8982-730E1BCB64A2}"/>
    <cellStyle name="Normal 2 4 5 7 3 4" xfId="24557" xr:uid="{0FE23AC0-D320-43D5-A12B-29E3F0A9B0E6}"/>
    <cellStyle name="Normal 2 4 5 7 3 5" xfId="15260" xr:uid="{F6BECAA9-4009-41EA-BD0F-7AA81A02304A}"/>
    <cellStyle name="Normal 2 4 5 7 4" xfId="37235" xr:uid="{61FD2C0A-BB48-4749-8E77-958D54ECC3C0}"/>
    <cellStyle name="Normal 2 4 5 7 5" xfId="28787" xr:uid="{9F781656-5EC1-47ED-B081-245E60F684A2}"/>
    <cellStyle name="Normal 2 4 5 7 6" xfId="20340" xr:uid="{C5C4F6DE-E922-4AEE-82A9-837E4F77EF86}"/>
    <cellStyle name="Normal 2 4 5 7 7" xfId="11043" xr:uid="{AC4F56AF-CFAC-46EF-9E0B-4092D9EF93F3}"/>
    <cellStyle name="Normal 2 4 5 8" xfId="2041" xr:uid="{00000000-0005-0000-0000-0000CE100000}"/>
    <cellStyle name="Normal 2 4 5 8 2" xfId="4270" xr:uid="{00000000-0005-0000-0000-0000CF100000}"/>
    <cellStyle name="Normal 2 4 5 8 2 2" xfId="8492" xr:uid="{00000000-0005-0000-0000-0000D0100000}"/>
    <cellStyle name="Normal 2 4 5 8 2 2 2" xfId="44010" xr:uid="{4DFD2BE3-16A2-420B-A16F-6FD98CB15BE0}"/>
    <cellStyle name="Normal 2 4 5 8 2 2 3" xfId="35563" xr:uid="{775AF04C-C553-4EEB-ACD8-7CE2FA538BEA}"/>
    <cellStyle name="Normal 2 4 5 8 2 2 4" xfId="27115" xr:uid="{8556A773-591D-4B4F-B1F1-DDFD804268D1}"/>
    <cellStyle name="Normal 2 4 5 8 2 2 5" xfId="17818" xr:uid="{8000C0CC-65F2-4F8A-92BB-0177D71AA816}"/>
    <cellStyle name="Normal 2 4 5 8 2 3" xfId="39793" xr:uid="{475E2D0C-FFF3-4922-9121-8C3AE96A7967}"/>
    <cellStyle name="Normal 2 4 5 8 2 4" xfId="31345" xr:uid="{A271C3B5-8710-472C-923E-F64486BE99AA}"/>
    <cellStyle name="Normal 2 4 5 8 2 5" xfId="22898" xr:uid="{D5DDD75C-63E6-4B1F-9F8B-1460934A29E6}"/>
    <cellStyle name="Normal 2 4 5 8 2 6" xfId="13601" xr:uid="{55CC9C65-4A01-45DD-8571-B9873CBF2CAC}"/>
    <cellStyle name="Normal 2 4 5 8 3" xfId="6347" xr:uid="{00000000-0005-0000-0000-0000D1100000}"/>
    <cellStyle name="Normal 2 4 5 8 3 2" xfId="41865" xr:uid="{C854C9B5-34FF-4FB6-81C3-C46E8D5C6960}"/>
    <cellStyle name="Normal 2 4 5 8 3 3" xfId="33418" xr:uid="{ADD9DFCB-9254-4A71-89CE-E2C2B4F787F1}"/>
    <cellStyle name="Normal 2 4 5 8 3 4" xfId="24970" xr:uid="{B341CFB2-5E0E-4C93-B47C-962F6B0C2C35}"/>
    <cellStyle name="Normal 2 4 5 8 3 5" xfId="15673" xr:uid="{94BC25E6-3F4A-4DAF-B555-7FBC07A1359D}"/>
    <cellStyle name="Normal 2 4 5 8 4" xfId="37648" xr:uid="{BEFD58FE-ADA6-488B-8DAB-B515E8364CA0}"/>
    <cellStyle name="Normal 2 4 5 8 5" xfId="29200" xr:uid="{527431BE-052D-494C-968F-3EB9E6C3949D}"/>
    <cellStyle name="Normal 2 4 5 8 6" xfId="20753" xr:uid="{CC57C670-11F0-4C2F-BC08-00D5E29C992E}"/>
    <cellStyle name="Normal 2 4 5 8 7" xfId="11456" xr:uid="{21C9B0C8-A9AF-495E-98CB-007BC4F7BD23}"/>
    <cellStyle name="Normal 2 4 5 9" xfId="2477" xr:uid="{00000000-0005-0000-0000-0000D2100000}"/>
    <cellStyle name="Normal 2 4 5 9 2" xfId="6760" xr:uid="{00000000-0005-0000-0000-0000D3100000}"/>
    <cellStyle name="Normal 2 4 5 9 2 2" xfId="42278" xr:uid="{4FDDCF18-574E-4324-BBAE-061D305577D0}"/>
    <cellStyle name="Normal 2 4 5 9 2 3" xfId="33831" xr:uid="{7F9B6692-1FD6-467F-AB06-93871B210F37}"/>
    <cellStyle name="Normal 2 4 5 9 2 4" xfId="25383" xr:uid="{6B57F3DC-EADD-4130-8E99-0BCDEC819E6B}"/>
    <cellStyle name="Normal 2 4 5 9 2 5" xfId="16086" xr:uid="{4816F64E-F929-43C8-A68B-F4419E50CB84}"/>
    <cellStyle name="Normal 2 4 5 9 3" xfId="38061" xr:uid="{36616BF5-7EFC-4F79-AC71-C921199EA2AB}"/>
    <cellStyle name="Normal 2 4 5 9 4" xfId="29613" xr:uid="{E14A48AC-721B-42D0-AFF9-3129E158C04B}"/>
    <cellStyle name="Normal 2 4 5 9 5" xfId="21166" xr:uid="{62AF5E15-4555-4364-8BC9-BBC933140F7B}"/>
    <cellStyle name="Normal 2 4 5 9 6" xfId="11869" xr:uid="{17848358-A1EB-401D-89C2-EB724C9CD06E}"/>
    <cellStyle name="Normal 2 4 6" xfId="311" xr:uid="{00000000-0005-0000-0000-0000D4100000}"/>
    <cellStyle name="Normal 2 4 7" xfId="312" xr:uid="{00000000-0005-0000-0000-0000D5100000}"/>
    <cellStyle name="Normal 2 4 7 10" xfId="27555" xr:uid="{D9C47335-DAE5-4426-B707-38186BFE3C10}"/>
    <cellStyle name="Normal 2 4 7 11" xfId="19108" xr:uid="{07738685-8FAE-4EFB-8EF7-B9AA79BB501D}"/>
    <cellStyle name="Normal 2 4 7 12" xfId="9811" xr:uid="{4D902072-7F21-4747-BAE8-6928890649EA}"/>
    <cellStyle name="Normal 2 4 7 2" xfId="313" xr:uid="{00000000-0005-0000-0000-0000D6100000}"/>
    <cellStyle name="Normal 2 4 7 2 10" xfId="19109" xr:uid="{4155EA6C-11FF-49F8-8E10-3E5F74CA0D2A}"/>
    <cellStyle name="Normal 2 4 7 2 11" xfId="9812" xr:uid="{D9EF1AC1-CB4A-4DB2-B50A-940D2FB73BC6}"/>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42780" xr:uid="{8AD85E9C-4E97-43ED-BF90-DA8D3063E0F3}"/>
    <cellStyle name="Normal 2 4 7 2 2 2 2 3" xfId="34333" xr:uid="{76D75B1F-BBD4-4533-AC48-B342093145CA}"/>
    <cellStyle name="Normal 2 4 7 2 2 2 2 4" xfId="25885" xr:uid="{29C541F5-4949-4148-817D-F96D942B84DE}"/>
    <cellStyle name="Normal 2 4 7 2 2 2 2 5" xfId="16588" xr:uid="{92EB5831-1251-432D-9927-11D3BE7E19D4}"/>
    <cellStyle name="Normal 2 4 7 2 2 2 3" xfId="38563" xr:uid="{670A35BF-7006-4FA1-9A0A-539ECD6B1FC1}"/>
    <cellStyle name="Normal 2 4 7 2 2 2 4" xfId="30115" xr:uid="{5FBE4E89-4DC7-40D4-8E94-C374C6B82914}"/>
    <cellStyle name="Normal 2 4 7 2 2 2 5" xfId="21668" xr:uid="{E97B325A-27F9-4553-94F7-1D48D851090B}"/>
    <cellStyle name="Normal 2 4 7 2 2 2 6" xfId="12371" xr:uid="{09CB5277-1970-46B3-9763-13594A1B90DE}"/>
    <cellStyle name="Normal 2 4 7 2 2 3" xfId="5117" xr:uid="{00000000-0005-0000-0000-0000DA100000}"/>
    <cellStyle name="Normal 2 4 7 2 2 3 2" xfId="40635" xr:uid="{2192A71F-5DA7-4F6D-BF39-5ED04A59FA33}"/>
    <cellStyle name="Normal 2 4 7 2 2 3 3" xfId="32188" xr:uid="{71D317B7-D748-4394-A3E3-7DCC8F9E1176}"/>
    <cellStyle name="Normal 2 4 7 2 2 3 4" xfId="23740" xr:uid="{2589FE9C-E68B-42E8-ABDF-FCC168DCF490}"/>
    <cellStyle name="Normal 2 4 7 2 2 3 5" xfId="14443" xr:uid="{D93C41F8-F6E6-41BB-A440-200BEE915E0A}"/>
    <cellStyle name="Normal 2 4 7 2 2 4" xfId="9483" xr:uid="{3D7EFF6F-050D-4214-91CB-DF2673F23584}"/>
    <cellStyle name="Normal 2 4 7 2 2 4 2" xfId="36418" xr:uid="{49097B66-EC2C-43E7-8C52-998A51A72ED5}"/>
    <cellStyle name="Normal 2 4 7 2 2 4 3" xfId="18796" xr:uid="{5DCBCCB5-0F58-423A-A49E-4908295C6056}"/>
    <cellStyle name="Normal 2 4 7 2 2 5" xfId="27970" xr:uid="{B7416AE9-DE01-4812-B0C4-3AB94B515720}"/>
    <cellStyle name="Normal 2 4 7 2 2 6" xfId="19523" xr:uid="{DCDF5F81-8D41-44E5-A300-AE68641BF9E8}"/>
    <cellStyle name="Normal 2 4 7 2 2 7" xfId="10226" xr:uid="{219F4119-2706-430B-9474-BBCE9676B3E3}"/>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43193" xr:uid="{A1B44884-92F5-4DAB-B487-0FDA6EF3E12D}"/>
    <cellStyle name="Normal 2 4 7 2 3 2 2 3" xfId="34746" xr:uid="{214E3169-84EF-4DC7-B15E-B56D1508CAE3}"/>
    <cellStyle name="Normal 2 4 7 2 3 2 2 4" xfId="26298" xr:uid="{42B552F7-6193-47C0-BC16-B92583D4E2D5}"/>
    <cellStyle name="Normal 2 4 7 2 3 2 2 5" xfId="17001" xr:uid="{7096D267-2260-47E4-9AD0-0025FB2E1F13}"/>
    <cellStyle name="Normal 2 4 7 2 3 2 3" xfId="38976" xr:uid="{F4444D01-7C64-4DC3-BDA7-0FEDF3491428}"/>
    <cellStyle name="Normal 2 4 7 2 3 2 4" xfId="30528" xr:uid="{26C62CE4-A3A9-4C9A-990F-473117318571}"/>
    <cellStyle name="Normal 2 4 7 2 3 2 5" xfId="22081" xr:uid="{DCDA2199-6F17-467C-B1A0-DFF89AF2ED95}"/>
    <cellStyle name="Normal 2 4 7 2 3 2 6" xfId="12784" xr:uid="{724ADEDF-B915-47FB-81FC-6C59221640DB}"/>
    <cellStyle name="Normal 2 4 7 2 3 3" xfId="5530" xr:uid="{00000000-0005-0000-0000-0000DE100000}"/>
    <cellStyle name="Normal 2 4 7 2 3 3 2" xfId="41048" xr:uid="{3867A9C6-6E8F-4FD6-AB88-2A3C0CA8D867}"/>
    <cellStyle name="Normal 2 4 7 2 3 3 3" xfId="32601" xr:uid="{92191016-28D8-49E3-A6A4-C0DBF8089470}"/>
    <cellStyle name="Normal 2 4 7 2 3 3 4" xfId="24153" xr:uid="{6EC0211A-F3F5-4946-B4D8-1D369FEC95B1}"/>
    <cellStyle name="Normal 2 4 7 2 3 3 5" xfId="14856" xr:uid="{23CE21BD-4D65-4AE6-85D7-6D515EF4B61B}"/>
    <cellStyle name="Normal 2 4 7 2 3 4" xfId="36831" xr:uid="{36F7EE33-6AAE-4FAB-924F-A03817552652}"/>
    <cellStyle name="Normal 2 4 7 2 3 5" xfId="28383" xr:uid="{F2C8A0CD-4A93-4BF4-A019-B7CEB64E7E54}"/>
    <cellStyle name="Normal 2 4 7 2 3 6" xfId="19936" xr:uid="{FB126E94-2457-404D-8585-C0F69BA59AF0}"/>
    <cellStyle name="Normal 2 4 7 2 3 7" xfId="10639" xr:uid="{CF51706B-77A5-4E96-B671-C0BF6B7BA243}"/>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43606" xr:uid="{C8DCC8E4-ACE5-4748-9BB7-C549EF0CE6E4}"/>
    <cellStyle name="Normal 2 4 7 2 4 2 2 3" xfId="35159" xr:uid="{DFD8772B-5C71-4386-9AC9-46279A0BB390}"/>
    <cellStyle name="Normal 2 4 7 2 4 2 2 4" xfId="26711" xr:uid="{CC8E57F8-7C14-47AD-A937-3BA7E3FABEF1}"/>
    <cellStyle name="Normal 2 4 7 2 4 2 2 5" xfId="17414" xr:uid="{A279573F-D331-4715-A65B-254E29399532}"/>
    <cellStyle name="Normal 2 4 7 2 4 2 3" xfId="39389" xr:uid="{EF2F1D2E-6293-4A96-B00F-82885C58C69F}"/>
    <cellStyle name="Normal 2 4 7 2 4 2 4" xfId="30941" xr:uid="{7B61043C-4005-4C6A-87DF-1861190C1582}"/>
    <cellStyle name="Normal 2 4 7 2 4 2 5" xfId="22494" xr:uid="{B43E43EF-3CF2-423E-862D-034F5472F9E6}"/>
    <cellStyle name="Normal 2 4 7 2 4 2 6" xfId="13197" xr:uid="{D9FBE456-E7F2-4500-BBFF-D8FA03410494}"/>
    <cellStyle name="Normal 2 4 7 2 4 3" xfId="5943" xr:uid="{00000000-0005-0000-0000-0000E2100000}"/>
    <cellStyle name="Normal 2 4 7 2 4 3 2" xfId="41461" xr:uid="{A995D80F-2881-415C-BE23-01C86770E705}"/>
    <cellStyle name="Normal 2 4 7 2 4 3 3" xfId="33014" xr:uid="{AC259530-C4C8-4B16-8BDA-C80FD43333C5}"/>
    <cellStyle name="Normal 2 4 7 2 4 3 4" xfId="24566" xr:uid="{26491DD8-83ED-4145-8017-5583ED13AAED}"/>
    <cellStyle name="Normal 2 4 7 2 4 3 5" xfId="15269" xr:uid="{5BECB6E9-6B20-4C8D-8ED1-80A369CFC992}"/>
    <cellStyle name="Normal 2 4 7 2 4 4" xfId="37244" xr:uid="{49B796F5-8E6F-4F5B-A256-25C76B8F4959}"/>
    <cellStyle name="Normal 2 4 7 2 4 5" xfId="28796" xr:uid="{D6390088-9C34-4574-8D94-46E31258E780}"/>
    <cellStyle name="Normal 2 4 7 2 4 6" xfId="20349" xr:uid="{88D78079-A5BE-4B78-B1CC-ED50D0DFC05E}"/>
    <cellStyle name="Normal 2 4 7 2 4 7" xfId="11052" xr:uid="{796F13B2-6364-4099-B859-A6CBFA074537}"/>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44019" xr:uid="{12317579-BBA0-47DE-A96D-0227EE6D4936}"/>
    <cellStyle name="Normal 2 4 7 2 5 2 2 3" xfId="35572" xr:uid="{2743EFE9-025D-4D83-ABC0-FE9E5A14FD02}"/>
    <cellStyle name="Normal 2 4 7 2 5 2 2 4" xfId="27124" xr:uid="{43A6C5F1-D513-4B96-AA87-E5F4887F1081}"/>
    <cellStyle name="Normal 2 4 7 2 5 2 2 5" xfId="17827" xr:uid="{0A66431B-85ED-442A-B10E-1E2EC3776EB4}"/>
    <cellStyle name="Normal 2 4 7 2 5 2 3" xfId="39802" xr:uid="{51DBF7BD-EEE6-40A0-8B80-082281D0A605}"/>
    <cellStyle name="Normal 2 4 7 2 5 2 4" xfId="31354" xr:uid="{82485D09-E4A5-4AA5-8595-8CE894266E56}"/>
    <cellStyle name="Normal 2 4 7 2 5 2 5" xfId="22907" xr:uid="{A5E77AEA-E167-4A88-9EDE-737DF9BF639D}"/>
    <cellStyle name="Normal 2 4 7 2 5 2 6" xfId="13610" xr:uid="{46E0D16F-5003-47A9-9FB5-FF60575499D6}"/>
    <cellStyle name="Normal 2 4 7 2 5 3" xfId="6356" xr:uid="{00000000-0005-0000-0000-0000E6100000}"/>
    <cellStyle name="Normal 2 4 7 2 5 3 2" xfId="41874" xr:uid="{57897D07-1A4F-415A-A98C-BFE71EADA7E1}"/>
    <cellStyle name="Normal 2 4 7 2 5 3 3" xfId="33427" xr:uid="{7FF15AAE-9A34-4A7B-B0CB-5DFDD385BAC9}"/>
    <cellStyle name="Normal 2 4 7 2 5 3 4" xfId="24979" xr:uid="{F96A3D3D-9EF3-40D7-9956-6A10A9020CBB}"/>
    <cellStyle name="Normal 2 4 7 2 5 3 5" xfId="15682" xr:uid="{83F046E9-590A-4C48-8ADE-21D2B344500C}"/>
    <cellStyle name="Normal 2 4 7 2 5 4" xfId="37657" xr:uid="{EDFDA889-3FBB-4D16-9FA5-09EBCFA49885}"/>
    <cellStyle name="Normal 2 4 7 2 5 5" xfId="29209" xr:uid="{4C791029-5745-48FD-B4D5-926714ECBA66}"/>
    <cellStyle name="Normal 2 4 7 2 5 6" xfId="20762" xr:uid="{533DF85B-C2B9-4618-A8AE-1CDF5CD20259}"/>
    <cellStyle name="Normal 2 4 7 2 5 7" xfId="11465" xr:uid="{0AAEC91E-8D2D-47F5-AA20-CB759FDAA3B5}"/>
    <cellStyle name="Normal 2 4 7 2 6" xfId="2486" xr:uid="{00000000-0005-0000-0000-0000E7100000}"/>
    <cellStyle name="Normal 2 4 7 2 6 2" xfId="6769" xr:uid="{00000000-0005-0000-0000-0000E8100000}"/>
    <cellStyle name="Normal 2 4 7 2 6 2 2" xfId="42287" xr:uid="{9C8061B4-D26B-4906-B8E5-5EEB70252EED}"/>
    <cellStyle name="Normal 2 4 7 2 6 2 3" xfId="33840" xr:uid="{A4D8FDF8-1CC7-41CB-AA88-23324EA58BBC}"/>
    <cellStyle name="Normal 2 4 7 2 6 2 4" xfId="25392" xr:uid="{1EDDD6C8-1E66-4E20-8FFC-564AF0E765E5}"/>
    <cellStyle name="Normal 2 4 7 2 6 2 5" xfId="16095" xr:uid="{59366976-F6EC-4FAC-B9CD-B631470E9065}"/>
    <cellStyle name="Normal 2 4 7 2 6 3" xfId="38070" xr:uid="{C36C8AB0-6BA6-4352-ABF2-F41292D78608}"/>
    <cellStyle name="Normal 2 4 7 2 6 4" xfId="29622" xr:uid="{D5C97BB8-1DAA-4194-9C5B-2FB8BC045170}"/>
    <cellStyle name="Normal 2 4 7 2 6 5" xfId="21175" xr:uid="{47200F5C-3DDD-4A55-9395-8FDA4B8F3668}"/>
    <cellStyle name="Normal 2 4 7 2 6 6" xfId="11878" xr:uid="{9E3245DD-DCC3-41E4-A684-46C00E770053}"/>
    <cellStyle name="Normal 2 4 7 2 7" xfId="4703" xr:uid="{00000000-0005-0000-0000-0000E9100000}"/>
    <cellStyle name="Normal 2 4 7 2 7 2" xfId="40221" xr:uid="{3A61DD49-84A9-4012-A496-A7C4B95F0790}"/>
    <cellStyle name="Normal 2 4 7 2 7 3" xfId="31774" xr:uid="{46E2140F-48B9-43CC-A359-2E2A5CF49B46}"/>
    <cellStyle name="Normal 2 4 7 2 7 4" xfId="23326" xr:uid="{BA7CF207-3FA6-4C60-886F-DC506B06F14C}"/>
    <cellStyle name="Normal 2 4 7 2 7 5" xfId="14029" xr:uid="{7CAD429C-9680-4315-BE4E-67923EE99BEC}"/>
    <cellStyle name="Normal 2 4 7 2 8" xfId="9058" xr:uid="{FCEC438E-EF6A-4A00-BFE3-0DA309169A82}"/>
    <cellStyle name="Normal 2 4 7 2 8 2" xfId="36004" xr:uid="{B4C405FB-B4E7-41AC-B99A-E9D7DAC5D4B1}"/>
    <cellStyle name="Normal 2 4 7 2 8 3" xfId="18381" xr:uid="{6AF572AC-B2B4-48EE-AD77-F4F635979E71}"/>
    <cellStyle name="Normal 2 4 7 2 9" xfId="27556" xr:uid="{F64FA230-FD34-4C75-85C4-5088C92D935A}"/>
    <cellStyle name="Normal 2 4 7 3" xfId="800" xr:uid="{00000000-0005-0000-0000-0000EA100000}"/>
    <cellStyle name="Normal 2 4 7 3 2" xfId="3039" xr:uid="{00000000-0005-0000-0000-0000EB100000}"/>
    <cellStyle name="Normal 2 4 7 3 2 2" xfId="7261" xr:uid="{00000000-0005-0000-0000-0000EC100000}"/>
    <cellStyle name="Normal 2 4 7 3 2 2 2" xfId="42779" xr:uid="{4B7F3833-5D4C-4391-AD53-4CFFB0DA0A2E}"/>
    <cellStyle name="Normal 2 4 7 3 2 2 3" xfId="34332" xr:uid="{48D6D52D-3CAB-4D7B-92DB-D9F320B37A52}"/>
    <cellStyle name="Normal 2 4 7 3 2 2 4" xfId="25884" xr:uid="{A89FC1B6-5C88-42C6-8A80-9C9467EAB91B}"/>
    <cellStyle name="Normal 2 4 7 3 2 2 5" xfId="16587" xr:uid="{F1AA5520-B03F-4273-A40D-9536379EBA2E}"/>
    <cellStyle name="Normal 2 4 7 3 2 3" xfId="38562" xr:uid="{CF46939F-7DB5-47AB-9D9D-3D776B99E556}"/>
    <cellStyle name="Normal 2 4 7 3 2 4" xfId="30114" xr:uid="{DF8E1318-322C-400B-8C62-9D28A14FBBC3}"/>
    <cellStyle name="Normal 2 4 7 3 2 5" xfId="21667" xr:uid="{BB053B55-E0FA-4446-9687-5B52DF1F015B}"/>
    <cellStyle name="Normal 2 4 7 3 2 6" xfId="12370" xr:uid="{4E532609-7F10-42F6-BE33-6528F527CE8F}"/>
    <cellStyle name="Normal 2 4 7 3 3" xfId="5116" xr:uid="{00000000-0005-0000-0000-0000ED100000}"/>
    <cellStyle name="Normal 2 4 7 3 3 2" xfId="40634" xr:uid="{4EA3CAB8-C660-4F20-AAD2-EB39DA3D55CC}"/>
    <cellStyle name="Normal 2 4 7 3 3 3" xfId="32187" xr:uid="{29F9066F-25C4-4A15-B826-A5838F4A0708}"/>
    <cellStyle name="Normal 2 4 7 3 3 4" xfId="23739" xr:uid="{BDB17F17-DFDF-4538-AED3-23622C82256B}"/>
    <cellStyle name="Normal 2 4 7 3 3 5" xfId="14442" xr:uid="{971E0843-95C9-4561-9B4C-8863599E1503}"/>
    <cellStyle name="Normal 2 4 7 3 4" xfId="9276" xr:uid="{90A81E61-1719-41E4-8673-7681E805C2E0}"/>
    <cellStyle name="Normal 2 4 7 3 4 2" xfId="36417" xr:uid="{B6CA0662-8C35-438D-8098-B36066977152}"/>
    <cellStyle name="Normal 2 4 7 3 4 3" xfId="18589" xr:uid="{6B95D5D1-CDCD-41B7-954F-E442D7DF342D}"/>
    <cellStyle name="Normal 2 4 7 3 5" xfId="27969" xr:uid="{CDB54B17-F76A-4BB1-84A4-88EEA3F7DF06}"/>
    <cellStyle name="Normal 2 4 7 3 6" xfId="19522" xr:uid="{D2AB7254-BF2D-49E9-9F70-34F6F0E2911C}"/>
    <cellStyle name="Normal 2 4 7 3 7" xfId="10225" xr:uid="{AE3E5542-C4A1-482C-970E-12680EBC5A0D}"/>
    <cellStyle name="Normal 2 4 7 4" xfId="1222" xr:uid="{00000000-0005-0000-0000-0000EE100000}"/>
    <cellStyle name="Normal 2 4 7 4 2" xfId="3452" xr:uid="{00000000-0005-0000-0000-0000EF100000}"/>
    <cellStyle name="Normal 2 4 7 4 2 2" xfId="7674" xr:uid="{00000000-0005-0000-0000-0000F0100000}"/>
    <cellStyle name="Normal 2 4 7 4 2 2 2" xfId="43192" xr:uid="{BCDAC272-1BB3-4997-811A-61CE4EDF315C}"/>
    <cellStyle name="Normal 2 4 7 4 2 2 3" xfId="34745" xr:uid="{912D95E1-C58F-4F23-B967-39656A0D0CDC}"/>
    <cellStyle name="Normal 2 4 7 4 2 2 4" xfId="26297" xr:uid="{A3957F67-ABCC-4591-8235-76253E5FAF6A}"/>
    <cellStyle name="Normal 2 4 7 4 2 2 5" xfId="17000" xr:uid="{3079292E-AA02-4EF3-ACCA-79A7FAE920F7}"/>
    <cellStyle name="Normal 2 4 7 4 2 3" xfId="38975" xr:uid="{BFDD9686-0ED8-4F67-81E3-2764CA07BC47}"/>
    <cellStyle name="Normal 2 4 7 4 2 4" xfId="30527" xr:uid="{10817C54-9F55-4E65-AEB4-FEB05EE768FA}"/>
    <cellStyle name="Normal 2 4 7 4 2 5" xfId="22080" xr:uid="{8741085C-DE9A-437D-89BF-7F7690A13EB4}"/>
    <cellStyle name="Normal 2 4 7 4 2 6" xfId="12783" xr:uid="{9DEE46F8-2A49-4A42-B73F-E1D9DBEFC591}"/>
    <cellStyle name="Normal 2 4 7 4 3" xfId="5529" xr:uid="{00000000-0005-0000-0000-0000F1100000}"/>
    <cellStyle name="Normal 2 4 7 4 3 2" xfId="41047" xr:uid="{24CCD813-788A-46CA-B9DC-D4813F3ABA1E}"/>
    <cellStyle name="Normal 2 4 7 4 3 3" xfId="32600" xr:uid="{DC946051-8E61-424B-8491-AE79BA13082C}"/>
    <cellStyle name="Normal 2 4 7 4 3 4" xfId="24152" xr:uid="{4FFA86ED-E97D-40D7-8DF3-907C7B188397}"/>
    <cellStyle name="Normal 2 4 7 4 3 5" xfId="14855" xr:uid="{48F2F7D6-59E2-489A-BD5F-18C13C8978E0}"/>
    <cellStyle name="Normal 2 4 7 4 4" xfId="36830" xr:uid="{214B716E-D986-41E6-ABA0-458C8E0E1272}"/>
    <cellStyle name="Normal 2 4 7 4 5" xfId="28382" xr:uid="{BAC214B0-3F0C-4CB3-8C36-B5ECDF6447FA}"/>
    <cellStyle name="Normal 2 4 7 4 6" xfId="19935" xr:uid="{76271ADC-0485-4212-B7FF-4BB0DB7BCED2}"/>
    <cellStyle name="Normal 2 4 7 4 7" xfId="10638" xr:uid="{1D7EFB2A-5938-4784-B985-B2FC93BCA204}"/>
    <cellStyle name="Normal 2 4 7 5" xfId="1635" xr:uid="{00000000-0005-0000-0000-0000F2100000}"/>
    <cellStyle name="Normal 2 4 7 5 2" xfId="3865" xr:uid="{00000000-0005-0000-0000-0000F3100000}"/>
    <cellStyle name="Normal 2 4 7 5 2 2" xfId="8087" xr:uid="{00000000-0005-0000-0000-0000F4100000}"/>
    <cellStyle name="Normal 2 4 7 5 2 2 2" xfId="43605" xr:uid="{530CD35C-B0B9-489D-977E-05DAE9133919}"/>
    <cellStyle name="Normal 2 4 7 5 2 2 3" xfId="35158" xr:uid="{3777170E-B6DC-4D50-B826-E0A4EBE3BAC9}"/>
    <cellStyle name="Normal 2 4 7 5 2 2 4" xfId="26710" xr:uid="{0E7A869C-C086-4D8C-AD26-DE6012D39FAF}"/>
    <cellStyle name="Normal 2 4 7 5 2 2 5" xfId="17413" xr:uid="{A4134D47-BF95-4AF3-BC0E-B2304265E5E9}"/>
    <cellStyle name="Normal 2 4 7 5 2 3" xfId="39388" xr:uid="{DCDD0042-8E95-4E23-8B20-C354BDBF2A36}"/>
    <cellStyle name="Normal 2 4 7 5 2 4" xfId="30940" xr:uid="{CC7473A1-68CD-4DD6-8037-A88FAC03E593}"/>
    <cellStyle name="Normal 2 4 7 5 2 5" xfId="22493" xr:uid="{CB141B0B-5186-4041-BE3B-9EBCB5B38487}"/>
    <cellStyle name="Normal 2 4 7 5 2 6" xfId="13196" xr:uid="{8C5A1F2C-F602-4F71-8DE7-8921B3F5E5B7}"/>
    <cellStyle name="Normal 2 4 7 5 3" xfId="5942" xr:uid="{00000000-0005-0000-0000-0000F5100000}"/>
    <cellStyle name="Normal 2 4 7 5 3 2" xfId="41460" xr:uid="{CFB72B9A-408C-46A8-B75B-8C3DB23C4FB6}"/>
    <cellStyle name="Normal 2 4 7 5 3 3" xfId="33013" xr:uid="{167D00BC-DC9B-4A2B-B99D-09F46B7E596B}"/>
    <cellStyle name="Normal 2 4 7 5 3 4" xfId="24565" xr:uid="{CB389CBF-E70D-4AAC-8104-D10DBF371DE2}"/>
    <cellStyle name="Normal 2 4 7 5 3 5" xfId="15268" xr:uid="{1A31690D-732F-47C1-9B51-B8E5C41ED0B6}"/>
    <cellStyle name="Normal 2 4 7 5 4" xfId="37243" xr:uid="{751B4FB4-BCAF-44B2-8C6A-9ED193FF26BA}"/>
    <cellStyle name="Normal 2 4 7 5 5" xfId="28795" xr:uid="{3D26F032-756F-4761-82B0-618629B6454A}"/>
    <cellStyle name="Normal 2 4 7 5 6" xfId="20348" xr:uid="{9FFE0064-BC6F-47C9-9478-BAC9E6EBE685}"/>
    <cellStyle name="Normal 2 4 7 5 7" xfId="11051" xr:uid="{F1CBF5F2-EF4E-4124-AC5B-0FC89C1FA62D}"/>
    <cellStyle name="Normal 2 4 7 6" xfId="2049" xr:uid="{00000000-0005-0000-0000-0000F6100000}"/>
    <cellStyle name="Normal 2 4 7 6 2" xfId="4278" xr:uid="{00000000-0005-0000-0000-0000F7100000}"/>
    <cellStyle name="Normal 2 4 7 6 2 2" xfId="8500" xr:uid="{00000000-0005-0000-0000-0000F8100000}"/>
    <cellStyle name="Normal 2 4 7 6 2 2 2" xfId="44018" xr:uid="{E52C2F61-76F6-4253-AD1C-84B8E16C163E}"/>
    <cellStyle name="Normal 2 4 7 6 2 2 3" xfId="35571" xr:uid="{DD5D2EFF-DA88-4200-B5F3-0895DD7C0823}"/>
    <cellStyle name="Normal 2 4 7 6 2 2 4" xfId="27123" xr:uid="{43084FE4-51F7-44D9-86FF-71182B6D2E1F}"/>
    <cellStyle name="Normal 2 4 7 6 2 2 5" xfId="17826" xr:uid="{9431AC1E-A58E-42C5-92F0-A1C2D78EBCAA}"/>
    <cellStyle name="Normal 2 4 7 6 2 3" xfId="39801" xr:uid="{2F1C4E37-8EF4-4D65-AFA4-F76BAD6FE0D0}"/>
    <cellStyle name="Normal 2 4 7 6 2 4" xfId="31353" xr:uid="{FDB68145-5ED9-4215-A80C-10DDE6C82F1F}"/>
    <cellStyle name="Normal 2 4 7 6 2 5" xfId="22906" xr:uid="{56605E8A-CC14-49BA-97D8-4913DC345707}"/>
    <cellStyle name="Normal 2 4 7 6 2 6" xfId="13609" xr:uid="{39C74632-67DD-43DC-BF2C-2D5DE7117E48}"/>
    <cellStyle name="Normal 2 4 7 6 3" xfId="6355" xr:uid="{00000000-0005-0000-0000-0000F9100000}"/>
    <cellStyle name="Normal 2 4 7 6 3 2" xfId="41873" xr:uid="{51DCEC79-95F6-4A61-95A5-F0583A8A326B}"/>
    <cellStyle name="Normal 2 4 7 6 3 3" xfId="33426" xr:uid="{711896A5-3E78-4A2F-AC32-64E763071BD5}"/>
    <cellStyle name="Normal 2 4 7 6 3 4" xfId="24978" xr:uid="{D23E2952-9205-4B6C-AF65-688F3F42D1F8}"/>
    <cellStyle name="Normal 2 4 7 6 3 5" xfId="15681" xr:uid="{F893E914-5650-4B72-A1A0-8ECB6CCAD2FE}"/>
    <cellStyle name="Normal 2 4 7 6 4" xfId="37656" xr:uid="{68A5B49E-ECDA-4F9E-887D-788C82A87205}"/>
    <cellStyle name="Normal 2 4 7 6 5" xfId="29208" xr:uid="{FBEB2426-9670-485B-8825-A5413AFA16A7}"/>
    <cellStyle name="Normal 2 4 7 6 6" xfId="20761" xr:uid="{DE879E53-7B64-4D63-B319-AB13CD85D5EC}"/>
    <cellStyle name="Normal 2 4 7 6 7" xfId="11464" xr:uid="{1BB3878F-067B-47B2-9430-D6909ED8C85F}"/>
    <cellStyle name="Normal 2 4 7 7" xfId="2485" xr:uid="{00000000-0005-0000-0000-0000FA100000}"/>
    <cellStyle name="Normal 2 4 7 7 2" xfId="6768" xr:uid="{00000000-0005-0000-0000-0000FB100000}"/>
    <cellStyle name="Normal 2 4 7 7 2 2" xfId="42286" xr:uid="{4CD58BBE-BA86-4514-967F-79449978F0C3}"/>
    <cellStyle name="Normal 2 4 7 7 2 3" xfId="33839" xr:uid="{479A80B8-6F92-46D7-92DA-2782CF222D2B}"/>
    <cellStyle name="Normal 2 4 7 7 2 4" xfId="25391" xr:uid="{13A96596-3F7B-4375-855B-2476385057E9}"/>
    <cellStyle name="Normal 2 4 7 7 2 5" xfId="16094" xr:uid="{699172AA-09D9-439D-A0C5-6239FFCFB467}"/>
    <cellStyle name="Normal 2 4 7 7 3" xfId="38069" xr:uid="{D9AE0391-520B-41E1-90A0-1F6F30D289A4}"/>
    <cellStyle name="Normal 2 4 7 7 4" xfId="29621" xr:uid="{2AE0AD9D-DE57-4749-8611-8DBD795D56BC}"/>
    <cellStyle name="Normal 2 4 7 7 5" xfId="21174" xr:uid="{6F120B57-E4C1-42F8-83C8-6A772716DD39}"/>
    <cellStyle name="Normal 2 4 7 7 6" xfId="11877" xr:uid="{35CC8929-805E-46D8-837B-9E961B9B1854}"/>
    <cellStyle name="Normal 2 4 7 8" xfId="4702" xr:uid="{00000000-0005-0000-0000-0000FC100000}"/>
    <cellStyle name="Normal 2 4 7 8 2" xfId="40220" xr:uid="{DB755826-8560-4809-8832-C5434FD309F2}"/>
    <cellStyle name="Normal 2 4 7 8 3" xfId="31773" xr:uid="{56604B4A-A954-4DBA-B470-0AC0D8E0A2CF}"/>
    <cellStyle name="Normal 2 4 7 8 4" xfId="23325" xr:uid="{466F1193-3946-4616-95DB-B040270541C3}"/>
    <cellStyle name="Normal 2 4 7 8 5" xfId="14028" xr:uid="{C7181463-980B-4638-8236-3C010FE83FCD}"/>
    <cellStyle name="Normal 2 4 7 9" xfId="8851" xr:uid="{6946A6C1-9296-4D8F-B36F-8F7964FD7AC6}"/>
    <cellStyle name="Normal 2 4 7 9 2" xfId="36003" xr:uid="{6676DFF5-08A5-4E1F-A42D-C9BEDB2C50B5}"/>
    <cellStyle name="Normal 2 4 7 9 3" xfId="18174" xr:uid="{2F860386-E713-480C-84A6-16FC3918A62E}"/>
    <cellStyle name="Normal 2 4 8" xfId="314" xr:uid="{00000000-0005-0000-0000-0000FD100000}"/>
    <cellStyle name="Normal 2 4 8 10" xfId="19110" xr:uid="{FE7953AC-3DDD-4D47-BA0D-A55E13846302}"/>
    <cellStyle name="Normal 2 4 8 11" xfId="9813" xr:uid="{93ABD9E3-0F93-4FFA-A616-AEBBD51CE848}"/>
    <cellStyle name="Normal 2 4 8 2" xfId="802" xr:uid="{00000000-0005-0000-0000-0000FE100000}"/>
    <cellStyle name="Normal 2 4 8 2 2" xfId="3041" xr:uid="{00000000-0005-0000-0000-0000FF100000}"/>
    <cellStyle name="Normal 2 4 8 2 2 2" xfId="7263" xr:uid="{00000000-0005-0000-0000-000000110000}"/>
    <cellStyle name="Normal 2 4 8 2 2 2 2" xfId="42781" xr:uid="{A4D1D01B-80CC-4C3C-9E2C-368AB4AB09EB}"/>
    <cellStyle name="Normal 2 4 8 2 2 2 3" xfId="34334" xr:uid="{0010A0E1-B584-4A10-B468-BDFA04AF97F1}"/>
    <cellStyle name="Normal 2 4 8 2 2 2 4" xfId="25886" xr:uid="{C64B6FE4-5F97-4AA5-A97D-A44B9CD993AF}"/>
    <cellStyle name="Normal 2 4 8 2 2 2 5" xfId="16589" xr:uid="{D8735547-2540-4738-A21A-26553821652B}"/>
    <cellStyle name="Normal 2 4 8 2 2 3" xfId="38564" xr:uid="{99C9A4A1-6AB2-4991-A6C9-0388B4A91F68}"/>
    <cellStyle name="Normal 2 4 8 2 2 4" xfId="30116" xr:uid="{2958E868-0609-44B9-97FF-A245A5518E1A}"/>
    <cellStyle name="Normal 2 4 8 2 2 5" xfId="21669" xr:uid="{515DF54D-DD21-4CEC-90DC-3FAD8868BDED}"/>
    <cellStyle name="Normal 2 4 8 2 2 6" xfId="12372" xr:uid="{95D34570-F3F4-4FF7-B9DE-26FDD9AF7394}"/>
    <cellStyle name="Normal 2 4 8 2 3" xfId="5118" xr:uid="{00000000-0005-0000-0000-000001110000}"/>
    <cellStyle name="Normal 2 4 8 2 3 2" xfId="40636" xr:uid="{3BD9AE05-13CE-44AD-A841-F4515E07D24E}"/>
    <cellStyle name="Normal 2 4 8 2 3 3" xfId="32189" xr:uid="{7DD0A8B2-30AD-4A67-BAD4-DC1A77C62E42}"/>
    <cellStyle name="Normal 2 4 8 2 3 4" xfId="23741" xr:uid="{4E53D32E-2AAB-4B12-B30C-D5CC240DD673}"/>
    <cellStyle name="Normal 2 4 8 2 3 5" xfId="14444" xr:uid="{6B4974D3-5403-4356-B6A7-B48918E1F3BD}"/>
    <cellStyle name="Normal 2 4 8 2 4" xfId="9392" xr:uid="{812B973E-E5C9-43CD-85B0-C8CA30BD9BF3}"/>
    <cellStyle name="Normal 2 4 8 2 4 2" xfId="36419" xr:uid="{51ACC8EA-DC2F-4E75-AA6D-4F01CE9C3A9E}"/>
    <cellStyle name="Normal 2 4 8 2 4 3" xfId="18705" xr:uid="{12BBB3C9-5752-41E6-8C43-07B94C70A629}"/>
    <cellStyle name="Normal 2 4 8 2 5" xfId="27971" xr:uid="{7208666E-F8A0-4211-BE17-4EFC68574D9E}"/>
    <cellStyle name="Normal 2 4 8 2 6" xfId="19524" xr:uid="{46DF5266-E045-420C-A67D-DF8D21B21EA2}"/>
    <cellStyle name="Normal 2 4 8 2 7" xfId="10227" xr:uid="{08AE40E6-8E53-4D98-B0FE-98C3043F1BCE}"/>
    <cellStyle name="Normal 2 4 8 3" xfId="1224" xr:uid="{00000000-0005-0000-0000-000002110000}"/>
    <cellStyle name="Normal 2 4 8 3 2" xfId="3454" xr:uid="{00000000-0005-0000-0000-000003110000}"/>
    <cellStyle name="Normal 2 4 8 3 2 2" xfId="7676" xr:uid="{00000000-0005-0000-0000-000004110000}"/>
    <cellStyle name="Normal 2 4 8 3 2 2 2" xfId="43194" xr:uid="{21501FDA-0792-4B47-83B2-4B78EC2A78F8}"/>
    <cellStyle name="Normal 2 4 8 3 2 2 3" xfId="34747" xr:uid="{00FFD1B3-4FD1-4DFD-8315-866C13CAD9B0}"/>
    <cellStyle name="Normal 2 4 8 3 2 2 4" xfId="26299" xr:uid="{60ACB5E0-1619-4147-97BB-9F9B43FB852F}"/>
    <cellStyle name="Normal 2 4 8 3 2 2 5" xfId="17002" xr:uid="{A11A3092-10E7-468A-AEFB-628CE2BFF011}"/>
    <cellStyle name="Normal 2 4 8 3 2 3" xfId="38977" xr:uid="{2DC3324B-B59B-4BF8-AAC5-D14DE559B937}"/>
    <cellStyle name="Normal 2 4 8 3 2 4" xfId="30529" xr:uid="{B660BD75-B17F-420B-87A6-A5B99C049D13}"/>
    <cellStyle name="Normal 2 4 8 3 2 5" xfId="22082" xr:uid="{CA847A55-2E05-4FDD-AB98-8EF17B126FAE}"/>
    <cellStyle name="Normal 2 4 8 3 2 6" xfId="12785" xr:uid="{E3134056-DD88-4201-97AB-8E52DDE0F2B0}"/>
    <cellStyle name="Normal 2 4 8 3 3" xfId="5531" xr:uid="{00000000-0005-0000-0000-000005110000}"/>
    <cellStyle name="Normal 2 4 8 3 3 2" xfId="41049" xr:uid="{71D3A12F-6963-408E-8A7C-2C52FE04250C}"/>
    <cellStyle name="Normal 2 4 8 3 3 3" xfId="32602" xr:uid="{B9A3E87C-4590-4DCC-8208-0B99B8252C94}"/>
    <cellStyle name="Normal 2 4 8 3 3 4" xfId="24154" xr:uid="{71A2852D-2089-4A1C-934A-70994E7C99FC}"/>
    <cellStyle name="Normal 2 4 8 3 3 5" xfId="14857" xr:uid="{4FC961BF-0264-451C-BAA0-B29446985458}"/>
    <cellStyle name="Normal 2 4 8 3 4" xfId="36832" xr:uid="{54802E0A-BDA8-43E9-8046-B89DC07D92A3}"/>
    <cellStyle name="Normal 2 4 8 3 5" xfId="28384" xr:uid="{592AB572-44B2-4BFD-A832-BB2827996C76}"/>
    <cellStyle name="Normal 2 4 8 3 6" xfId="19937" xr:uid="{33DDC9B0-1324-4CDB-B9B5-213AA1AEA219}"/>
    <cellStyle name="Normal 2 4 8 3 7" xfId="10640" xr:uid="{F54EEF73-1C2B-44A6-A0EF-72B77AC7A189}"/>
    <cellStyle name="Normal 2 4 8 4" xfId="1637" xr:uid="{00000000-0005-0000-0000-000006110000}"/>
    <cellStyle name="Normal 2 4 8 4 2" xfId="3867" xr:uid="{00000000-0005-0000-0000-000007110000}"/>
    <cellStyle name="Normal 2 4 8 4 2 2" xfId="8089" xr:uid="{00000000-0005-0000-0000-000008110000}"/>
    <cellStyle name="Normal 2 4 8 4 2 2 2" xfId="43607" xr:uid="{44F9E1BF-AE2C-4E34-892E-BEF938ADF3A2}"/>
    <cellStyle name="Normal 2 4 8 4 2 2 3" xfId="35160" xr:uid="{8B08E4D6-444C-4C99-9378-9EE760EC8291}"/>
    <cellStyle name="Normal 2 4 8 4 2 2 4" xfId="26712" xr:uid="{5D9E68CB-B718-4699-A530-57F027E43AE9}"/>
    <cellStyle name="Normal 2 4 8 4 2 2 5" xfId="17415" xr:uid="{4F4D11EF-85BD-4EDF-A4A6-9F01FA165241}"/>
    <cellStyle name="Normal 2 4 8 4 2 3" xfId="39390" xr:uid="{8E25D70A-A449-45D4-8ABB-7F0C87B2FFAC}"/>
    <cellStyle name="Normal 2 4 8 4 2 4" xfId="30942" xr:uid="{EC78E7D9-AEAF-4764-AB5E-69E36798B6E3}"/>
    <cellStyle name="Normal 2 4 8 4 2 5" xfId="22495" xr:uid="{8EF224BC-E59A-4BE0-98B6-CF9A58008A49}"/>
    <cellStyle name="Normal 2 4 8 4 2 6" xfId="13198" xr:uid="{02929785-B42A-4010-B895-25B18816AEE0}"/>
    <cellStyle name="Normal 2 4 8 4 3" xfId="5944" xr:uid="{00000000-0005-0000-0000-000009110000}"/>
    <cellStyle name="Normal 2 4 8 4 3 2" xfId="41462" xr:uid="{A45B34C3-2FD2-41CA-B7A1-B1984A358A4C}"/>
    <cellStyle name="Normal 2 4 8 4 3 3" xfId="33015" xr:uid="{C7F138AC-54C8-4673-B5C1-71802A7CB447}"/>
    <cellStyle name="Normal 2 4 8 4 3 4" xfId="24567" xr:uid="{5A656726-BEB8-4E70-89C4-F5E3DC6E547F}"/>
    <cellStyle name="Normal 2 4 8 4 3 5" xfId="15270" xr:uid="{8F918EFE-7548-4912-AB61-DAD5BD809511}"/>
    <cellStyle name="Normal 2 4 8 4 4" xfId="37245" xr:uid="{848C04AF-A99C-4ABD-94CC-9A030F0FFD3F}"/>
    <cellStyle name="Normal 2 4 8 4 5" xfId="28797" xr:uid="{8B045AEF-259E-46F3-9699-80FFC987A4A5}"/>
    <cellStyle name="Normal 2 4 8 4 6" xfId="20350" xr:uid="{7944418C-80B6-4BB2-AD98-9125C06DB9B6}"/>
    <cellStyle name="Normal 2 4 8 4 7" xfId="11053" xr:uid="{B067D2F9-F284-48F0-91AF-837D0136EF24}"/>
    <cellStyle name="Normal 2 4 8 5" xfId="2051" xr:uid="{00000000-0005-0000-0000-00000A110000}"/>
    <cellStyle name="Normal 2 4 8 5 2" xfId="4280" xr:uid="{00000000-0005-0000-0000-00000B110000}"/>
    <cellStyle name="Normal 2 4 8 5 2 2" xfId="8502" xr:uid="{00000000-0005-0000-0000-00000C110000}"/>
    <cellStyle name="Normal 2 4 8 5 2 2 2" xfId="44020" xr:uid="{458D3FE6-C334-4B13-BD7D-5119F2D4640D}"/>
    <cellStyle name="Normal 2 4 8 5 2 2 3" xfId="35573" xr:uid="{DDCD0C5E-34DD-41CE-83D7-90859AB34F6F}"/>
    <cellStyle name="Normal 2 4 8 5 2 2 4" xfId="27125" xr:uid="{649C297B-F4D0-4443-A839-4069A3B613FF}"/>
    <cellStyle name="Normal 2 4 8 5 2 2 5" xfId="17828" xr:uid="{5C654377-A0CD-46FB-831C-CCCCB6B58EC3}"/>
    <cellStyle name="Normal 2 4 8 5 2 3" xfId="39803" xr:uid="{2733D269-7120-41CD-B041-A09D4B59E408}"/>
    <cellStyle name="Normal 2 4 8 5 2 4" xfId="31355" xr:uid="{F28D77BC-ADB8-49C1-8458-BC7C766DA0A8}"/>
    <cellStyle name="Normal 2 4 8 5 2 5" xfId="22908" xr:uid="{031F17C1-9AB1-4D45-93A1-33603A705484}"/>
    <cellStyle name="Normal 2 4 8 5 2 6" xfId="13611" xr:uid="{70822952-60D9-450B-B1D5-3388BB4C8928}"/>
    <cellStyle name="Normal 2 4 8 5 3" xfId="6357" xr:uid="{00000000-0005-0000-0000-00000D110000}"/>
    <cellStyle name="Normal 2 4 8 5 3 2" xfId="41875" xr:uid="{0856D924-0CB6-431E-81E7-E5934317F1C2}"/>
    <cellStyle name="Normal 2 4 8 5 3 3" xfId="33428" xr:uid="{0D57F6E1-1F24-4721-A041-CAAA4C742B46}"/>
    <cellStyle name="Normal 2 4 8 5 3 4" xfId="24980" xr:uid="{C18502AF-3FC3-48F8-B96B-D4F3FE8A1C6F}"/>
    <cellStyle name="Normal 2 4 8 5 3 5" xfId="15683" xr:uid="{D2C4F32A-EA39-4D46-980B-623EB93F47B5}"/>
    <cellStyle name="Normal 2 4 8 5 4" xfId="37658" xr:uid="{4E7B4CFF-833C-4198-96B4-E69E4C91B3B6}"/>
    <cellStyle name="Normal 2 4 8 5 5" xfId="29210" xr:uid="{E80CCC88-4B10-4845-9424-1A1BFCBEE21F}"/>
    <cellStyle name="Normal 2 4 8 5 6" xfId="20763" xr:uid="{F8782C97-C075-44E1-833F-89AC75B45F45}"/>
    <cellStyle name="Normal 2 4 8 5 7" xfId="11466" xr:uid="{65E5D860-30F1-49D2-9F7E-4BBA6DFB6CEE}"/>
    <cellStyle name="Normal 2 4 8 6" xfId="2487" xr:uid="{00000000-0005-0000-0000-00000E110000}"/>
    <cellStyle name="Normal 2 4 8 6 2" xfId="6770" xr:uid="{00000000-0005-0000-0000-00000F110000}"/>
    <cellStyle name="Normal 2 4 8 6 2 2" xfId="42288" xr:uid="{F82FEAB7-1218-4200-A8AB-3D1B27F4E2C7}"/>
    <cellStyle name="Normal 2 4 8 6 2 3" xfId="33841" xr:uid="{6741960E-1766-4769-9E4B-15D05D875EAC}"/>
    <cellStyle name="Normal 2 4 8 6 2 4" xfId="25393" xr:uid="{235064BB-C8B4-43FA-B06E-44D8398E3D2A}"/>
    <cellStyle name="Normal 2 4 8 6 2 5" xfId="16096" xr:uid="{9B5E6D1C-E4DA-4DD6-AF12-B57D6D837F36}"/>
    <cellStyle name="Normal 2 4 8 6 3" xfId="38071" xr:uid="{AAA7F962-35B5-45DC-AB6C-B1300DAFEB62}"/>
    <cellStyle name="Normal 2 4 8 6 4" xfId="29623" xr:uid="{689941F8-88FE-47C5-8204-676361F5AE16}"/>
    <cellStyle name="Normal 2 4 8 6 5" xfId="21176" xr:uid="{9C01EF1B-D1F1-41A1-88FA-544B92160C7E}"/>
    <cellStyle name="Normal 2 4 8 6 6" xfId="11879" xr:uid="{095F5057-4C97-4D33-9AC6-176EEDFB6F2B}"/>
    <cellStyle name="Normal 2 4 8 7" xfId="4704" xr:uid="{00000000-0005-0000-0000-000010110000}"/>
    <cellStyle name="Normal 2 4 8 7 2" xfId="40222" xr:uid="{377A47B6-047F-4F18-AC37-BE7DDBF5F513}"/>
    <cellStyle name="Normal 2 4 8 7 3" xfId="31775" xr:uid="{679D84BB-AE62-4548-8B74-3C668AB815FF}"/>
    <cellStyle name="Normal 2 4 8 7 4" xfId="23327" xr:uid="{61D73A70-DB43-4639-B46B-F01C0C864451}"/>
    <cellStyle name="Normal 2 4 8 7 5" xfId="14030" xr:uid="{F2EA569A-A0DC-4BC2-8051-E944751D3273}"/>
    <cellStyle name="Normal 2 4 8 8" xfId="8967" xr:uid="{32AC97CD-D3FD-4AE1-A8B2-07BEA9D5DE52}"/>
    <cellStyle name="Normal 2 4 8 8 2" xfId="36005" xr:uid="{717E1C05-29A4-4D13-BEA8-0E81D28928D3}"/>
    <cellStyle name="Normal 2 4 8 8 3" xfId="18290" xr:uid="{17207712-7B5E-4B2E-BF1D-335D193429EB}"/>
    <cellStyle name="Normal 2 4 8 9" xfId="27557" xr:uid="{C9BBAE22-9497-4726-BA70-19F1462D4921}"/>
    <cellStyle name="Normal 2 4 9" xfId="9170" xr:uid="{5569C060-E090-4551-A44D-517EC3FD1834}"/>
    <cellStyle name="Normal 2 4 9 2" xfId="18486" xr:uid="{88EC0286-3E6D-44BC-8BF5-738B7B0409B5}"/>
    <cellStyle name="Normal 2 5" xfId="315" xr:uid="{00000000-0005-0000-0000-000011110000}"/>
    <cellStyle name="Normal 2 5 10" xfId="4705" xr:uid="{00000000-0005-0000-0000-000012110000}"/>
    <cellStyle name="Normal 2 5 10 2" xfId="40223" xr:uid="{A1C760B8-DAAB-4D06-9C1A-5015E8049918}"/>
    <cellStyle name="Normal 2 5 10 3" xfId="31776" xr:uid="{FADAFEB2-B14D-4B46-A80D-E39085BB632E}"/>
    <cellStyle name="Normal 2 5 10 4" xfId="23328" xr:uid="{58D51FAB-11D8-4827-9D13-9B011B69B411}"/>
    <cellStyle name="Normal 2 5 10 5" xfId="14031" xr:uid="{84FB9B77-05D0-4FD7-A5D9-D7A593111980}"/>
    <cellStyle name="Normal 2 5 11" xfId="36006" xr:uid="{916DC71F-A067-49D6-851A-FA9DE1B71039}"/>
    <cellStyle name="Normal 2 5 12" xfId="27558" xr:uid="{E993DC3C-B0FE-4A90-B736-30CA4EB97A90}"/>
    <cellStyle name="Normal 2 5 13" xfId="19111" xr:uid="{6A891547-5989-4073-BCCC-D78ACE24B73C}"/>
    <cellStyle name="Normal 2 5 14" xfId="9814" xr:uid="{7BC355C9-2C5A-404B-96B8-0034705E699C}"/>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10 2" xfId="36007" xr:uid="{979E5A8F-4172-496E-BE22-B34DF06505E4}"/>
    <cellStyle name="Normal 2 5 4 10 3" xfId="18139" xr:uid="{61FB32AE-C876-431B-A209-5B977565EE4F}"/>
    <cellStyle name="Normal 2 5 4 11" xfId="27559" xr:uid="{1F158C6F-C05D-410D-8814-72A4409118F0}"/>
    <cellStyle name="Normal 2 5 4 12" xfId="19112" xr:uid="{92B86A89-B9EB-4D32-B2BE-BE7617FD02DE}"/>
    <cellStyle name="Normal 2 5 4 13" xfId="9815" xr:uid="{576CBDA5-4448-4150-83D6-141E1599B6A5}"/>
    <cellStyle name="Normal 2 5 4 2" xfId="319" xr:uid="{00000000-0005-0000-0000-000016110000}"/>
    <cellStyle name="Normal 2 5 4 2 10" xfId="27560" xr:uid="{32B42EBA-899C-4119-815D-5DBB0A41743B}"/>
    <cellStyle name="Normal 2 5 4 2 11" xfId="19113" xr:uid="{D6F77D9C-EC8C-4C9A-995A-EFA1CDB4A90C}"/>
    <cellStyle name="Normal 2 5 4 2 12" xfId="9816" xr:uid="{764285C8-A90E-4C9C-94A2-4CC5DDBB6CF9}"/>
    <cellStyle name="Normal 2 5 4 2 2" xfId="320" xr:uid="{00000000-0005-0000-0000-000017110000}"/>
    <cellStyle name="Normal 2 5 4 2 2 10" xfId="19114" xr:uid="{F743C7D8-AABC-40D3-8CB8-69CE1F1D9699}"/>
    <cellStyle name="Normal 2 5 4 2 2 11" xfId="9817" xr:uid="{9D69F8B6-AC90-47BC-A41E-0CFF15E2A9E6}"/>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42785" xr:uid="{44EF69CA-C4E6-45E5-8ACA-DA07A218A6A3}"/>
    <cellStyle name="Normal 2 5 4 2 2 2 2 2 3" xfId="34338" xr:uid="{99D51E38-3F16-4784-BA2A-C4998815D19F}"/>
    <cellStyle name="Normal 2 5 4 2 2 2 2 2 4" xfId="25890" xr:uid="{98747B0B-83C8-4AF6-BC10-52339F7AF356}"/>
    <cellStyle name="Normal 2 5 4 2 2 2 2 2 5" xfId="16593" xr:uid="{4C508F79-7AE5-462F-9D1A-00E5D9A3D1EF}"/>
    <cellStyle name="Normal 2 5 4 2 2 2 2 3" xfId="38568" xr:uid="{DBFE3D14-0CEE-4C62-B9C2-79DC2A98CE0C}"/>
    <cellStyle name="Normal 2 5 4 2 2 2 2 4" xfId="30120" xr:uid="{415FC5D1-4F65-4737-963B-E6D9ABC57415}"/>
    <cellStyle name="Normal 2 5 4 2 2 2 2 5" xfId="21673" xr:uid="{914CE81B-E312-4C4C-BB49-694AF4D2B313}"/>
    <cellStyle name="Normal 2 5 4 2 2 2 2 6" xfId="12376" xr:uid="{5E7BE788-8594-40F1-BA7B-85CEFB2236E9}"/>
    <cellStyle name="Normal 2 5 4 2 2 2 3" xfId="5122" xr:uid="{00000000-0005-0000-0000-00001B110000}"/>
    <cellStyle name="Normal 2 5 4 2 2 2 3 2" xfId="40640" xr:uid="{A667BD9A-45FE-4639-A9E0-19D01449CDFC}"/>
    <cellStyle name="Normal 2 5 4 2 2 2 3 3" xfId="32193" xr:uid="{00215F2E-AAD5-4872-AC5A-2DC0914BD629}"/>
    <cellStyle name="Normal 2 5 4 2 2 2 3 4" xfId="23745" xr:uid="{592BB3FF-3F4C-4EC9-BA76-A1EEF4A87109}"/>
    <cellStyle name="Normal 2 5 4 2 2 2 3 5" xfId="14448" xr:uid="{2FB32490-1518-47D4-9E29-444242B41CE0}"/>
    <cellStyle name="Normal 2 5 4 2 2 2 4" xfId="9551" xr:uid="{392D7741-6781-4EA5-9C28-040053C1B05B}"/>
    <cellStyle name="Normal 2 5 4 2 2 2 4 2" xfId="36423" xr:uid="{AC55D97A-E8FA-4B6A-B900-D2835713AFD6}"/>
    <cellStyle name="Normal 2 5 4 2 2 2 4 3" xfId="18864" xr:uid="{EB3512AE-B5F7-4C61-9DA9-E56ABA851DD8}"/>
    <cellStyle name="Normal 2 5 4 2 2 2 5" xfId="27975" xr:uid="{6A936E7F-4CD0-45D6-B57D-EE8709037A2D}"/>
    <cellStyle name="Normal 2 5 4 2 2 2 6" xfId="19528" xr:uid="{92FC311C-2633-44CC-9430-4EEC9952F4A4}"/>
    <cellStyle name="Normal 2 5 4 2 2 2 7" xfId="10231" xr:uid="{21274ACB-D59B-46CF-B1DC-6FD1E1D864AE}"/>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43198" xr:uid="{65A4D45F-2DF4-4367-A961-6408489FDA07}"/>
    <cellStyle name="Normal 2 5 4 2 2 3 2 2 3" xfId="34751" xr:uid="{7C030165-82A5-4CBE-AFC0-7138C4BB1ABC}"/>
    <cellStyle name="Normal 2 5 4 2 2 3 2 2 4" xfId="26303" xr:uid="{82F7970B-5CC0-4929-8ACA-E388C1B9E3BE}"/>
    <cellStyle name="Normal 2 5 4 2 2 3 2 2 5" xfId="17006" xr:uid="{BCFF1C57-0DD4-4860-A9A7-E3E535775F53}"/>
    <cellStyle name="Normal 2 5 4 2 2 3 2 3" xfId="38981" xr:uid="{E9D8182E-C520-49B1-9666-444814529D41}"/>
    <cellStyle name="Normal 2 5 4 2 2 3 2 4" xfId="30533" xr:uid="{5413B605-399C-4128-81D5-4A210BEA8715}"/>
    <cellStyle name="Normal 2 5 4 2 2 3 2 5" xfId="22086" xr:uid="{5C9494DC-9055-4DE0-8AE0-8A8F50E09B71}"/>
    <cellStyle name="Normal 2 5 4 2 2 3 2 6" xfId="12789" xr:uid="{93EE44AC-237D-4ACB-A5FD-5A13B6A6F4A4}"/>
    <cellStyle name="Normal 2 5 4 2 2 3 3" xfId="5535" xr:uid="{00000000-0005-0000-0000-00001F110000}"/>
    <cellStyle name="Normal 2 5 4 2 2 3 3 2" xfId="41053" xr:uid="{871B0758-E0A1-4532-BC9B-E5C8E80C1B77}"/>
    <cellStyle name="Normal 2 5 4 2 2 3 3 3" xfId="32606" xr:uid="{FD2A0907-4E73-47F6-89B7-65919457DF87}"/>
    <cellStyle name="Normal 2 5 4 2 2 3 3 4" xfId="24158" xr:uid="{FB8AA693-CF2B-48D8-A8FD-6074DE87B614}"/>
    <cellStyle name="Normal 2 5 4 2 2 3 3 5" xfId="14861" xr:uid="{565C23F3-8923-42A1-A496-398055895D02}"/>
    <cellStyle name="Normal 2 5 4 2 2 3 4" xfId="36836" xr:uid="{7D3FF466-50FC-4BE9-81AE-17C7E7D03B5E}"/>
    <cellStyle name="Normal 2 5 4 2 2 3 5" xfId="28388" xr:uid="{5B9C1040-F0D4-4FEE-8457-D72110029EAB}"/>
    <cellStyle name="Normal 2 5 4 2 2 3 6" xfId="19941" xr:uid="{BE726C4E-A0EB-4683-A2CA-27DCF60AB5CA}"/>
    <cellStyle name="Normal 2 5 4 2 2 3 7" xfId="10644" xr:uid="{9623C3EF-4FA8-4711-81F4-FEFF991FEA09}"/>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43611" xr:uid="{BA7A5B60-05A2-44D2-853B-CFC380B0F9CB}"/>
    <cellStyle name="Normal 2 5 4 2 2 4 2 2 3" xfId="35164" xr:uid="{0ACDAC4D-61E3-4D6E-A041-1EB7AD758FA7}"/>
    <cellStyle name="Normal 2 5 4 2 2 4 2 2 4" xfId="26716" xr:uid="{31B2895C-CA6E-4E39-9FC0-D522B2E0D86F}"/>
    <cellStyle name="Normal 2 5 4 2 2 4 2 2 5" xfId="17419" xr:uid="{AA4A80F4-1136-4E4A-8110-4EF340FF2358}"/>
    <cellStyle name="Normal 2 5 4 2 2 4 2 3" xfId="39394" xr:uid="{0B84413E-0C0B-4E1A-AA0C-3C2C6E359494}"/>
    <cellStyle name="Normal 2 5 4 2 2 4 2 4" xfId="30946" xr:uid="{960FDBAF-A546-4FC3-B116-F8B889D8A86B}"/>
    <cellStyle name="Normal 2 5 4 2 2 4 2 5" xfId="22499" xr:uid="{2AFC2CE3-AA58-4EB3-B397-9A1FA4069ED1}"/>
    <cellStyle name="Normal 2 5 4 2 2 4 2 6" xfId="13202" xr:uid="{47DC71F9-6491-48D2-AF93-CF38246282FF}"/>
    <cellStyle name="Normal 2 5 4 2 2 4 3" xfId="5948" xr:uid="{00000000-0005-0000-0000-000023110000}"/>
    <cellStyle name="Normal 2 5 4 2 2 4 3 2" xfId="41466" xr:uid="{DBC2DAD2-38E9-4931-86DC-4C510B09BEEB}"/>
    <cellStyle name="Normal 2 5 4 2 2 4 3 3" xfId="33019" xr:uid="{66166627-68F5-462C-BBE5-0694A5B3B1E7}"/>
    <cellStyle name="Normal 2 5 4 2 2 4 3 4" xfId="24571" xr:uid="{67C20467-CE7B-484D-B41B-7F368FACD9D2}"/>
    <cellStyle name="Normal 2 5 4 2 2 4 3 5" xfId="15274" xr:uid="{5F8F3064-C8ED-4830-97BA-9B977D6A356D}"/>
    <cellStyle name="Normal 2 5 4 2 2 4 4" xfId="37249" xr:uid="{9EF826CA-7BC9-4337-9017-245ED66F1245}"/>
    <cellStyle name="Normal 2 5 4 2 2 4 5" xfId="28801" xr:uid="{683170E3-E3FB-4332-BFBC-C17932E7118A}"/>
    <cellStyle name="Normal 2 5 4 2 2 4 6" xfId="20354" xr:uid="{B80E13BA-9FF4-45E9-92C0-584AD6799C9D}"/>
    <cellStyle name="Normal 2 5 4 2 2 4 7" xfId="11057" xr:uid="{9CA47F70-DF5E-47C2-8608-7C1AE7DAF8CB}"/>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44024" xr:uid="{B05E2C56-D543-4538-BBB8-4247C50D0D27}"/>
    <cellStyle name="Normal 2 5 4 2 2 5 2 2 3" xfId="35577" xr:uid="{6D7ACDF3-3880-4D7B-9061-80CAB4A6B450}"/>
    <cellStyle name="Normal 2 5 4 2 2 5 2 2 4" xfId="27129" xr:uid="{F5A670FC-4DE7-449D-A2AC-9E8C896926DE}"/>
    <cellStyle name="Normal 2 5 4 2 2 5 2 2 5" xfId="17832" xr:uid="{565DA1EA-F988-4C7E-9758-813E59349987}"/>
    <cellStyle name="Normal 2 5 4 2 2 5 2 3" xfId="39807" xr:uid="{10EB79CF-857F-4973-BEFF-A30BDC742D6C}"/>
    <cellStyle name="Normal 2 5 4 2 2 5 2 4" xfId="31359" xr:uid="{7826FE2B-9D6A-40AD-B9E4-197C0CB0103A}"/>
    <cellStyle name="Normal 2 5 4 2 2 5 2 5" xfId="22912" xr:uid="{87815A89-C488-4197-ACF6-C92CEAA79C64}"/>
    <cellStyle name="Normal 2 5 4 2 2 5 2 6" xfId="13615" xr:uid="{CCEC8B2C-F3DD-4A49-A0F3-3ABE9DCFD297}"/>
    <cellStyle name="Normal 2 5 4 2 2 5 3" xfId="6361" xr:uid="{00000000-0005-0000-0000-000027110000}"/>
    <cellStyle name="Normal 2 5 4 2 2 5 3 2" xfId="41879" xr:uid="{F1325FD3-AE6F-43EA-A1FE-58298046C544}"/>
    <cellStyle name="Normal 2 5 4 2 2 5 3 3" xfId="33432" xr:uid="{A8B0DF85-9B18-4360-9EA0-4D1C2667A034}"/>
    <cellStyle name="Normal 2 5 4 2 2 5 3 4" xfId="24984" xr:uid="{25DA10B9-B8B2-41C1-A41B-84E58CC67276}"/>
    <cellStyle name="Normal 2 5 4 2 2 5 3 5" xfId="15687" xr:uid="{3ACEBB93-EE02-435D-85C9-17CEB2E7A2B7}"/>
    <cellStyle name="Normal 2 5 4 2 2 5 4" xfId="37662" xr:uid="{86A70446-D93B-4DEE-A9EF-8F2A9BE76879}"/>
    <cellStyle name="Normal 2 5 4 2 2 5 5" xfId="29214" xr:uid="{CE8E020A-7406-4DCA-8873-E42EDC0A679C}"/>
    <cellStyle name="Normal 2 5 4 2 2 5 6" xfId="20767" xr:uid="{287C830A-F361-41F5-B457-25396BE81F6F}"/>
    <cellStyle name="Normal 2 5 4 2 2 5 7" xfId="11470" xr:uid="{E3EB5286-DE6B-4C26-B7A8-52B46012C3D6}"/>
    <cellStyle name="Normal 2 5 4 2 2 6" xfId="2491" xr:uid="{00000000-0005-0000-0000-000028110000}"/>
    <cellStyle name="Normal 2 5 4 2 2 6 2" xfId="6774" xr:uid="{00000000-0005-0000-0000-000029110000}"/>
    <cellStyle name="Normal 2 5 4 2 2 6 2 2" xfId="42292" xr:uid="{E7FF78C5-9256-4FAD-A948-89AD1FF59DE1}"/>
    <cellStyle name="Normal 2 5 4 2 2 6 2 3" xfId="33845" xr:uid="{A53E8EE4-235A-453F-AE3E-7DBF2105ABCB}"/>
    <cellStyle name="Normal 2 5 4 2 2 6 2 4" xfId="25397" xr:uid="{3AE94A9E-5118-4D75-AEAC-FF9794635630}"/>
    <cellStyle name="Normal 2 5 4 2 2 6 2 5" xfId="16100" xr:uid="{D08D660C-D427-4FA0-B570-DC8A73D25166}"/>
    <cellStyle name="Normal 2 5 4 2 2 6 3" xfId="38075" xr:uid="{D3826C31-56FC-447A-A247-13381E6C49F0}"/>
    <cellStyle name="Normal 2 5 4 2 2 6 4" xfId="29627" xr:uid="{B436CF55-4181-4E2B-81EE-581387D18CA3}"/>
    <cellStyle name="Normal 2 5 4 2 2 6 5" xfId="21180" xr:uid="{1AE5F222-8D07-4208-9EA1-C62210CBD497}"/>
    <cellStyle name="Normal 2 5 4 2 2 6 6" xfId="11883" xr:uid="{017279EF-EAD6-48A4-8E28-62FAF521F771}"/>
    <cellStyle name="Normal 2 5 4 2 2 7" xfId="4708" xr:uid="{00000000-0005-0000-0000-00002A110000}"/>
    <cellStyle name="Normal 2 5 4 2 2 7 2" xfId="40226" xr:uid="{7E1A56FB-A71A-4909-A95D-174911FB8405}"/>
    <cellStyle name="Normal 2 5 4 2 2 7 3" xfId="31779" xr:uid="{A5FCB259-97E2-4B85-86AE-257DB10584B4}"/>
    <cellStyle name="Normal 2 5 4 2 2 7 4" xfId="23331" xr:uid="{D75C2233-D760-4FDC-ACEA-D15271C3CAF6}"/>
    <cellStyle name="Normal 2 5 4 2 2 7 5" xfId="14034" xr:uid="{66692005-6DF0-4ED5-ACCE-16A2E2D85C8A}"/>
    <cellStyle name="Normal 2 5 4 2 2 8" xfId="9126" xr:uid="{C2CF4AFD-4082-4555-941B-6E9759C32D63}"/>
    <cellStyle name="Normal 2 5 4 2 2 8 2" xfId="36009" xr:uid="{7F7C2479-3BBE-4BE3-A4D0-0C93DB23A66D}"/>
    <cellStyle name="Normal 2 5 4 2 2 8 3" xfId="18449" xr:uid="{0ABA4391-4020-4B30-A46F-084CEFAC91D7}"/>
    <cellStyle name="Normal 2 5 4 2 2 9" xfId="27561" xr:uid="{A4D08866-A6BE-4D3A-B8E7-CF2290892661}"/>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42784" xr:uid="{970DB366-6658-4A06-8767-4FDF2AC886F6}"/>
    <cellStyle name="Normal 2 5 4 2 3 2 2 3" xfId="34337" xr:uid="{B11E054B-F8E2-4BEB-875C-4F321F8F8D08}"/>
    <cellStyle name="Normal 2 5 4 2 3 2 2 4" xfId="25889" xr:uid="{22BE2F16-C210-4477-AFEF-33CB068DF6BD}"/>
    <cellStyle name="Normal 2 5 4 2 3 2 2 5" xfId="16592" xr:uid="{9FC9F283-834D-4201-84D6-E35CA40D1E21}"/>
    <cellStyle name="Normal 2 5 4 2 3 2 3" xfId="38567" xr:uid="{3C48FACA-A89A-43CF-86AF-FEA2BD7A3B68}"/>
    <cellStyle name="Normal 2 5 4 2 3 2 4" xfId="30119" xr:uid="{6AF1135A-3D6D-4A92-B8BB-6759AA46F3BB}"/>
    <cellStyle name="Normal 2 5 4 2 3 2 5" xfId="21672" xr:uid="{B973E005-2E69-4ECB-90A3-183AF3AFF11F}"/>
    <cellStyle name="Normal 2 5 4 2 3 2 6" xfId="12375" xr:uid="{2D829840-B6BA-459A-99FC-3A54D2E04DB7}"/>
    <cellStyle name="Normal 2 5 4 2 3 3" xfId="5121" xr:uid="{00000000-0005-0000-0000-00002E110000}"/>
    <cellStyle name="Normal 2 5 4 2 3 3 2" xfId="40639" xr:uid="{9C01A038-A72D-4FF1-8B7C-03AE06D57F65}"/>
    <cellStyle name="Normal 2 5 4 2 3 3 3" xfId="32192" xr:uid="{B5099B7B-FC37-408F-875D-647498551966}"/>
    <cellStyle name="Normal 2 5 4 2 3 3 4" xfId="23744" xr:uid="{22DB225D-D75C-4E63-B7BA-9828825371EC}"/>
    <cellStyle name="Normal 2 5 4 2 3 3 5" xfId="14447" xr:uid="{C146790C-BDD8-4588-B329-B965A96B0950}"/>
    <cellStyle name="Normal 2 5 4 2 3 4" xfId="9344" xr:uid="{207B8A34-09D9-4349-A9C7-5A5A998C6B6F}"/>
    <cellStyle name="Normal 2 5 4 2 3 4 2" xfId="36422" xr:uid="{526672D2-5262-4D43-82D4-9CCFE9186739}"/>
    <cellStyle name="Normal 2 5 4 2 3 4 3" xfId="18657" xr:uid="{FFDEDB3C-807F-474D-AEE5-5A2CDB30CA4E}"/>
    <cellStyle name="Normal 2 5 4 2 3 5" xfId="27974" xr:uid="{304C93D2-331E-4573-BD55-73F3AFFC1976}"/>
    <cellStyle name="Normal 2 5 4 2 3 6" xfId="19527" xr:uid="{17E4A01B-AD09-4940-A435-004122E7DC14}"/>
    <cellStyle name="Normal 2 5 4 2 3 7" xfId="10230" xr:uid="{E7802A3A-EF8E-4C56-B61F-BA767409BF2E}"/>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43197" xr:uid="{0CEB5635-BAF2-41DA-82FE-BE2AD861362F}"/>
    <cellStyle name="Normal 2 5 4 2 4 2 2 3" xfId="34750" xr:uid="{FC970B6E-1F2A-4F7C-B43A-77283B58F458}"/>
    <cellStyle name="Normal 2 5 4 2 4 2 2 4" xfId="26302" xr:uid="{0919C466-A648-4835-99F6-8C806639382F}"/>
    <cellStyle name="Normal 2 5 4 2 4 2 2 5" xfId="17005" xr:uid="{A36E0F1A-3605-4E26-81AA-67CD89C8D089}"/>
    <cellStyle name="Normal 2 5 4 2 4 2 3" xfId="38980" xr:uid="{224CAA46-E2E7-42CD-B4AB-9EC9065B270B}"/>
    <cellStyle name="Normal 2 5 4 2 4 2 4" xfId="30532" xr:uid="{D422563B-9834-4241-8930-5DB79B355B53}"/>
    <cellStyle name="Normal 2 5 4 2 4 2 5" xfId="22085" xr:uid="{AD8DA4B5-5334-415A-A956-0886A9BD2386}"/>
    <cellStyle name="Normal 2 5 4 2 4 2 6" xfId="12788" xr:uid="{0C7D2E18-CA01-4E3F-BAB2-A940BEFD9FA5}"/>
    <cellStyle name="Normal 2 5 4 2 4 3" xfId="5534" xr:uid="{00000000-0005-0000-0000-000032110000}"/>
    <cellStyle name="Normal 2 5 4 2 4 3 2" xfId="41052" xr:uid="{E9089A85-B9D5-4A91-B89D-5B3EE02595F2}"/>
    <cellStyle name="Normal 2 5 4 2 4 3 3" xfId="32605" xr:uid="{2CE3EC45-9169-4B01-B0A5-4911944BE69A}"/>
    <cellStyle name="Normal 2 5 4 2 4 3 4" xfId="24157" xr:uid="{6EA833D7-9A30-4FFC-B422-9F8FC1D0283D}"/>
    <cellStyle name="Normal 2 5 4 2 4 3 5" xfId="14860" xr:uid="{7D0117CF-BFCF-4F37-BD9D-B900BDCDA9A5}"/>
    <cellStyle name="Normal 2 5 4 2 4 4" xfId="36835" xr:uid="{78C2174F-3DE6-4F4F-9ECB-122E5A46E5FC}"/>
    <cellStyle name="Normal 2 5 4 2 4 5" xfId="28387" xr:uid="{18ED128E-92D1-4F96-8F88-7FD0E46A83B4}"/>
    <cellStyle name="Normal 2 5 4 2 4 6" xfId="19940" xr:uid="{0A53DB77-F94E-4698-9051-41B599B94602}"/>
    <cellStyle name="Normal 2 5 4 2 4 7" xfId="10643" xr:uid="{EA216B31-D017-493E-9499-53495A59F6A1}"/>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43610" xr:uid="{1B386676-4FBF-478A-9E17-79B0179D95F3}"/>
    <cellStyle name="Normal 2 5 4 2 5 2 2 3" xfId="35163" xr:uid="{25F6FBF1-9C4C-40FC-B03E-246A53C3C5C9}"/>
    <cellStyle name="Normal 2 5 4 2 5 2 2 4" xfId="26715" xr:uid="{E260E2CA-F5E1-4CE2-AB6E-FE48ADB0CBA1}"/>
    <cellStyle name="Normal 2 5 4 2 5 2 2 5" xfId="17418" xr:uid="{1C48B791-8018-4FF8-8A08-01A06C6F1F62}"/>
    <cellStyle name="Normal 2 5 4 2 5 2 3" xfId="39393" xr:uid="{7C4A18CC-B711-4413-81CF-B4288DDA041F}"/>
    <cellStyle name="Normal 2 5 4 2 5 2 4" xfId="30945" xr:uid="{CBDFBC27-0920-4FCE-BCE1-253DE5F75C39}"/>
    <cellStyle name="Normal 2 5 4 2 5 2 5" xfId="22498" xr:uid="{782DADFA-D9A5-4209-9A5F-76EEC8F34755}"/>
    <cellStyle name="Normal 2 5 4 2 5 2 6" xfId="13201" xr:uid="{101C41A0-69C1-4816-B06C-25D3EE8EFCED}"/>
    <cellStyle name="Normal 2 5 4 2 5 3" xfId="5947" xr:uid="{00000000-0005-0000-0000-000036110000}"/>
    <cellStyle name="Normal 2 5 4 2 5 3 2" xfId="41465" xr:uid="{062E03AD-6AB0-4408-A3CA-58B250103A53}"/>
    <cellStyle name="Normal 2 5 4 2 5 3 3" xfId="33018" xr:uid="{58C3347D-5BCF-4054-8D06-04ABA43734F6}"/>
    <cellStyle name="Normal 2 5 4 2 5 3 4" xfId="24570" xr:uid="{59CC5E4C-B85C-4105-B9F0-6026180DF746}"/>
    <cellStyle name="Normal 2 5 4 2 5 3 5" xfId="15273" xr:uid="{AB67BC6E-9C6E-405A-9C25-9BA1C3716635}"/>
    <cellStyle name="Normal 2 5 4 2 5 4" xfId="37248" xr:uid="{5F53B1EF-2276-46E3-8F5A-7C9366A0A35E}"/>
    <cellStyle name="Normal 2 5 4 2 5 5" xfId="28800" xr:uid="{023417B8-8DFC-49DE-B6A4-F1CFDFFD3015}"/>
    <cellStyle name="Normal 2 5 4 2 5 6" xfId="20353" xr:uid="{5ED9F5C8-B167-4954-8CEF-DE34E3EEE690}"/>
    <cellStyle name="Normal 2 5 4 2 5 7" xfId="11056" xr:uid="{21FF9465-FD1B-418A-B7FA-EE6993B9EFBA}"/>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44023" xr:uid="{79584F18-0805-417F-AE72-6AC0578485FF}"/>
    <cellStyle name="Normal 2 5 4 2 6 2 2 3" xfId="35576" xr:uid="{665EC450-9105-4C05-8CF7-8C2D027549C1}"/>
    <cellStyle name="Normal 2 5 4 2 6 2 2 4" xfId="27128" xr:uid="{6F401C97-A12D-4CB7-AC5E-1BF5CEA6C7E7}"/>
    <cellStyle name="Normal 2 5 4 2 6 2 2 5" xfId="17831" xr:uid="{676FE253-D8DE-4497-B176-ECE80F6B794B}"/>
    <cellStyle name="Normal 2 5 4 2 6 2 3" xfId="39806" xr:uid="{AD56EC87-E36D-4825-9673-C4F1AB218CA0}"/>
    <cellStyle name="Normal 2 5 4 2 6 2 4" xfId="31358" xr:uid="{294E5162-746B-441D-8CCD-E46EAB9C94BE}"/>
    <cellStyle name="Normal 2 5 4 2 6 2 5" xfId="22911" xr:uid="{44DBC09F-132E-43D5-9489-719BF12BFD40}"/>
    <cellStyle name="Normal 2 5 4 2 6 2 6" xfId="13614" xr:uid="{36ACBB96-3D7E-437A-9A81-18CA0BC04EC4}"/>
    <cellStyle name="Normal 2 5 4 2 6 3" xfId="6360" xr:uid="{00000000-0005-0000-0000-00003A110000}"/>
    <cellStyle name="Normal 2 5 4 2 6 3 2" xfId="41878" xr:uid="{76AB62F7-7266-4C08-B63F-6E4B8A5EF994}"/>
    <cellStyle name="Normal 2 5 4 2 6 3 3" xfId="33431" xr:uid="{6BB7F5A8-DD95-4278-95C5-DC33ED4E281F}"/>
    <cellStyle name="Normal 2 5 4 2 6 3 4" xfId="24983" xr:uid="{6C966D64-C806-4783-BA64-80B21312492F}"/>
    <cellStyle name="Normal 2 5 4 2 6 3 5" xfId="15686" xr:uid="{51F55C1A-541A-4D29-9DE2-90E684F934C0}"/>
    <cellStyle name="Normal 2 5 4 2 6 4" xfId="37661" xr:uid="{E23A94E8-2D5F-42AC-924E-D55F36CE1C52}"/>
    <cellStyle name="Normal 2 5 4 2 6 5" xfId="29213" xr:uid="{53F4EB96-08FC-4586-B192-75DB4D55F9C1}"/>
    <cellStyle name="Normal 2 5 4 2 6 6" xfId="20766" xr:uid="{8D98A2CB-38B3-48FA-B247-2FF7F3064EDD}"/>
    <cellStyle name="Normal 2 5 4 2 6 7" xfId="11469" xr:uid="{CC0BFDFD-69D0-4B51-9350-84352FCD54C2}"/>
    <cellStyle name="Normal 2 5 4 2 7" xfId="2490" xr:uid="{00000000-0005-0000-0000-00003B110000}"/>
    <cellStyle name="Normal 2 5 4 2 7 2" xfId="6773" xr:uid="{00000000-0005-0000-0000-00003C110000}"/>
    <cellStyle name="Normal 2 5 4 2 7 2 2" xfId="42291" xr:uid="{BAA4BD3C-C36A-4F65-AC49-DFC309649AEF}"/>
    <cellStyle name="Normal 2 5 4 2 7 2 3" xfId="33844" xr:uid="{E2541CEA-95A7-4F95-BF45-65957FB24A43}"/>
    <cellStyle name="Normal 2 5 4 2 7 2 4" xfId="25396" xr:uid="{D3C2DB6F-DBBF-4F49-8A23-F9966BEF8A8D}"/>
    <cellStyle name="Normal 2 5 4 2 7 2 5" xfId="16099" xr:uid="{A43387A3-D7CD-4C0B-BC67-EDED61E43EFF}"/>
    <cellStyle name="Normal 2 5 4 2 7 3" xfId="38074" xr:uid="{BFE27757-9EC6-4A32-B973-FBF39278159C}"/>
    <cellStyle name="Normal 2 5 4 2 7 4" xfId="29626" xr:uid="{42AFA8D7-8E20-488A-A0E9-2A8FF5D3A47D}"/>
    <cellStyle name="Normal 2 5 4 2 7 5" xfId="21179" xr:uid="{A7795FF5-354F-48F1-BE37-D57D99890360}"/>
    <cellStyle name="Normal 2 5 4 2 7 6" xfId="11882" xr:uid="{85A620EB-44AC-442D-B45E-5F9054525DB4}"/>
    <cellStyle name="Normal 2 5 4 2 8" xfId="4707" xr:uid="{00000000-0005-0000-0000-00003D110000}"/>
    <cellStyle name="Normal 2 5 4 2 8 2" xfId="40225" xr:uid="{E1133D2E-5248-4EA3-977F-781BAB8AF6E1}"/>
    <cellStyle name="Normal 2 5 4 2 8 3" xfId="31778" xr:uid="{A9E7315A-F1FE-41CC-ADBC-E388F6B76F7F}"/>
    <cellStyle name="Normal 2 5 4 2 8 4" xfId="23330" xr:uid="{D604C746-22CF-4045-8773-633FC7C2C933}"/>
    <cellStyle name="Normal 2 5 4 2 8 5" xfId="14033" xr:uid="{AB7EAE04-ADF6-4CFD-AA2E-EB8D8D428D0C}"/>
    <cellStyle name="Normal 2 5 4 2 9" xfId="8919" xr:uid="{2A8C96F6-0F22-4271-BCA3-7E5B2E35A54F}"/>
    <cellStyle name="Normal 2 5 4 2 9 2" xfId="36008" xr:uid="{37ECC47B-15AF-44F1-BB0E-0BC9F2C21726}"/>
    <cellStyle name="Normal 2 5 4 2 9 3" xfId="18242" xr:uid="{C905EBB9-B572-4AEA-AD28-E81B5435ADC4}"/>
    <cellStyle name="Normal 2 5 4 3" xfId="321" xr:uid="{00000000-0005-0000-0000-00003E110000}"/>
    <cellStyle name="Normal 2 5 4 3 10" xfId="19115" xr:uid="{3B3EB4CA-DA2D-472F-927E-8C3AB42A9AA4}"/>
    <cellStyle name="Normal 2 5 4 3 11" xfId="9818" xr:uid="{56E1B152-B681-4760-BBA2-98A203F45785}"/>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42786" xr:uid="{D08E7894-74AB-4FAB-9653-8A2521E0FE1F}"/>
    <cellStyle name="Normal 2 5 4 3 2 2 2 3" xfId="34339" xr:uid="{5F573D5F-43B5-412C-8DE1-1631E07267BB}"/>
    <cellStyle name="Normal 2 5 4 3 2 2 2 4" xfId="25891" xr:uid="{F16B7EDF-D1C0-4739-A6CB-5FB2D120434F}"/>
    <cellStyle name="Normal 2 5 4 3 2 2 2 5" xfId="16594" xr:uid="{364A4178-8C8C-40DD-88CA-26DCEA689C97}"/>
    <cellStyle name="Normal 2 5 4 3 2 2 3" xfId="38569" xr:uid="{D336E657-189B-4665-ADAC-69FBD9940859}"/>
    <cellStyle name="Normal 2 5 4 3 2 2 4" xfId="30121" xr:uid="{85ABEAEE-884D-4779-8680-646F1FAB8E83}"/>
    <cellStyle name="Normal 2 5 4 3 2 2 5" xfId="21674" xr:uid="{18884759-2936-43D3-9ECF-1E8381368763}"/>
    <cellStyle name="Normal 2 5 4 3 2 2 6" xfId="12377" xr:uid="{B0E20795-DACE-49C0-9C8F-58BD6B616822}"/>
    <cellStyle name="Normal 2 5 4 3 2 3" xfId="5123" xr:uid="{00000000-0005-0000-0000-000042110000}"/>
    <cellStyle name="Normal 2 5 4 3 2 3 2" xfId="40641" xr:uid="{D03D2ABF-8611-47E2-A5E0-C3312EB5E685}"/>
    <cellStyle name="Normal 2 5 4 3 2 3 3" xfId="32194" xr:uid="{D6A71ECE-4AA0-4991-B6F0-2096B6117BBF}"/>
    <cellStyle name="Normal 2 5 4 3 2 3 4" xfId="23746" xr:uid="{29F7BF71-D912-4FC9-BC98-89D1435EE0B9}"/>
    <cellStyle name="Normal 2 5 4 3 2 3 5" xfId="14449" xr:uid="{7F5D8458-7C6D-4746-B334-F7A7AD8B5735}"/>
    <cellStyle name="Normal 2 5 4 3 2 4" xfId="9448" xr:uid="{0C1738F2-697E-4430-8A3F-E67747B3EDB0}"/>
    <cellStyle name="Normal 2 5 4 3 2 4 2" xfId="36424" xr:uid="{4AFA0CFA-7DE2-4A57-ADED-3EBDFD19B051}"/>
    <cellStyle name="Normal 2 5 4 3 2 4 3" xfId="18761" xr:uid="{07813210-E235-4254-8C3C-9695E08A0007}"/>
    <cellStyle name="Normal 2 5 4 3 2 5" xfId="27976" xr:uid="{C361D8A1-510B-4717-AB83-C16E27C78591}"/>
    <cellStyle name="Normal 2 5 4 3 2 6" xfId="19529" xr:uid="{1B05E7F3-E482-42F0-A08C-4EA8D9B90BDD}"/>
    <cellStyle name="Normal 2 5 4 3 2 7" xfId="10232" xr:uid="{CAB5BBC5-7078-4296-8C1C-57E22397BBEA}"/>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43199" xr:uid="{1D4D3FFD-E6E4-4DDC-B830-EF6874855BC3}"/>
    <cellStyle name="Normal 2 5 4 3 3 2 2 3" xfId="34752" xr:uid="{99F72F89-12B3-40C0-B421-3AFED411ED66}"/>
    <cellStyle name="Normal 2 5 4 3 3 2 2 4" xfId="26304" xr:uid="{7748806D-65DB-4654-8B61-3D8DBE2DA2BA}"/>
    <cellStyle name="Normal 2 5 4 3 3 2 2 5" xfId="17007" xr:uid="{9C397F09-76E8-4D20-8988-9D30C722D440}"/>
    <cellStyle name="Normal 2 5 4 3 3 2 3" xfId="38982" xr:uid="{F010F695-CCE8-48DC-A68F-C9251FE5C636}"/>
    <cellStyle name="Normal 2 5 4 3 3 2 4" xfId="30534" xr:uid="{4682F11B-B167-482B-B6CC-5215CB67AAAB}"/>
    <cellStyle name="Normal 2 5 4 3 3 2 5" xfId="22087" xr:uid="{628F820C-FE41-4DF5-A79A-D4329DF01BDE}"/>
    <cellStyle name="Normal 2 5 4 3 3 2 6" xfId="12790" xr:uid="{33846FCA-DA93-4841-8784-AC963FA79323}"/>
    <cellStyle name="Normal 2 5 4 3 3 3" xfId="5536" xr:uid="{00000000-0005-0000-0000-000046110000}"/>
    <cellStyle name="Normal 2 5 4 3 3 3 2" xfId="41054" xr:uid="{2B955A1C-6EBD-43B7-ACE2-22FB1CA513D0}"/>
    <cellStyle name="Normal 2 5 4 3 3 3 3" xfId="32607" xr:uid="{7A8BE065-6399-4F0F-B76D-C3F0A273D053}"/>
    <cellStyle name="Normal 2 5 4 3 3 3 4" xfId="24159" xr:uid="{358B5A13-59B7-47D9-999E-88B5ADFC6F4E}"/>
    <cellStyle name="Normal 2 5 4 3 3 3 5" xfId="14862" xr:uid="{DAD9E9E0-5D7B-4459-A887-448237AE4689}"/>
    <cellStyle name="Normal 2 5 4 3 3 4" xfId="36837" xr:uid="{B1315C76-1862-4B73-B5C4-02C10F23867E}"/>
    <cellStyle name="Normal 2 5 4 3 3 5" xfId="28389" xr:uid="{E144D949-0767-4077-9EA9-1B96D9E0DE0D}"/>
    <cellStyle name="Normal 2 5 4 3 3 6" xfId="19942" xr:uid="{F9D27DE9-6E71-479B-BB29-D28E5BB184F8}"/>
    <cellStyle name="Normal 2 5 4 3 3 7" xfId="10645" xr:uid="{CD32022A-8E59-417E-AEB5-468A2B47CA73}"/>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43612" xr:uid="{45F12996-9C83-4AF3-800E-E241327101C7}"/>
    <cellStyle name="Normal 2 5 4 3 4 2 2 3" xfId="35165" xr:uid="{5D6CCD55-CB72-45D1-8432-07CF73B1FFAA}"/>
    <cellStyle name="Normal 2 5 4 3 4 2 2 4" xfId="26717" xr:uid="{A5550810-011C-4230-9EF8-DFB723B8B6DC}"/>
    <cellStyle name="Normal 2 5 4 3 4 2 2 5" xfId="17420" xr:uid="{25C791DC-F061-4714-A1FD-45874874115A}"/>
    <cellStyle name="Normal 2 5 4 3 4 2 3" xfId="39395" xr:uid="{571FB368-AA0A-4AF3-8096-0F3B83AC09F2}"/>
    <cellStyle name="Normal 2 5 4 3 4 2 4" xfId="30947" xr:uid="{F5C97F67-A654-4DD5-9CA6-ECF31932B956}"/>
    <cellStyle name="Normal 2 5 4 3 4 2 5" xfId="22500" xr:uid="{63BFE831-6652-49EF-88A6-753A08DA9695}"/>
    <cellStyle name="Normal 2 5 4 3 4 2 6" xfId="13203" xr:uid="{B9067A5E-C8CE-4541-905E-AA18E47ACA56}"/>
    <cellStyle name="Normal 2 5 4 3 4 3" xfId="5949" xr:uid="{00000000-0005-0000-0000-00004A110000}"/>
    <cellStyle name="Normal 2 5 4 3 4 3 2" xfId="41467" xr:uid="{673CA41F-DFE9-42C3-9466-70CC86C20B4E}"/>
    <cellStyle name="Normal 2 5 4 3 4 3 3" xfId="33020" xr:uid="{5B76F46E-D858-4135-A040-2916F25224E9}"/>
    <cellStyle name="Normal 2 5 4 3 4 3 4" xfId="24572" xr:uid="{FB6F5884-6779-462E-846F-E5573705D097}"/>
    <cellStyle name="Normal 2 5 4 3 4 3 5" xfId="15275" xr:uid="{F01E5F08-B761-40A9-932D-8F06C3A46B47}"/>
    <cellStyle name="Normal 2 5 4 3 4 4" xfId="37250" xr:uid="{D741C6F0-3E18-4F37-ABFD-AC60C740D1A7}"/>
    <cellStyle name="Normal 2 5 4 3 4 5" xfId="28802" xr:uid="{9DA45EC1-8E28-412D-A13D-4F1CB3F68724}"/>
    <cellStyle name="Normal 2 5 4 3 4 6" xfId="20355" xr:uid="{F6F1C7A3-0DE0-4A18-82B4-DCF07442A1DB}"/>
    <cellStyle name="Normal 2 5 4 3 4 7" xfId="11058" xr:uid="{14B40691-6A16-41E8-880B-FC24917C15B7}"/>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44025" xr:uid="{1811A140-C520-47B0-8711-D15AF3D7F922}"/>
    <cellStyle name="Normal 2 5 4 3 5 2 2 3" xfId="35578" xr:uid="{2C70871C-517C-46CD-ABFD-B932F419C825}"/>
    <cellStyle name="Normal 2 5 4 3 5 2 2 4" xfId="27130" xr:uid="{796BBB3D-45F5-457E-AA4A-D7505024F9AA}"/>
    <cellStyle name="Normal 2 5 4 3 5 2 2 5" xfId="17833" xr:uid="{EE014ACA-DC34-4069-81A4-4F2D5ED8C9EF}"/>
    <cellStyle name="Normal 2 5 4 3 5 2 3" xfId="39808" xr:uid="{73B582D0-8140-4A1D-AC79-D5DE156F0664}"/>
    <cellStyle name="Normal 2 5 4 3 5 2 4" xfId="31360" xr:uid="{623D8A5C-437E-454E-A0C9-8A1F83AC3DE6}"/>
    <cellStyle name="Normal 2 5 4 3 5 2 5" xfId="22913" xr:uid="{896DF8A8-9316-4A4C-96A8-F672520D0138}"/>
    <cellStyle name="Normal 2 5 4 3 5 2 6" xfId="13616" xr:uid="{D0C6BE6F-114C-4274-BE7E-17E42DF964E9}"/>
    <cellStyle name="Normal 2 5 4 3 5 3" xfId="6362" xr:uid="{00000000-0005-0000-0000-00004E110000}"/>
    <cellStyle name="Normal 2 5 4 3 5 3 2" xfId="41880" xr:uid="{7C82103E-B073-4B47-A357-9330071B04BF}"/>
    <cellStyle name="Normal 2 5 4 3 5 3 3" xfId="33433" xr:uid="{DCF4675D-3891-4AB6-AD18-C54ED329F76A}"/>
    <cellStyle name="Normal 2 5 4 3 5 3 4" xfId="24985" xr:uid="{56D8F9E2-98D8-483D-A105-7544C1820545}"/>
    <cellStyle name="Normal 2 5 4 3 5 3 5" xfId="15688" xr:uid="{5AE467CC-CE9B-4D2B-BFA8-23828AD57A63}"/>
    <cellStyle name="Normal 2 5 4 3 5 4" xfId="37663" xr:uid="{17A5D6F2-992D-4788-AAB3-9DD7615AEFD0}"/>
    <cellStyle name="Normal 2 5 4 3 5 5" xfId="29215" xr:uid="{BBC6AA5D-28F4-46D2-89BA-D166B8BCF912}"/>
    <cellStyle name="Normal 2 5 4 3 5 6" xfId="20768" xr:uid="{3D74BE35-2765-40EC-B1A6-F86A79F22850}"/>
    <cellStyle name="Normal 2 5 4 3 5 7" xfId="11471" xr:uid="{E7A3C09F-BFAA-4042-BD00-76F30E08D389}"/>
    <cellStyle name="Normal 2 5 4 3 6" xfId="2492" xr:uid="{00000000-0005-0000-0000-00004F110000}"/>
    <cellStyle name="Normal 2 5 4 3 6 2" xfId="6775" xr:uid="{00000000-0005-0000-0000-000050110000}"/>
    <cellStyle name="Normal 2 5 4 3 6 2 2" xfId="42293" xr:uid="{5FABDB03-2780-473A-91CF-7F468D10247D}"/>
    <cellStyle name="Normal 2 5 4 3 6 2 3" xfId="33846" xr:uid="{F7ACED6C-8697-438B-9527-37A1B3F0B6B4}"/>
    <cellStyle name="Normal 2 5 4 3 6 2 4" xfId="25398" xr:uid="{91EAA5E6-3F20-4540-A606-87D961C144D7}"/>
    <cellStyle name="Normal 2 5 4 3 6 2 5" xfId="16101" xr:uid="{E68DF960-389E-45E4-8D68-4CA39F505137}"/>
    <cellStyle name="Normal 2 5 4 3 6 3" xfId="38076" xr:uid="{B034B2E1-D216-468A-B770-DD9A0F79EDC4}"/>
    <cellStyle name="Normal 2 5 4 3 6 4" xfId="29628" xr:uid="{FD3B2886-C8EC-4B17-B15D-935A0FFA63E6}"/>
    <cellStyle name="Normal 2 5 4 3 6 5" xfId="21181" xr:uid="{A7B1E3CD-4E40-4FE5-8CC8-978E170028C0}"/>
    <cellStyle name="Normal 2 5 4 3 6 6" xfId="11884" xr:uid="{CFBFBD75-1454-4E48-B0B4-0D37A1645230}"/>
    <cellStyle name="Normal 2 5 4 3 7" xfId="4709" xr:uid="{00000000-0005-0000-0000-000051110000}"/>
    <cellStyle name="Normal 2 5 4 3 7 2" xfId="40227" xr:uid="{7452A876-5224-47EA-BFC6-66D81A76FD95}"/>
    <cellStyle name="Normal 2 5 4 3 7 3" xfId="31780" xr:uid="{CDD43B11-7E1A-435A-9055-DB1FC3F8BBA2}"/>
    <cellStyle name="Normal 2 5 4 3 7 4" xfId="23332" xr:uid="{94CB5D01-E09D-4137-946E-98F509E044F3}"/>
    <cellStyle name="Normal 2 5 4 3 7 5" xfId="14035" xr:uid="{F102FE3A-EFCE-46D1-A77A-B6EB14509114}"/>
    <cellStyle name="Normal 2 5 4 3 8" xfId="9023" xr:uid="{9B869639-3DD4-4511-AD70-D5125D34938F}"/>
    <cellStyle name="Normal 2 5 4 3 8 2" xfId="36010" xr:uid="{F121D334-DDF1-4533-877D-B1A9DDD7F3C4}"/>
    <cellStyle name="Normal 2 5 4 3 8 3" xfId="18346" xr:uid="{13345CD5-DD70-41DD-AC10-B545AD21F5C7}"/>
    <cellStyle name="Normal 2 5 4 3 9" xfId="27562" xr:uid="{E4B41ACD-7FC3-4CE7-A037-62755933D24D}"/>
    <cellStyle name="Normal 2 5 4 4" xfId="804" xr:uid="{00000000-0005-0000-0000-000052110000}"/>
    <cellStyle name="Normal 2 5 4 4 2" xfId="3043" xr:uid="{00000000-0005-0000-0000-000053110000}"/>
    <cellStyle name="Normal 2 5 4 4 2 2" xfId="7265" xr:uid="{00000000-0005-0000-0000-000054110000}"/>
    <cellStyle name="Normal 2 5 4 4 2 2 2" xfId="42783" xr:uid="{44B5A3BB-FEC4-43EC-B578-16AAED3C39AE}"/>
    <cellStyle name="Normal 2 5 4 4 2 2 3" xfId="34336" xr:uid="{7F67C912-BF07-4DC1-8746-D8A1A6E148D3}"/>
    <cellStyle name="Normal 2 5 4 4 2 2 4" xfId="25888" xr:uid="{6858EE55-DF20-42EF-BF54-F02A089F2565}"/>
    <cellStyle name="Normal 2 5 4 4 2 2 5" xfId="16591" xr:uid="{E320B67D-5EB2-474E-81CC-748B9E28A226}"/>
    <cellStyle name="Normal 2 5 4 4 2 3" xfId="38566" xr:uid="{873FB0A1-7EF1-49DE-81A4-E2757453EE6E}"/>
    <cellStyle name="Normal 2 5 4 4 2 4" xfId="30118" xr:uid="{26A1A8CD-AB49-48D3-9B28-9491CA19F63D}"/>
    <cellStyle name="Normal 2 5 4 4 2 5" xfId="21671" xr:uid="{9A09C137-420B-4874-A4EB-18241EEDAFC5}"/>
    <cellStyle name="Normal 2 5 4 4 2 6" xfId="12374" xr:uid="{FFB62FAB-7F71-4D53-A31D-379AA0958200}"/>
    <cellStyle name="Normal 2 5 4 4 3" xfId="5120" xr:uid="{00000000-0005-0000-0000-000055110000}"/>
    <cellStyle name="Normal 2 5 4 4 3 2" xfId="40638" xr:uid="{44B8AAF7-C1F9-4D32-BEB4-CFD760D16B06}"/>
    <cellStyle name="Normal 2 5 4 4 3 3" xfId="32191" xr:uid="{C11EA3D5-F6A8-4F10-81CF-6925F3EB9209}"/>
    <cellStyle name="Normal 2 5 4 4 3 4" xfId="23743" xr:uid="{8C8978D9-E5D0-4BD9-943C-051183837F22}"/>
    <cellStyle name="Normal 2 5 4 4 3 5" xfId="14446" xr:uid="{2D330C3C-2534-48B9-8E95-30DB498CD87A}"/>
    <cellStyle name="Normal 2 5 4 4 4" xfId="9241" xr:uid="{2BD2F05F-E4C9-46B4-B3C9-F0D081C1F38F}"/>
    <cellStyle name="Normal 2 5 4 4 4 2" xfId="36421" xr:uid="{1702F1A5-CDD1-440B-B7D5-31E24799D47A}"/>
    <cellStyle name="Normal 2 5 4 4 4 3" xfId="18554" xr:uid="{4653877A-9B4E-4EC4-8005-71E323CB1FAB}"/>
    <cellStyle name="Normal 2 5 4 4 5" xfId="27973" xr:uid="{5D7AF4C6-528C-4D0B-BC8E-990E5C3DF851}"/>
    <cellStyle name="Normal 2 5 4 4 6" xfId="19526" xr:uid="{A552549A-CDB9-4D8D-84B3-DEE52029024B}"/>
    <cellStyle name="Normal 2 5 4 4 7" xfId="10229" xr:uid="{0C5988E2-4A20-4BDA-B67D-264B11C4C4DA}"/>
    <cellStyle name="Normal 2 5 4 5" xfId="1226" xr:uid="{00000000-0005-0000-0000-000056110000}"/>
    <cellStyle name="Normal 2 5 4 5 2" xfId="3456" xr:uid="{00000000-0005-0000-0000-000057110000}"/>
    <cellStyle name="Normal 2 5 4 5 2 2" xfId="7678" xr:uid="{00000000-0005-0000-0000-000058110000}"/>
    <cellStyle name="Normal 2 5 4 5 2 2 2" xfId="43196" xr:uid="{C738240D-6BA0-4FC1-8558-EFFBE8476DE2}"/>
    <cellStyle name="Normal 2 5 4 5 2 2 3" xfId="34749" xr:uid="{8CDDD79B-FE97-497E-BAB0-22D1A19DAF1A}"/>
    <cellStyle name="Normal 2 5 4 5 2 2 4" xfId="26301" xr:uid="{5F825E2E-5613-40DE-BCC1-1B32DCB10A65}"/>
    <cellStyle name="Normal 2 5 4 5 2 2 5" xfId="17004" xr:uid="{F62CBEE5-756E-4BC0-98CD-F89EC8126A19}"/>
    <cellStyle name="Normal 2 5 4 5 2 3" xfId="38979" xr:uid="{AF0FF2C2-838F-4137-B085-05846A3B8CE6}"/>
    <cellStyle name="Normal 2 5 4 5 2 4" xfId="30531" xr:uid="{3A723D82-FA59-4F47-A5A3-0E1144BDA404}"/>
    <cellStyle name="Normal 2 5 4 5 2 5" xfId="22084" xr:uid="{498BDF44-226B-49E0-B865-775E3E843777}"/>
    <cellStyle name="Normal 2 5 4 5 2 6" xfId="12787" xr:uid="{C35DE972-60B9-4585-9D60-BEF87C00F031}"/>
    <cellStyle name="Normal 2 5 4 5 3" xfId="5533" xr:uid="{00000000-0005-0000-0000-000059110000}"/>
    <cellStyle name="Normal 2 5 4 5 3 2" xfId="41051" xr:uid="{9C64E92B-4EBC-4FD6-A9B6-93141AAA2D1B}"/>
    <cellStyle name="Normal 2 5 4 5 3 3" xfId="32604" xr:uid="{B1E270F6-05E4-48F1-8CA6-CBD862D88739}"/>
    <cellStyle name="Normal 2 5 4 5 3 4" xfId="24156" xr:uid="{29D6AB26-3593-47F7-91CF-B18D43C0341F}"/>
    <cellStyle name="Normal 2 5 4 5 3 5" xfId="14859" xr:uid="{791D0932-A654-46B5-9091-DF95E6CF1B54}"/>
    <cellStyle name="Normal 2 5 4 5 4" xfId="36834" xr:uid="{410E7758-7554-486B-8BB0-74D157F5546F}"/>
    <cellStyle name="Normal 2 5 4 5 5" xfId="28386" xr:uid="{CC9F8CD2-3A53-4CAB-A6CD-6647DFE54B6C}"/>
    <cellStyle name="Normal 2 5 4 5 6" xfId="19939" xr:uid="{31C83A29-B5D9-438E-A7A3-72DF2E0EBC08}"/>
    <cellStyle name="Normal 2 5 4 5 7" xfId="10642" xr:uid="{7DE6860F-E9E0-465B-BCC9-5669189C7F84}"/>
    <cellStyle name="Normal 2 5 4 6" xfId="1639" xr:uid="{00000000-0005-0000-0000-00005A110000}"/>
    <cellStyle name="Normal 2 5 4 6 2" xfId="3869" xr:uid="{00000000-0005-0000-0000-00005B110000}"/>
    <cellStyle name="Normal 2 5 4 6 2 2" xfId="8091" xr:uid="{00000000-0005-0000-0000-00005C110000}"/>
    <cellStyle name="Normal 2 5 4 6 2 2 2" xfId="43609" xr:uid="{E74D466F-AD8E-40CD-A101-CC326B6FC3D7}"/>
    <cellStyle name="Normal 2 5 4 6 2 2 3" xfId="35162" xr:uid="{6AD4EFFF-F25C-4204-AC19-96E7E349F296}"/>
    <cellStyle name="Normal 2 5 4 6 2 2 4" xfId="26714" xr:uid="{636FE72E-F11D-4AA4-AC1B-AFB5268BB994}"/>
    <cellStyle name="Normal 2 5 4 6 2 2 5" xfId="17417" xr:uid="{F4D83E0D-1FB0-4486-8707-7BA0294A7A6C}"/>
    <cellStyle name="Normal 2 5 4 6 2 3" xfId="39392" xr:uid="{54770013-2E63-4D54-BCD3-2108CEA8A9DB}"/>
    <cellStyle name="Normal 2 5 4 6 2 4" xfId="30944" xr:uid="{91A27CFD-4C17-4150-BD68-A22C6194C9D1}"/>
    <cellStyle name="Normal 2 5 4 6 2 5" xfId="22497" xr:uid="{41B6E9E3-223F-40B4-85BA-868C002A349E}"/>
    <cellStyle name="Normal 2 5 4 6 2 6" xfId="13200" xr:uid="{89601369-77A6-4872-AB4D-5B2CB6B5C9FC}"/>
    <cellStyle name="Normal 2 5 4 6 3" xfId="5946" xr:uid="{00000000-0005-0000-0000-00005D110000}"/>
    <cellStyle name="Normal 2 5 4 6 3 2" xfId="41464" xr:uid="{27E5F157-DC67-484C-9E6C-5333F36FFB03}"/>
    <cellStyle name="Normal 2 5 4 6 3 3" xfId="33017" xr:uid="{C7A54F63-B600-41A8-9939-3FBBE6A613B8}"/>
    <cellStyle name="Normal 2 5 4 6 3 4" xfId="24569" xr:uid="{5BD71288-06B3-404F-B851-2F6DCD3DE96D}"/>
    <cellStyle name="Normal 2 5 4 6 3 5" xfId="15272" xr:uid="{9506444C-7156-4485-9FB5-1FA51B7E18D9}"/>
    <cellStyle name="Normal 2 5 4 6 4" xfId="37247" xr:uid="{1F541DB7-E14C-4F4E-9462-E7B64205180C}"/>
    <cellStyle name="Normal 2 5 4 6 5" xfId="28799" xr:uid="{A71C4AAC-EA01-491E-83A3-4E97C2487297}"/>
    <cellStyle name="Normal 2 5 4 6 6" xfId="20352" xr:uid="{7BCF84DE-9538-4867-B79B-0F05DF473381}"/>
    <cellStyle name="Normal 2 5 4 6 7" xfId="11055" xr:uid="{D3F03F5C-1995-459B-AEAC-3CC577087E3E}"/>
    <cellStyle name="Normal 2 5 4 7" xfId="2053" xr:uid="{00000000-0005-0000-0000-00005E110000}"/>
    <cellStyle name="Normal 2 5 4 7 2" xfId="4282" xr:uid="{00000000-0005-0000-0000-00005F110000}"/>
    <cellStyle name="Normal 2 5 4 7 2 2" xfId="8504" xr:uid="{00000000-0005-0000-0000-000060110000}"/>
    <cellStyle name="Normal 2 5 4 7 2 2 2" xfId="44022" xr:uid="{BB3B0DE2-2E89-4C47-95BE-E9977F34C734}"/>
    <cellStyle name="Normal 2 5 4 7 2 2 3" xfId="35575" xr:uid="{C07F798B-42E4-44E1-BC82-2581AC10A2B7}"/>
    <cellStyle name="Normal 2 5 4 7 2 2 4" xfId="27127" xr:uid="{E19CD2A8-13D8-4327-A16B-137CBC3C8659}"/>
    <cellStyle name="Normal 2 5 4 7 2 2 5" xfId="17830" xr:uid="{3095AB7B-1785-472A-892B-3EB50F4879A8}"/>
    <cellStyle name="Normal 2 5 4 7 2 3" xfId="39805" xr:uid="{60689D80-FEC4-4463-805F-6A87CFB118E6}"/>
    <cellStyle name="Normal 2 5 4 7 2 4" xfId="31357" xr:uid="{0CB9F265-326E-435E-9489-F3E2E26B9BE1}"/>
    <cellStyle name="Normal 2 5 4 7 2 5" xfId="22910" xr:uid="{3EDB4426-5055-454D-AD0B-8B75FF9E54BC}"/>
    <cellStyle name="Normal 2 5 4 7 2 6" xfId="13613" xr:uid="{46CCC0FD-3AB8-4FED-9ABF-4D73DBA0625D}"/>
    <cellStyle name="Normal 2 5 4 7 3" xfId="6359" xr:uid="{00000000-0005-0000-0000-000061110000}"/>
    <cellStyle name="Normal 2 5 4 7 3 2" xfId="41877" xr:uid="{66CF09CF-DD8E-4776-B863-26535B89FF2B}"/>
    <cellStyle name="Normal 2 5 4 7 3 3" xfId="33430" xr:uid="{7E286014-FE79-4E4D-851D-203CF93CBCF9}"/>
    <cellStyle name="Normal 2 5 4 7 3 4" xfId="24982" xr:uid="{D601EC50-7335-4EA8-BA9D-5C4533F2AEFE}"/>
    <cellStyle name="Normal 2 5 4 7 3 5" xfId="15685" xr:uid="{9831D1B1-7410-44F7-929C-5BCE3BA8C6F2}"/>
    <cellStyle name="Normal 2 5 4 7 4" xfId="37660" xr:uid="{3DEF730C-3A33-4E50-BCD7-F357C5E8EEC9}"/>
    <cellStyle name="Normal 2 5 4 7 5" xfId="29212" xr:uid="{C57D796A-16BB-4DA5-8FCC-EB6B51870339}"/>
    <cellStyle name="Normal 2 5 4 7 6" xfId="20765" xr:uid="{879B1CB6-30E5-4063-850C-5B3CA0E233C2}"/>
    <cellStyle name="Normal 2 5 4 7 7" xfId="11468" xr:uid="{038FBB95-293D-4C4D-A2D3-941C3C6F8CF1}"/>
    <cellStyle name="Normal 2 5 4 8" xfId="2489" xr:uid="{00000000-0005-0000-0000-000062110000}"/>
    <cellStyle name="Normal 2 5 4 8 2" xfId="6772" xr:uid="{00000000-0005-0000-0000-000063110000}"/>
    <cellStyle name="Normal 2 5 4 8 2 2" xfId="42290" xr:uid="{F30F5E03-933D-4501-BDAE-2EA775EB0F5B}"/>
    <cellStyle name="Normal 2 5 4 8 2 3" xfId="33843" xr:uid="{598AFBAD-40DF-4306-900D-DDD490DEB9B6}"/>
    <cellStyle name="Normal 2 5 4 8 2 4" xfId="25395" xr:uid="{4E31E9B5-A3F7-4DCA-ABBB-E076130313FC}"/>
    <cellStyle name="Normal 2 5 4 8 2 5" xfId="16098" xr:uid="{A546CC5B-E983-4C09-B781-D7580F27378E}"/>
    <cellStyle name="Normal 2 5 4 8 3" xfId="38073" xr:uid="{E39B92F1-F04B-447F-A4FC-44A7F00268E5}"/>
    <cellStyle name="Normal 2 5 4 8 4" xfId="29625" xr:uid="{E9F8C419-2803-45CA-B889-B4A380B75F83}"/>
    <cellStyle name="Normal 2 5 4 8 5" xfId="21178" xr:uid="{2DD4C7BF-8163-4975-B187-78D4F03FDE77}"/>
    <cellStyle name="Normal 2 5 4 8 6" xfId="11881" xr:uid="{AF5B6695-C080-4793-BF54-D87A1A087210}"/>
    <cellStyle name="Normal 2 5 4 9" xfId="4706" xr:uid="{00000000-0005-0000-0000-000064110000}"/>
    <cellStyle name="Normal 2 5 4 9 2" xfId="40224" xr:uid="{A28C3C07-E4A3-4C12-82B3-A4CE14667D88}"/>
    <cellStyle name="Normal 2 5 4 9 3" xfId="31777" xr:uid="{215BFE81-7CA4-4582-B25D-B435A7C89EF3}"/>
    <cellStyle name="Normal 2 5 4 9 4" xfId="23329" xr:uid="{1F030027-7719-4BFF-990B-C9A979DC8B0A}"/>
    <cellStyle name="Normal 2 5 4 9 5" xfId="14032" xr:uid="{155F8853-AEA3-4281-92D4-16DA6F3BEB80}"/>
    <cellStyle name="Normal 2 5 5" xfId="803" xr:uid="{00000000-0005-0000-0000-000065110000}"/>
    <cellStyle name="Normal 2 5 5 2" xfId="3042" xr:uid="{00000000-0005-0000-0000-000066110000}"/>
    <cellStyle name="Normal 2 5 5 2 2" xfId="7264" xr:uid="{00000000-0005-0000-0000-000067110000}"/>
    <cellStyle name="Normal 2 5 5 2 2 2" xfId="42782" xr:uid="{30EE6BD5-B45F-4AC6-A574-739AC14C37A6}"/>
    <cellStyle name="Normal 2 5 5 2 2 3" xfId="34335" xr:uid="{5060C7BA-431F-4EFE-846C-B2F2BEA395CF}"/>
    <cellStyle name="Normal 2 5 5 2 2 4" xfId="25887" xr:uid="{C6A7C8E6-2577-4771-B90B-DF8D42DCC471}"/>
    <cellStyle name="Normal 2 5 5 2 2 5" xfId="16590" xr:uid="{EA6EB346-91DF-44DF-AC41-4BF9E2D5E7CF}"/>
    <cellStyle name="Normal 2 5 5 2 3" xfId="38565" xr:uid="{C6D5E013-3444-4EB7-B995-303652BC6121}"/>
    <cellStyle name="Normal 2 5 5 2 4" xfId="30117" xr:uid="{AFDBB503-5766-4208-A01B-629B67B347C2}"/>
    <cellStyle name="Normal 2 5 5 2 5" xfId="21670" xr:uid="{DF8E17F0-75A9-4FED-A7D8-EF35B75CFA9D}"/>
    <cellStyle name="Normal 2 5 5 2 6" xfId="12373" xr:uid="{E5929A6D-0CB7-4CEC-B855-BFFAB77D7372}"/>
    <cellStyle name="Normal 2 5 5 3" xfId="5119" xr:uid="{00000000-0005-0000-0000-000068110000}"/>
    <cellStyle name="Normal 2 5 5 3 2" xfId="40637" xr:uid="{51F51077-B2C5-4F84-9A8A-EA3CE9066FF0}"/>
    <cellStyle name="Normal 2 5 5 3 3" xfId="32190" xr:uid="{71778B44-6A20-414C-B277-3B3EDF15C367}"/>
    <cellStyle name="Normal 2 5 5 3 4" xfId="23742" xr:uid="{4DF4D39D-8224-458C-A5F7-5A496F04421E}"/>
    <cellStyle name="Normal 2 5 5 3 5" xfId="14445" xr:uid="{5F924BCD-4FE1-46B3-A5E0-FD4DE32FE1FC}"/>
    <cellStyle name="Normal 2 5 5 4" xfId="9606" xr:uid="{3AE4D77A-44EE-40C2-9F71-05FBDE2746B2}"/>
    <cellStyle name="Normal 2 5 5 4 2" xfId="36420" xr:uid="{831F9853-5A11-401D-8B68-75B9533753D0}"/>
    <cellStyle name="Normal 2 5 5 4 3" xfId="18905" xr:uid="{9B4FDD28-D523-409B-9624-4B8163136701}"/>
    <cellStyle name="Normal 2 5 5 5" xfId="27972" xr:uid="{BBC72693-B2E9-4074-B86B-D6F9356361B8}"/>
    <cellStyle name="Normal 2 5 5 6" xfId="19525" xr:uid="{D9430456-E31D-4E8D-8C54-585118F50784}"/>
    <cellStyle name="Normal 2 5 5 7" xfId="10228" xr:uid="{9EEE0504-DE6D-48FE-9DF4-AC77E723796C}"/>
    <cellStyle name="Normal 2 5 6" xfId="1225" xr:uid="{00000000-0005-0000-0000-000069110000}"/>
    <cellStyle name="Normal 2 5 6 2" xfId="3455" xr:uid="{00000000-0005-0000-0000-00006A110000}"/>
    <cellStyle name="Normal 2 5 6 2 2" xfId="7677" xr:uid="{00000000-0005-0000-0000-00006B110000}"/>
    <cellStyle name="Normal 2 5 6 2 2 2" xfId="43195" xr:uid="{7D6BBDCD-278D-4D82-8B53-1FAE202FA0EE}"/>
    <cellStyle name="Normal 2 5 6 2 2 3" xfId="34748" xr:uid="{756F64A2-B702-44FB-A135-1E02290825A1}"/>
    <cellStyle name="Normal 2 5 6 2 2 4" xfId="26300" xr:uid="{3252CED6-E401-4704-914E-4EB257DBD7C1}"/>
    <cellStyle name="Normal 2 5 6 2 2 5" xfId="17003" xr:uid="{347798D7-6CC2-43AD-AC2E-62837E9A7BEC}"/>
    <cellStyle name="Normal 2 5 6 2 3" xfId="38978" xr:uid="{F45C4CD4-CBBD-48AA-B619-91382507E6DA}"/>
    <cellStyle name="Normal 2 5 6 2 4" xfId="30530" xr:uid="{E30D358A-0249-44D3-A56B-03BC94AD5ECD}"/>
    <cellStyle name="Normal 2 5 6 2 5" xfId="22083" xr:uid="{78DFA3A2-254F-4801-920F-A9DB96156C32}"/>
    <cellStyle name="Normal 2 5 6 2 6" xfId="12786" xr:uid="{EBBFD5C0-EA0A-4687-AB5D-924EB06B6AE7}"/>
    <cellStyle name="Normal 2 5 6 3" xfId="5532" xr:uid="{00000000-0005-0000-0000-00006C110000}"/>
    <cellStyle name="Normal 2 5 6 3 2" xfId="41050" xr:uid="{4F55D85A-EBBF-419F-91F8-581E11BA820A}"/>
    <cellStyle name="Normal 2 5 6 3 3" xfId="32603" xr:uid="{DEC25472-7D27-49D1-8344-CF597BBD8887}"/>
    <cellStyle name="Normal 2 5 6 3 4" xfId="24155" xr:uid="{27B613A1-6E84-4045-8EED-C0C68A9DEB60}"/>
    <cellStyle name="Normal 2 5 6 3 5" xfId="14858" xr:uid="{2456AFC4-30EF-414E-8276-BE76C4BBD18A}"/>
    <cellStyle name="Normal 2 5 6 4" xfId="36833" xr:uid="{BD29509B-4CCD-4CC9-9CC0-426D2F67CAC3}"/>
    <cellStyle name="Normal 2 5 6 5" xfId="28385" xr:uid="{3B5F4DE6-A508-4894-9EF9-FE4F31215C5E}"/>
    <cellStyle name="Normal 2 5 6 6" xfId="19938" xr:uid="{ED9344E5-2A6A-4B09-A539-C6C44300BC0F}"/>
    <cellStyle name="Normal 2 5 6 7" xfId="10641" xr:uid="{1DE9BD50-1631-4DFC-B1DB-F54E64B98164}"/>
    <cellStyle name="Normal 2 5 7" xfId="1638" xr:uid="{00000000-0005-0000-0000-00006D110000}"/>
    <cellStyle name="Normal 2 5 7 2" xfId="3868" xr:uid="{00000000-0005-0000-0000-00006E110000}"/>
    <cellStyle name="Normal 2 5 7 2 2" xfId="8090" xr:uid="{00000000-0005-0000-0000-00006F110000}"/>
    <cellStyle name="Normal 2 5 7 2 2 2" xfId="43608" xr:uid="{D8F1FFE4-5845-4020-9DA0-9EF15EC99AD8}"/>
    <cellStyle name="Normal 2 5 7 2 2 3" xfId="35161" xr:uid="{143823EF-184D-472F-9843-9F1CBF96D8B5}"/>
    <cellStyle name="Normal 2 5 7 2 2 4" xfId="26713" xr:uid="{E408712E-A917-4A65-806F-3781871CD6FB}"/>
    <cellStyle name="Normal 2 5 7 2 2 5" xfId="17416" xr:uid="{C3ACCBD9-2FBE-483E-9235-6DDB1D4B9D7C}"/>
    <cellStyle name="Normal 2 5 7 2 3" xfId="39391" xr:uid="{05ABF744-DD46-40FD-88CE-A451E6577DFD}"/>
    <cellStyle name="Normal 2 5 7 2 4" xfId="30943" xr:uid="{3FCDCA10-CE22-49CE-AD4E-38A5F3B3011F}"/>
    <cellStyle name="Normal 2 5 7 2 5" xfId="22496" xr:uid="{2DB381CE-178D-4B1F-9235-B843240C2D6F}"/>
    <cellStyle name="Normal 2 5 7 2 6" xfId="13199" xr:uid="{0CE7CAAB-DAD3-4473-8D9B-B587879A4063}"/>
    <cellStyle name="Normal 2 5 7 3" xfId="5945" xr:uid="{00000000-0005-0000-0000-000070110000}"/>
    <cellStyle name="Normal 2 5 7 3 2" xfId="41463" xr:uid="{170CB65D-380D-4CC9-8B1C-6F93FBF365EF}"/>
    <cellStyle name="Normal 2 5 7 3 3" xfId="33016" xr:uid="{6690792C-CE6A-4002-A3EA-0BA26A62C3EB}"/>
    <cellStyle name="Normal 2 5 7 3 4" xfId="24568" xr:uid="{4D4FF28E-FF2B-48CB-9B1B-B12039D66AC9}"/>
    <cellStyle name="Normal 2 5 7 3 5" xfId="15271" xr:uid="{087BDAED-78BD-42F4-9EED-390B21826441}"/>
    <cellStyle name="Normal 2 5 7 4" xfId="37246" xr:uid="{64FC23A0-A3BA-4606-A101-E4CABF854146}"/>
    <cellStyle name="Normal 2 5 7 5" xfId="28798" xr:uid="{A33F557E-7B13-43E8-B94F-B47378E2B7D7}"/>
    <cellStyle name="Normal 2 5 7 6" xfId="20351" xr:uid="{B109F637-C3B1-4EBF-B431-B59F0E7B9FF5}"/>
    <cellStyle name="Normal 2 5 7 7" xfId="11054" xr:uid="{C4F8E135-E100-4870-B5FB-BD12D86131B4}"/>
    <cellStyle name="Normal 2 5 8" xfId="2052" xr:uid="{00000000-0005-0000-0000-000071110000}"/>
    <cellStyle name="Normal 2 5 8 2" xfId="4281" xr:uid="{00000000-0005-0000-0000-000072110000}"/>
    <cellStyle name="Normal 2 5 8 2 2" xfId="8503" xr:uid="{00000000-0005-0000-0000-000073110000}"/>
    <cellStyle name="Normal 2 5 8 2 2 2" xfId="44021" xr:uid="{8D5C401B-B8B4-4EAF-8FCC-511BFC585002}"/>
    <cellStyle name="Normal 2 5 8 2 2 3" xfId="35574" xr:uid="{3B6A2B08-084D-4FC0-A8E5-1F834C71AE4D}"/>
    <cellStyle name="Normal 2 5 8 2 2 4" xfId="27126" xr:uid="{CC0F6222-C985-4EDF-87A9-CB47D1DFBCC1}"/>
    <cellStyle name="Normal 2 5 8 2 2 5" xfId="17829" xr:uid="{DDAD0F66-5204-4D5B-8A78-352939812862}"/>
    <cellStyle name="Normal 2 5 8 2 3" xfId="39804" xr:uid="{B42DCF7E-8BF0-4B86-9AD9-73F2B8EEFEB4}"/>
    <cellStyle name="Normal 2 5 8 2 4" xfId="31356" xr:uid="{0F8D5A32-C213-4A6C-B38A-4D388B20A5F2}"/>
    <cellStyle name="Normal 2 5 8 2 5" xfId="22909" xr:uid="{8B11E8DB-46BD-4959-84C8-27E3542F3CD9}"/>
    <cellStyle name="Normal 2 5 8 2 6" xfId="13612" xr:uid="{CCDF1DB5-8F25-464B-8A1E-E04357F27C47}"/>
    <cellStyle name="Normal 2 5 8 3" xfId="6358" xr:uid="{00000000-0005-0000-0000-000074110000}"/>
    <cellStyle name="Normal 2 5 8 3 2" xfId="41876" xr:uid="{6080F5E0-7C44-4B24-A9C5-E2CBD0E83AB6}"/>
    <cellStyle name="Normal 2 5 8 3 3" xfId="33429" xr:uid="{326F99FA-A030-48E4-8D6D-86690930B9E6}"/>
    <cellStyle name="Normal 2 5 8 3 4" xfId="24981" xr:uid="{F3543046-BCEA-41A6-A8BD-364E7C0D4469}"/>
    <cellStyle name="Normal 2 5 8 3 5" xfId="15684" xr:uid="{71147C80-E8DE-4F06-9A7F-5B240966737B}"/>
    <cellStyle name="Normal 2 5 8 4" xfId="37659" xr:uid="{5CEABE45-FF0B-4B47-A1E0-2F9D31A5232C}"/>
    <cellStyle name="Normal 2 5 8 5" xfId="29211" xr:uid="{58106E77-EF65-4308-AF13-BC0E8E0052ED}"/>
    <cellStyle name="Normal 2 5 8 6" xfId="20764" xr:uid="{60B27892-2BCC-468A-ACD6-8C30E5381CE7}"/>
    <cellStyle name="Normal 2 5 8 7" xfId="11467" xr:uid="{B78E9D0F-3DA6-43BF-AAF1-4F58FDBBE16D}"/>
    <cellStyle name="Normal 2 5 9" xfId="2488" xr:uid="{00000000-0005-0000-0000-000075110000}"/>
    <cellStyle name="Normal 2 5 9 2" xfId="6771" xr:uid="{00000000-0005-0000-0000-000076110000}"/>
    <cellStyle name="Normal 2 5 9 2 2" xfId="42289" xr:uid="{B208805D-E793-4BCF-8FBD-01CC8355A1A7}"/>
    <cellStyle name="Normal 2 5 9 2 3" xfId="33842" xr:uid="{8F70652F-CCC8-44E7-A66B-0CC5905A81F9}"/>
    <cellStyle name="Normal 2 5 9 2 4" xfId="25394" xr:uid="{CAF18B31-2D57-42E8-89AF-5B93C8FE78B6}"/>
    <cellStyle name="Normal 2 5 9 2 5" xfId="16097" xr:uid="{DC0426FB-CBE5-47E5-8DC4-0F387AC5F94B}"/>
    <cellStyle name="Normal 2 5 9 3" xfId="38072" xr:uid="{5E9410A4-87AA-4571-B89E-F3D7665B58FA}"/>
    <cellStyle name="Normal 2 5 9 4" xfId="29624" xr:uid="{6E19C1F9-37B0-4438-9E77-E3590E13D3E6}"/>
    <cellStyle name="Normal 2 5 9 5" xfId="21177" xr:uid="{617E3731-FB97-4B13-9370-7605C548740D}"/>
    <cellStyle name="Normal 2 5 9 6" xfId="11880" xr:uid="{02C35AA3-D25A-4BD0-9FC9-CDFECABE3288}"/>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 8 3" xfId="31568" xr:uid="{B860CA8D-9735-4055-AE02-B7827774BEC0}"/>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10" xfId="36011" xr:uid="{660B6ED8-A44F-4040-955B-E8E9F54EEF22}"/>
    <cellStyle name="Normal 3 2 11" xfId="27563" xr:uid="{81728752-BC9A-4932-8533-5FE7589AD0EF}"/>
    <cellStyle name="Normal 3 2 12" xfId="19116" xr:uid="{53D02CF2-CD04-4A8D-A64B-E6642A31B91D}"/>
    <cellStyle name="Normal 3 2 13" xfId="9819" xr:uid="{79B2D784-60C3-482F-8E41-F57C59B62BDF}"/>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10 2" xfId="36012" xr:uid="{93975A95-C012-47E0-985A-CBFB70DBAD38}"/>
    <cellStyle name="Normal 3 2 3 10 3" xfId="18140" xr:uid="{DC4FC829-CF5D-4EEB-A7CD-8145786F1AD2}"/>
    <cellStyle name="Normal 3 2 3 11" xfId="27564" xr:uid="{9489B300-FC14-474C-8F13-2E3D515B1A7E}"/>
    <cellStyle name="Normal 3 2 3 12" xfId="19117" xr:uid="{DCE4809D-8A10-406F-92C1-68F5324ED11D}"/>
    <cellStyle name="Normal 3 2 3 13" xfId="9820" xr:uid="{C84C6BF9-86FF-44D2-ADFB-D9EE5C633D39}"/>
    <cellStyle name="Normal 3 2 3 2" xfId="327" xr:uid="{00000000-0005-0000-0000-00007F110000}"/>
    <cellStyle name="Normal 3 2 3 2 10" xfId="27565" xr:uid="{7B164AA9-5AEF-425D-BCE9-23C71C64CA32}"/>
    <cellStyle name="Normal 3 2 3 2 11" xfId="19118" xr:uid="{BDF8D588-8287-4AB8-9448-363FDB61C5E7}"/>
    <cellStyle name="Normal 3 2 3 2 12" xfId="9821" xr:uid="{5E369843-AFAB-4509-BEF1-6C74487C5CAB}"/>
    <cellStyle name="Normal 3 2 3 2 2" xfId="328" xr:uid="{00000000-0005-0000-0000-000080110000}"/>
    <cellStyle name="Normal 3 2 3 2 2 10" xfId="19119" xr:uid="{01F4DD1D-608D-4494-ADA9-BA8E5D2C8E91}"/>
    <cellStyle name="Normal 3 2 3 2 2 11" xfId="9822" xr:uid="{83364EE5-FB04-4BBD-9B98-74744980E57B}"/>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42790" xr:uid="{B181E399-29A3-4FF6-8184-4000BF8D9F1F}"/>
    <cellStyle name="Normal 3 2 3 2 2 2 2 2 3" xfId="34343" xr:uid="{64042AF4-81D2-4E12-8E5D-0ED287F18F2F}"/>
    <cellStyle name="Normal 3 2 3 2 2 2 2 2 4" xfId="25895" xr:uid="{A533624B-9379-4ED6-B093-AC5748C52D6C}"/>
    <cellStyle name="Normal 3 2 3 2 2 2 2 2 5" xfId="16598" xr:uid="{4E15152C-167F-4665-93D3-88D6A205FBCD}"/>
    <cellStyle name="Normal 3 2 3 2 2 2 2 3" xfId="38573" xr:uid="{62316AB7-FE29-4D31-89B3-3C16A147B882}"/>
    <cellStyle name="Normal 3 2 3 2 2 2 2 4" xfId="30125" xr:uid="{76CC6900-4493-4E91-B6A6-F95B808EF5D5}"/>
    <cellStyle name="Normal 3 2 3 2 2 2 2 5" xfId="21678" xr:uid="{6210336E-C131-4354-8EA7-FF822A6BBEAF}"/>
    <cellStyle name="Normal 3 2 3 2 2 2 2 6" xfId="12381" xr:uid="{9001D03E-3EFE-494E-BA9E-A33F51FADBAF}"/>
    <cellStyle name="Normal 3 2 3 2 2 2 3" xfId="5127" xr:uid="{00000000-0005-0000-0000-000084110000}"/>
    <cellStyle name="Normal 3 2 3 2 2 2 3 2" xfId="40645" xr:uid="{B085702E-072B-4520-989F-6BA7B5282EB9}"/>
    <cellStyle name="Normal 3 2 3 2 2 2 3 3" xfId="32198" xr:uid="{07D9EFA8-C0FC-45D0-AB9B-7A880EDCC932}"/>
    <cellStyle name="Normal 3 2 3 2 2 2 3 4" xfId="23750" xr:uid="{A66EEFB9-F30E-40D0-8C70-0B57ECE54796}"/>
    <cellStyle name="Normal 3 2 3 2 2 2 3 5" xfId="14453" xr:uid="{7788828B-CA0D-488B-89B4-2FBB6D87396F}"/>
    <cellStyle name="Normal 3 2 3 2 2 2 4" xfId="9552" xr:uid="{54198C1B-8B77-4C07-BFED-28C4D4E00A0C}"/>
    <cellStyle name="Normal 3 2 3 2 2 2 4 2" xfId="36428" xr:uid="{D4622849-225E-4B60-8CE2-34011110524F}"/>
    <cellStyle name="Normal 3 2 3 2 2 2 4 3" xfId="18865" xr:uid="{DEAEBC92-D5E1-4E8F-B4F7-C6D05E66AF60}"/>
    <cellStyle name="Normal 3 2 3 2 2 2 5" xfId="27980" xr:uid="{5495DAA1-1DB0-4CE6-933B-722163A75963}"/>
    <cellStyle name="Normal 3 2 3 2 2 2 6" xfId="19533" xr:uid="{4326E8E7-A29F-43FB-8201-44209264DB8D}"/>
    <cellStyle name="Normal 3 2 3 2 2 2 7" xfId="10236" xr:uid="{6EF0D32F-96A3-49C9-B530-ED6E0A0232E2}"/>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43203" xr:uid="{0CA4C87D-7A08-422B-8451-049939215831}"/>
    <cellStyle name="Normal 3 2 3 2 2 3 2 2 3" xfId="34756" xr:uid="{C982091D-844D-4875-972A-0453C2CCF596}"/>
    <cellStyle name="Normal 3 2 3 2 2 3 2 2 4" xfId="26308" xr:uid="{54E42854-5C69-40EE-BEED-29301F29860C}"/>
    <cellStyle name="Normal 3 2 3 2 2 3 2 2 5" xfId="17011" xr:uid="{A61AD735-7C6F-4C43-901E-13A6520713CC}"/>
    <cellStyle name="Normal 3 2 3 2 2 3 2 3" xfId="38986" xr:uid="{D26BB87D-939F-4AC1-815F-1748CBF6BA8A}"/>
    <cellStyle name="Normal 3 2 3 2 2 3 2 4" xfId="30538" xr:uid="{16E6EA24-17D2-4EC6-AED7-E45859AB7327}"/>
    <cellStyle name="Normal 3 2 3 2 2 3 2 5" xfId="22091" xr:uid="{E6520478-4F9C-4562-88FE-03E00563FE6E}"/>
    <cellStyle name="Normal 3 2 3 2 2 3 2 6" xfId="12794" xr:uid="{F08D487C-60CF-45C2-9DCC-B0E68B1581AC}"/>
    <cellStyle name="Normal 3 2 3 2 2 3 3" xfId="5540" xr:uid="{00000000-0005-0000-0000-000088110000}"/>
    <cellStyle name="Normal 3 2 3 2 2 3 3 2" xfId="41058" xr:uid="{EAB8D63B-1DF1-4F9E-8359-E1BDE8325D92}"/>
    <cellStyle name="Normal 3 2 3 2 2 3 3 3" xfId="32611" xr:uid="{70F22AEA-75EC-4AFD-9463-7BD2EFD0C65B}"/>
    <cellStyle name="Normal 3 2 3 2 2 3 3 4" xfId="24163" xr:uid="{05EC3839-7386-433A-9CBD-E67FD67B854F}"/>
    <cellStyle name="Normal 3 2 3 2 2 3 3 5" xfId="14866" xr:uid="{C0A78AD6-4AFD-4DE1-AA38-7498547AB561}"/>
    <cellStyle name="Normal 3 2 3 2 2 3 4" xfId="36841" xr:uid="{13D3FD9D-5822-4C65-B4E1-065E8E58DE8C}"/>
    <cellStyle name="Normal 3 2 3 2 2 3 5" xfId="28393" xr:uid="{07933DC8-7737-40C7-9632-7E40994DE15C}"/>
    <cellStyle name="Normal 3 2 3 2 2 3 6" xfId="19946" xr:uid="{C0C9DEF8-5164-4FC7-86DA-3931D5502AD5}"/>
    <cellStyle name="Normal 3 2 3 2 2 3 7" xfId="10649" xr:uid="{8CD0A088-B15F-47D7-AC60-EA3D8D92BCFF}"/>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43616" xr:uid="{B7DF4F0F-8F44-4A1F-A944-745AA0B82036}"/>
    <cellStyle name="Normal 3 2 3 2 2 4 2 2 3" xfId="35169" xr:uid="{00531FF2-AC33-4EAD-BD4F-7FF4EC4840A8}"/>
    <cellStyle name="Normal 3 2 3 2 2 4 2 2 4" xfId="26721" xr:uid="{9BD9AC2B-09C4-46AF-A7DA-AEA1349A0A7D}"/>
    <cellStyle name="Normal 3 2 3 2 2 4 2 2 5" xfId="17424" xr:uid="{ECE0CCB6-930D-41B0-8340-E2F0422127BF}"/>
    <cellStyle name="Normal 3 2 3 2 2 4 2 3" xfId="39399" xr:uid="{600AF631-861E-4B66-ABDB-D70746B736F4}"/>
    <cellStyle name="Normal 3 2 3 2 2 4 2 4" xfId="30951" xr:uid="{E4A76216-61C9-4D05-960A-A2F4583EFCE4}"/>
    <cellStyle name="Normal 3 2 3 2 2 4 2 5" xfId="22504" xr:uid="{974A9E56-BA0E-42F5-920E-17379B2C5D8E}"/>
    <cellStyle name="Normal 3 2 3 2 2 4 2 6" xfId="13207" xr:uid="{02B1A36D-6EBC-4DEE-95AD-C80266D1000A}"/>
    <cellStyle name="Normal 3 2 3 2 2 4 3" xfId="5953" xr:uid="{00000000-0005-0000-0000-00008C110000}"/>
    <cellStyle name="Normal 3 2 3 2 2 4 3 2" xfId="41471" xr:uid="{7010E9DB-7975-48B4-9211-4626851E8389}"/>
    <cellStyle name="Normal 3 2 3 2 2 4 3 3" xfId="33024" xr:uid="{5EADE54D-BB0D-447A-8E04-57B4504A360D}"/>
    <cellStyle name="Normal 3 2 3 2 2 4 3 4" xfId="24576" xr:uid="{6BB72105-28EC-4B35-A34D-AFD3EED86301}"/>
    <cellStyle name="Normal 3 2 3 2 2 4 3 5" xfId="15279" xr:uid="{AB058AE5-9723-4DFE-B1B3-746D58873634}"/>
    <cellStyle name="Normal 3 2 3 2 2 4 4" xfId="37254" xr:uid="{C489BF2F-453C-47B1-A652-43A374E6748A}"/>
    <cellStyle name="Normal 3 2 3 2 2 4 5" xfId="28806" xr:uid="{B5C64521-AE21-492E-9225-342E0BBD81D9}"/>
    <cellStyle name="Normal 3 2 3 2 2 4 6" xfId="20359" xr:uid="{C5C98222-6E3D-4234-B42E-724F58AC5CFD}"/>
    <cellStyle name="Normal 3 2 3 2 2 4 7" xfId="11062" xr:uid="{75E6EECA-DF6C-4CFA-B474-36F93FF15E09}"/>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44029" xr:uid="{AD342257-F648-4074-B22D-6254B5BCF7B2}"/>
    <cellStyle name="Normal 3 2 3 2 2 5 2 2 3" xfId="35582" xr:uid="{24E3BE7F-37B2-4EC2-9413-E0A4DEB8303C}"/>
    <cellStyle name="Normal 3 2 3 2 2 5 2 2 4" xfId="27134" xr:uid="{6240A319-648D-4496-8486-EE4757352D29}"/>
    <cellStyle name="Normal 3 2 3 2 2 5 2 2 5" xfId="17837" xr:uid="{6EE4116A-5BA8-4BD0-9F68-16F0F1F86ABD}"/>
    <cellStyle name="Normal 3 2 3 2 2 5 2 3" xfId="39812" xr:uid="{CCE76AB7-72A6-4E17-B61C-41BF6B82E53A}"/>
    <cellStyle name="Normal 3 2 3 2 2 5 2 4" xfId="31364" xr:uid="{871CDAA5-FB43-4EC4-AC1B-31D80DD9468E}"/>
    <cellStyle name="Normal 3 2 3 2 2 5 2 5" xfId="22917" xr:uid="{E1B72320-DEED-4F0C-A702-FF1F01F593BC}"/>
    <cellStyle name="Normal 3 2 3 2 2 5 2 6" xfId="13620" xr:uid="{AADA1F81-D291-42AA-8BEB-615371036C31}"/>
    <cellStyle name="Normal 3 2 3 2 2 5 3" xfId="6366" xr:uid="{00000000-0005-0000-0000-000090110000}"/>
    <cellStyle name="Normal 3 2 3 2 2 5 3 2" xfId="41884" xr:uid="{A26FCFA2-F8C9-4758-8116-9A24C8433EEA}"/>
    <cellStyle name="Normal 3 2 3 2 2 5 3 3" xfId="33437" xr:uid="{F2116829-774F-48A9-990C-554A82DF98BB}"/>
    <cellStyle name="Normal 3 2 3 2 2 5 3 4" xfId="24989" xr:uid="{D439627A-2AB5-424D-B8E3-434E2DD43B7E}"/>
    <cellStyle name="Normal 3 2 3 2 2 5 3 5" xfId="15692" xr:uid="{75521483-9C8D-4D55-B2BE-D57A59694821}"/>
    <cellStyle name="Normal 3 2 3 2 2 5 4" xfId="37667" xr:uid="{75E695D0-00C6-48EF-910E-DB537D5DCFCD}"/>
    <cellStyle name="Normal 3 2 3 2 2 5 5" xfId="29219" xr:uid="{F01D0205-A961-4280-8D2B-07D36FB6A9EA}"/>
    <cellStyle name="Normal 3 2 3 2 2 5 6" xfId="20772" xr:uid="{08737D74-44B5-4F8F-8BE7-7D34A5688BD8}"/>
    <cellStyle name="Normal 3 2 3 2 2 5 7" xfId="11475" xr:uid="{4E0DFE9B-D2DD-49D4-BF41-EC8BC50DA574}"/>
    <cellStyle name="Normal 3 2 3 2 2 6" xfId="2496" xr:uid="{00000000-0005-0000-0000-000091110000}"/>
    <cellStyle name="Normal 3 2 3 2 2 6 2" xfId="6779" xr:uid="{00000000-0005-0000-0000-000092110000}"/>
    <cellStyle name="Normal 3 2 3 2 2 6 2 2" xfId="42297" xr:uid="{2D75F126-A6B6-4EAE-A8DC-A06E93456DCF}"/>
    <cellStyle name="Normal 3 2 3 2 2 6 2 3" xfId="33850" xr:uid="{05BB4C13-8A47-4548-93E6-FEAD88DBAF02}"/>
    <cellStyle name="Normal 3 2 3 2 2 6 2 4" xfId="25402" xr:uid="{40E08861-17F4-4EDE-BD1B-2039ED01C8E8}"/>
    <cellStyle name="Normal 3 2 3 2 2 6 2 5" xfId="16105" xr:uid="{8707803A-3779-49C2-A2B3-144A09411CB4}"/>
    <cellStyle name="Normal 3 2 3 2 2 6 3" xfId="38080" xr:uid="{7BBC1032-10BB-48AF-8EAF-30B4DA5059A1}"/>
    <cellStyle name="Normal 3 2 3 2 2 6 4" xfId="29632" xr:uid="{BF270AC4-F519-48BB-B1AA-B6274C513C77}"/>
    <cellStyle name="Normal 3 2 3 2 2 6 5" xfId="21185" xr:uid="{8846DC8A-2471-4C49-A597-0D57B1E56829}"/>
    <cellStyle name="Normal 3 2 3 2 2 6 6" xfId="11888" xr:uid="{31C88AE0-0ADA-4422-B239-4FF12FBA66B7}"/>
    <cellStyle name="Normal 3 2 3 2 2 7" xfId="4713" xr:uid="{00000000-0005-0000-0000-000093110000}"/>
    <cellStyle name="Normal 3 2 3 2 2 7 2" xfId="40231" xr:uid="{DCD9EF22-76E4-43AE-AB38-F5D6EBA3EE7C}"/>
    <cellStyle name="Normal 3 2 3 2 2 7 3" xfId="31784" xr:uid="{9F70A119-4A71-442A-9386-D6B0D4171DFA}"/>
    <cellStyle name="Normal 3 2 3 2 2 7 4" xfId="23336" xr:uid="{272A3A0D-F278-48D6-8BD3-94069A58378B}"/>
    <cellStyle name="Normal 3 2 3 2 2 7 5" xfId="14039" xr:uid="{6BD11BBF-0481-4456-BD2E-17FE9CC07AC7}"/>
    <cellStyle name="Normal 3 2 3 2 2 8" xfId="9127" xr:uid="{0583B12A-AAD6-4358-9C0C-42D6EBC3DFD8}"/>
    <cellStyle name="Normal 3 2 3 2 2 8 2" xfId="36014" xr:uid="{589E653C-B85A-4677-875C-6AAB504D7B2E}"/>
    <cellStyle name="Normal 3 2 3 2 2 8 3" xfId="18450" xr:uid="{0AC27BE9-7E19-4616-9CA7-9D4879E38901}"/>
    <cellStyle name="Normal 3 2 3 2 2 9" xfId="27566" xr:uid="{A5C3BC96-A789-4E8D-82F5-5D9A3FC851FB}"/>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42789" xr:uid="{6FF4E56E-77AC-420F-B18D-67E1B95A2D0B}"/>
    <cellStyle name="Normal 3 2 3 2 3 2 2 3" xfId="34342" xr:uid="{706E5246-0AE7-4B1F-9170-0D9B83B59A2B}"/>
    <cellStyle name="Normal 3 2 3 2 3 2 2 4" xfId="25894" xr:uid="{F72E877E-2F83-4297-9EA8-B1CA8BC1B0FF}"/>
    <cellStyle name="Normal 3 2 3 2 3 2 2 5" xfId="16597" xr:uid="{CB37D85C-5673-4B97-A834-886343B667D8}"/>
    <cellStyle name="Normal 3 2 3 2 3 2 3" xfId="38572" xr:uid="{64CBE618-6144-42EF-8A52-1137DE76497E}"/>
    <cellStyle name="Normal 3 2 3 2 3 2 4" xfId="30124" xr:uid="{7763B62C-5E30-490F-A6F9-A5EBF47D8B9B}"/>
    <cellStyle name="Normal 3 2 3 2 3 2 5" xfId="21677" xr:uid="{88F13281-C4F8-4AEC-8150-563EC036815B}"/>
    <cellStyle name="Normal 3 2 3 2 3 2 6" xfId="12380" xr:uid="{0C7D9C49-97C2-4355-B292-818CD45E02DB}"/>
    <cellStyle name="Normal 3 2 3 2 3 3" xfId="5126" xr:uid="{00000000-0005-0000-0000-000097110000}"/>
    <cellStyle name="Normal 3 2 3 2 3 3 2" xfId="40644" xr:uid="{919ABA57-0536-47F8-9D6C-1EDEB8032E48}"/>
    <cellStyle name="Normal 3 2 3 2 3 3 3" xfId="32197" xr:uid="{E1D07BB9-7144-4F75-B750-05C4C87741CE}"/>
    <cellStyle name="Normal 3 2 3 2 3 3 4" xfId="23749" xr:uid="{4AD0663C-A298-499E-A63C-E12B12BBFD8E}"/>
    <cellStyle name="Normal 3 2 3 2 3 3 5" xfId="14452" xr:uid="{5A82310E-8ABF-4C08-8AC1-B6C07077F609}"/>
    <cellStyle name="Normal 3 2 3 2 3 4" xfId="9345" xr:uid="{C34A3811-3C7F-4E99-A17A-CCF74A426C86}"/>
    <cellStyle name="Normal 3 2 3 2 3 4 2" xfId="36427" xr:uid="{1BD7CAF6-9F1D-4834-980E-E4D88EC2D896}"/>
    <cellStyle name="Normal 3 2 3 2 3 4 3" xfId="18658" xr:uid="{0A09142E-BC0E-42D4-8D10-39DD28D4FB57}"/>
    <cellStyle name="Normal 3 2 3 2 3 5" xfId="27979" xr:uid="{381C9575-2AFA-4E27-B1A3-C07D13CC0719}"/>
    <cellStyle name="Normal 3 2 3 2 3 6" xfId="19532" xr:uid="{117CAF7F-353F-46CA-81EB-821C37BE8DC4}"/>
    <cellStyle name="Normal 3 2 3 2 3 7" xfId="10235" xr:uid="{84FBAD1E-73AD-4EFA-850B-FF38D4D5A7EC}"/>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43202" xr:uid="{5E215F68-2F66-4B1E-9053-0B9E0CCB0E0B}"/>
    <cellStyle name="Normal 3 2 3 2 4 2 2 3" xfId="34755" xr:uid="{0C55E9DA-E6A3-401A-9CF6-B03D1073766C}"/>
    <cellStyle name="Normal 3 2 3 2 4 2 2 4" xfId="26307" xr:uid="{AA136BF8-9B95-4B8B-9051-5DAFC91D6834}"/>
    <cellStyle name="Normal 3 2 3 2 4 2 2 5" xfId="17010" xr:uid="{8FDFD10B-8AF3-4332-92F9-CBF50BF53F15}"/>
    <cellStyle name="Normal 3 2 3 2 4 2 3" xfId="38985" xr:uid="{D03B8A08-1DE4-420B-B431-211F8CE81C0B}"/>
    <cellStyle name="Normal 3 2 3 2 4 2 4" xfId="30537" xr:uid="{F74A4DA2-95AD-4511-82AA-949C567E7B9A}"/>
    <cellStyle name="Normal 3 2 3 2 4 2 5" xfId="22090" xr:uid="{DE1B50C9-9135-4687-8540-1E5D40F2E0A0}"/>
    <cellStyle name="Normal 3 2 3 2 4 2 6" xfId="12793" xr:uid="{85A2DCDE-07D1-4630-AB08-EBC1C31BACCE}"/>
    <cellStyle name="Normal 3 2 3 2 4 3" xfId="5539" xr:uid="{00000000-0005-0000-0000-00009B110000}"/>
    <cellStyle name="Normal 3 2 3 2 4 3 2" xfId="41057" xr:uid="{A9E41F49-511F-4121-AA70-E2F801E48A79}"/>
    <cellStyle name="Normal 3 2 3 2 4 3 3" xfId="32610" xr:uid="{4100206D-4D96-4090-ACD0-A182C63D08A8}"/>
    <cellStyle name="Normal 3 2 3 2 4 3 4" xfId="24162" xr:uid="{6CF8C729-49F8-4100-BCE8-7377DAA26B79}"/>
    <cellStyle name="Normal 3 2 3 2 4 3 5" xfId="14865" xr:uid="{D8C3EB69-E32E-43C7-8701-EE55AFEABA90}"/>
    <cellStyle name="Normal 3 2 3 2 4 4" xfId="36840" xr:uid="{E61D0315-9D92-4B87-BA0D-D5C9F2422F12}"/>
    <cellStyle name="Normal 3 2 3 2 4 5" xfId="28392" xr:uid="{94DA9354-BBEC-46A6-B454-5EF1D388FD15}"/>
    <cellStyle name="Normal 3 2 3 2 4 6" xfId="19945" xr:uid="{F095AE1F-6F3B-4D5D-8CC2-50654CC9A28D}"/>
    <cellStyle name="Normal 3 2 3 2 4 7" xfId="10648" xr:uid="{8A9D5915-DFF0-4210-ACFC-F6568C2AD667}"/>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43615" xr:uid="{45321F2E-2F78-4A59-B38D-F0460FF8A4EA}"/>
    <cellStyle name="Normal 3 2 3 2 5 2 2 3" xfId="35168" xr:uid="{ABA5A386-7268-4A07-AA1B-6EB34CA81E4A}"/>
    <cellStyle name="Normal 3 2 3 2 5 2 2 4" xfId="26720" xr:uid="{55CE2036-DC8C-4DF0-B0C1-3CAFD367E4C6}"/>
    <cellStyle name="Normal 3 2 3 2 5 2 2 5" xfId="17423" xr:uid="{35E1B6AF-3610-427E-8676-239DEFC65F8F}"/>
    <cellStyle name="Normal 3 2 3 2 5 2 3" xfId="39398" xr:uid="{38CF47AF-1ECE-4DF1-A696-6BA3FEB184BD}"/>
    <cellStyle name="Normal 3 2 3 2 5 2 4" xfId="30950" xr:uid="{7CABC563-7158-457F-B548-C4B839F5BB56}"/>
    <cellStyle name="Normal 3 2 3 2 5 2 5" xfId="22503" xr:uid="{B9718841-010A-4B62-9487-C199F78856CB}"/>
    <cellStyle name="Normal 3 2 3 2 5 2 6" xfId="13206" xr:uid="{43D9AE08-E0A9-42EE-B636-88C38FB2FFCA}"/>
    <cellStyle name="Normal 3 2 3 2 5 3" xfId="5952" xr:uid="{00000000-0005-0000-0000-00009F110000}"/>
    <cellStyle name="Normal 3 2 3 2 5 3 2" xfId="41470" xr:uid="{707EE6E2-9390-4516-BDCD-9DBCE65D2C42}"/>
    <cellStyle name="Normal 3 2 3 2 5 3 3" xfId="33023" xr:uid="{F47F7747-CDB9-440F-A6D1-FB0F7C8A5844}"/>
    <cellStyle name="Normal 3 2 3 2 5 3 4" xfId="24575" xr:uid="{FCE7A920-71E9-4DEE-AE9D-E54598C39ED2}"/>
    <cellStyle name="Normal 3 2 3 2 5 3 5" xfId="15278" xr:uid="{47C11D2D-DA41-481A-868F-E05811EEF12A}"/>
    <cellStyle name="Normal 3 2 3 2 5 4" xfId="37253" xr:uid="{EC6285ED-D9A5-4402-BC76-D463241EA862}"/>
    <cellStyle name="Normal 3 2 3 2 5 5" xfId="28805" xr:uid="{81AFA6EA-F547-4D50-9BAD-9DDE338D0AA0}"/>
    <cellStyle name="Normal 3 2 3 2 5 6" xfId="20358" xr:uid="{94D7BCFC-666D-4160-81A7-6D49F4D13EC1}"/>
    <cellStyle name="Normal 3 2 3 2 5 7" xfId="11061" xr:uid="{C011CAC2-A851-4322-A5B8-733B5834FA95}"/>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44028" xr:uid="{F3BC9E2F-E7A0-4DB3-97DE-CE31F59BFDED}"/>
    <cellStyle name="Normal 3 2 3 2 6 2 2 3" xfId="35581" xr:uid="{0B1251BB-C507-4A2E-BC1D-DC1B505939CB}"/>
    <cellStyle name="Normal 3 2 3 2 6 2 2 4" xfId="27133" xr:uid="{CC3378C9-6725-4E2D-A93E-2B4246E38D44}"/>
    <cellStyle name="Normal 3 2 3 2 6 2 2 5" xfId="17836" xr:uid="{2861CE65-ED8B-4542-9E3D-00A1914334B0}"/>
    <cellStyle name="Normal 3 2 3 2 6 2 3" xfId="39811" xr:uid="{682703B3-732D-42B2-96FC-048286AFE898}"/>
    <cellStyle name="Normal 3 2 3 2 6 2 4" xfId="31363" xr:uid="{BDE22407-F759-44CD-921F-CB4D59A50408}"/>
    <cellStyle name="Normal 3 2 3 2 6 2 5" xfId="22916" xr:uid="{7DA352C4-EC30-4334-90A5-6D4BFAA9CD21}"/>
    <cellStyle name="Normal 3 2 3 2 6 2 6" xfId="13619" xr:uid="{4A301F98-B700-4C8C-96CE-CE103C62DB82}"/>
    <cellStyle name="Normal 3 2 3 2 6 3" xfId="6365" xr:uid="{00000000-0005-0000-0000-0000A3110000}"/>
    <cellStyle name="Normal 3 2 3 2 6 3 2" xfId="41883" xr:uid="{0D749EC9-E255-45E2-8B15-FD1D4E7B2366}"/>
    <cellStyle name="Normal 3 2 3 2 6 3 3" xfId="33436" xr:uid="{9272D45B-4BE5-4578-821A-EA2C4C871A01}"/>
    <cellStyle name="Normal 3 2 3 2 6 3 4" xfId="24988" xr:uid="{BFE572E5-BC4D-4C68-A421-95366A72D366}"/>
    <cellStyle name="Normal 3 2 3 2 6 3 5" xfId="15691" xr:uid="{B7E7406A-C235-4D8C-87DD-5A3B639FD3C1}"/>
    <cellStyle name="Normal 3 2 3 2 6 4" xfId="37666" xr:uid="{CDED1D26-87A6-49D7-9371-D82CF03B5F67}"/>
    <cellStyle name="Normal 3 2 3 2 6 5" xfId="29218" xr:uid="{43A8F55A-53D1-4BCC-882C-26BE407BCD54}"/>
    <cellStyle name="Normal 3 2 3 2 6 6" xfId="20771" xr:uid="{52E4120F-B16A-4209-985A-91E4EF05D277}"/>
    <cellStyle name="Normal 3 2 3 2 6 7" xfId="11474" xr:uid="{853D9CAB-6427-40A5-9E02-9561794459B7}"/>
    <cellStyle name="Normal 3 2 3 2 7" xfId="2495" xr:uid="{00000000-0005-0000-0000-0000A4110000}"/>
    <cellStyle name="Normal 3 2 3 2 7 2" xfId="6778" xr:uid="{00000000-0005-0000-0000-0000A5110000}"/>
    <cellStyle name="Normal 3 2 3 2 7 2 2" xfId="42296" xr:uid="{549E0DD7-1970-45A8-AB46-A34DC3FC3755}"/>
    <cellStyle name="Normal 3 2 3 2 7 2 3" xfId="33849" xr:uid="{21B653CD-BFDB-477D-855A-FE9B6596DE20}"/>
    <cellStyle name="Normal 3 2 3 2 7 2 4" xfId="25401" xr:uid="{00BBA391-1854-4987-94A1-D793009830B5}"/>
    <cellStyle name="Normal 3 2 3 2 7 2 5" xfId="16104" xr:uid="{05898C6D-D556-4945-BD4E-BE42385F957D}"/>
    <cellStyle name="Normal 3 2 3 2 7 3" xfId="38079" xr:uid="{FCF434E3-FCF7-4DDE-8643-8EDF594024B3}"/>
    <cellStyle name="Normal 3 2 3 2 7 4" xfId="29631" xr:uid="{A1FA0118-D1BD-4E80-952C-22AF0F54F54E}"/>
    <cellStyle name="Normal 3 2 3 2 7 5" xfId="21184" xr:uid="{532B51D3-79AB-4320-A3BD-7409C6A807B5}"/>
    <cellStyle name="Normal 3 2 3 2 7 6" xfId="11887" xr:uid="{155C3F56-82A5-45E0-A631-CDC7893042D1}"/>
    <cellStyle name="Normal 3 2 3 2 8" xfId="4712" xr:uid="{00000000-0005-0000-0000-0000A6110000}"/>
    <cellStyle name="Normal 3 2 3 2 8 2" xfId="40230" xr:uid="{B0688399-D81E-4323-81C1-131054706899}"/>
    <cellStyle name="Normal 3 2 3 2 8 3" xfId="31783" xr:uid="{F9A9B999-2272-49FB-929D-64CC428DF7FF}"/>
    <cellStyle name="Normal 3 2 3 2 8 4" xfId="23335" xr:uid="{92610331-9B51-4D65-BB8F-832E769D427B}"/>
    <cellStyle name="Normal 3 2 3 2 8 5" xfId="14038" xr:uid="{58F54C28-4B15-43C9-A67B-76877C405B71}"/>
    <cellStyle name="Normal 3 2 3 2 9" xfId="8920" xr:uid="{D9E0825A-068A-435C-BDBE-2C0571A11FAF}"/>
    <cellStyle name="Normal 3 2 3 2 9 2" xfId="36013" xr:uid="{60298AFA-99B3-43A4-A95D-36F6FA840120}"/>
    <cellStyle name="Normal 3 2 3 2 9 3" xfId="18243" xr:uid="{C82176EF-D674-475C-B84A-30C320055466}"/>
    <cellStyle name="Normal 3 2 3 3" xfId="329" xr:uid="{00000000-0005-0000-0000-0000A7110000}"/>
    <cellStyle name="Normal 3 2 3 3 10" xfId="19120" xr:uid="{49B3F1F5-FBE8-47CA-94F6-FAFDE5D3E41B}"/>
    <cellStyle name="Normal 3 2 3 3 11" xfId="9823" xr:uid="{629CD076-AE77-4E42-9580-20587F8D6CBD}"/>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42791" xr:uid="{909AC2CE-7B24-4F23-A99E-34CD4D4355B2}"/>
    <cellStyle name="Normal 3 2 3 3 2 2 2 3" xfId="34344" xr:uid="{996EDAFE-714A-47A4-B721-B159811A51BB}"/>
    <cellStyle name="Normal 3 2 3 3 2 2 2 4" xfId="25896" xr:uid="{9A2EC582-1279-4908-907E-BBE136DCAA85}"/>
    <cellStyle name="Normal 3 2 3 3 2 2 2 5" xfId="16599" xr:uid="{755CD3AF-CD9C-41AB-B90A-04FE530B5BE4}"/>
    <cellStyle name="Normal 3 2 3 3 2 2 3" xfId="38574" xr:uid="{378E4095-3D40-4C77-9A72-430948A149DB}"/>
    <cellStyle name="Normal 3 2 3 3 2 2 4" xfId="30126" xr:uid="{B665F9E9-C0BC-4A4C-9D6F-08581355311E}"/>
    <cellStyle name="Normal 3 2 3 3 2 2 5" xfId="21679" xr:uid="{4B938F46-1C17-4FF5-B029-57E600E66F7A}"/>
    <cellStyle name="Normal 3 2 3 3 2 2 6" xfId="12382" xr:uid="{FB938512-3452-4419-BB99-E3C16502CB5B}"/>
    <cellStyle name="Normal 3 2 3 3 2 3" xfId="5128" xr:uid="{00000000-0005-0000-0000-0000AB110000}"/>
    <cellStyle name="Normal 3 2 3 3 2 3 2" xfId="40646" xr:uid="{7EC6341E-A736-4F71-869E-03C24BA436D8}"/>
    <cellStyle name="Normal 3 2 3 3 2 3 3" xfId="32199" xr:uid="{E4FFA4DD-21F0-4AE3-BDCD-DD0911DF553F}"/>
    <cellStyle name="Normal 3 2 3 3 2 3 4" xfId="23751" xr:uid="{98F27861-B109-47EA-9758-4D07D8296872}"/>
    <cellStyle name="Normal 3 2 3 3 2 3 5" xfId="14454" xr:uid="{CFDB9E48-8995-40AC-B9A1-545D734E97D1}"/>
    <cellStyle name="Normal 3 2 3 3 2 4" xfId="9449" xr:uid="{7F58A2DC-DF16-44D1-8D09-04DD41EF4468}"/>
    <cellStyle name="Normal 3 2 3 3 2 4 2" xfId="36429" xr:uid="{54D92BE0-F644-48D0-BBA3-065A6E589F5E}"/>
    <cellStyle name="Normal 3 2 3 3 2 4 3" xfId="18762" xr:uid="{E6D256B9-0BC7-478C-8630-9B5C590F47B4}"/>
    <cellStyle name="Normal 3 2 3 3 2 5" xfId="27981" xr:uid="{E5645F6B-141B-44F5-83F3-21F2B8DA5AAD}"/>
    <cellStyle name="Normal 3 2 3 3 2 6" xfId="19534" xr:uid="{51A64140-8B32-41A7-8129-C127069F4F3B}"/>
    <cellStyle name="Normal 3 2 3 3 2 7" xfId="10237" xr:uid="{C7929175-F2C9-4276-A624-2BC16AC68335}"/>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43204" xr:uid="{8B3D3587-8E3B-481C-A401-9893B721A74F}"/>
    <cellStyle name="Normal 3 2 3 3 3 2 2 3" xfId="34757" xr:uid="{3600E361-E065-48F9-BCE0-CF60306E0B40}"/>
    <cellStyle name="Normal 3 2 3 3 3 2 2 4" xfId="26309" xr:uid="{9A268A50-AD0B-4A75-8DEC-E3A2C1DA23ED}"/>
    <cellStyle name="Normal 3 2 3 3 3 2 2 5" xfId="17012" xr:uid="{C28E3E12-A237-4264-AB91-1C3DA8BA2E93}"/>
    <cellStyle name="Normal 3 2 3 3 3 2 3" xfId="38987" xr:uid="{BA5428A9-DAE6-422D-AF42-C6EDEA3FE105}"/>
    <cellStyle name="Normal 3 2 3 3 3 2 4" xfId="30539" xr:uid="{FB2BC751-7ACD-4564-BC69-BA750A829676}"/>
    <cellStyle name="Normal 3 2 3 3 3 2 5" xfId="22092" xr:uid="{41EB2765-8B31-4C7A-8470-DDB64387FCF6}"/>
    <cellStyle name="Normal 3 2 3 3 3 2 6" xfId="12795" xr:uid="{43EC28BC-292D-49A7-A16F-4F1E5E99E1BC}"/>
    <cellStyle name="Normal 3 2 3 3 3 3" xfId="5541" xr:uid="{00000000-0005-0000-0000-0000AF110000}"/>
    <cellStyle name="Normal 3 2 3 3 3 3 2" xfId="41059" xr:uid="{C41B87FA-1526-471D-A68D-990D4DB4AF45}"/>
    <cellStyle name="Normal 3 2 3 3 3 3 3" xfId="32612" xr:uid="{8438D80A-BEF3-4C5F-948C-26A16F7A2A9F}"/>
    <cellStyle name="Normal 3 2 3 3 3 3 4" xfId="24164" xr:uid="{E8ED7B7B-C214-4D20-973F-57FF25E6260C}"/>
    <cellStyle name="Normal 3 2 3 3 3 3 5" xfId="14867" xr:uid="{D82704BE-CECD-429E-8A7A-4E2379D62FBB}"/>
    <cellStyle name="Normal 3 2 3 3 3 4" xfId="36842" xr:uid="{71C7669F-AD3E-4A33-9B6D-53E596C43CC4}"/>
    <cellStyle name="Normal 3 2 3 3 3 5" xfId="28394" xr:uid="{7681E066-E4FA-4A2B-8DFF-1CCCB75AECE8}"/>
    <cellStyle name="Normal 3 2 3 3 3 6" xfId="19947" xr:uid="{3FAF6F4F-41F4-4EAE-9C69-85A28735E98C}"/>
    <cellStyle name="Normal 3 2 3 3 3 7" xfId="10650" xr:uid="{0922B6A7-B81B-4A5C-8DBF-190975B855C7}"/>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43617" xr:uid="{F83C95BD-1A08-4E3F-93CD-8FDCCD8AF165}"/>
    <cellStyle name="Normal 3 2 3 3 4 2 2 3" xfId="35170" xr:uid="{B7C39CCF-887F-4B64-A094-BB6594A1E044}"/>
    <cellStyle name="Normal 3 2 3 3 4 2 2 4" xfId="26722" xr:uid="{25602DF1-8DD9-4CF8-A008-33316975673E}"/>
    <cellStyle name="Normal 3 2 3 3 4 2 2 5" xfId="17425" xr:uid="{1ACB71BB-695B-4102-834D-50D495F7B124}"/>
    <cellStyle name="Normal 3 2 3 3 4 2 3" xfId="39400" xr:uid="{85992C6F-D072-4D10-A316-C6C555D3779F}"/>
    <cellStyle name="Normal 3 2 3 3 4 2 4" xfId="30952" xr:uid="{518D128C-E8B2-4E89-8718-AF107EB3A412}"/>
    <cellStyle name="Normal 3 2 3 3 4 2 5" xfId="22505" xr:uid="{00BDF12A-EE7F-41B0-87BF-CB9262A7F7AB}"/>
    <cellStyle name="Normal 3 2 3 3 4 2 6" xfId="13208" xr:uid="{7D06603E-AED4-4111-A466-EEB0517AE1F1}"/>
    <cellStyle name="Normal 3 2 3 3 4 3" xfId="5954" xr:uid="{00000000-0005-0000-0000-0000B3110000}"/>
    <cellStyle name="Normal 3 2 3 3 4 3 2" xfId="41472" xr:uid="{8CCDA3ED-9939-488D-8248-EF2231B15EEC}"/>
    <cellStyle name="Normal 3 2 3 3 4 3 3" xfId="33025" xr:uid="{595982DE-2ABB-44FC-A023-B311B318EE26}"/>
    <cellStyle name="Normal 3 2 3 3 4 3 4" xfId="24577" xr:uid="{B24C441F-8AD5-4F3B-BAE8-10AA8F53E5E5}"/>
    <cellStyle name="Normal 3 2 3 3 4 3 5" xfId="15280" xr:uid="{DF9EAE24-906E-411F-A97F-AF845B4A3EB7}"/>
    <cellStyle name="Normal 3 2 3 3 4 4" xfId="37255" xr:uid="{800EA5F4-619C-4C7E-9EA8-E6125CEAFF48}"/>
    <cellStyle name="Normal 3 2 3 3 4 5" xfId="28807" xr:uid="{78201E37-F645-465D-8CC7-6FF55F8CC853}"/>
    <cellStyle name="Normal 3 2 3 3 4 6" xfId="20360" xr:uid="{7398187E-0704-4FFD-8C86-920DE1196D86}"/>
    <cellStyle name="Normal 3 2 3 3 4 7" xfId="11063" xr:uid="{37838CBF-948A-49F6-B328-0E9A9AB70738}"/>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44030" xr:uid="{1222E54B-6110-4D15-A8C6-A261DF20A2C3}"/>
    <cellStyle name="Normal 3 2 3 3 5 2 2 3" xfId="35583" xr:uid="{459A2B98-96B1-425C-958A-D687C49BA9AF}"/>
    <cellStyle name="Normal 3 2 3 3 5 2 2 4" xfId="27135" xr:uid="{4FA37345-B12A-43C8-A768-A5AF91BB592C}"/>
    <cellStyle name="Normal 3 2 3 3 5 2 2 5" xfId="17838" xr:uid="{36D40A23-7654-4F86-9F6E-8DD2CF3E1EEC}"/>
    <cellStyle name="Normal 3 2 3 3 5 2 3" xfId="39813" xr:uid="{0F3E76B9-CDD5-4B84-8E70-D2D4A8D4B559}"/>
    <cellStyle name="Normal 3 2 3 3 5 2 4" xfId="31365" xr:uid="{4FC0752E-8394-476A-863A-2AF052F4BC73}"/>
    <cellStyle name="Normal 3 2 3 3 5 2 5" xfId="22918" xr:uid="{2D139921-029A-48D4-8ED4-EEEC46A23383}"/>
    <cellStyle name="Normal 3 2 3 3 5 2 6" xfId="13621" xr:uid="{57A7396B-D1CB-4B85-B286-1C64B1E093D4}"/>
    <cellStyle name="Normal 3 2 3 3 5 3" xfId="6367" xr:uid="{00000000-0005-0000-0000-0000B7110000}"/>
    <cellStyle name="Normal 3 2 3 3 5 3 2" xfId="41885" xr:uid="{0086958B-8DF9-4DAA-AE0D-7BC0189D478E}"/>
    <cellStyle name="Normal 3 2 3 3 5 3 3" xfId="33438" xr:uid="{17AD96FC-B32A-4624-AFE0-D1CF9F0DF4D6}"/>
    <cellStyle name="Normal 3 2 3 3 5 3 4" xfId="24990" xr:uid="{9C82031C-D0F8-4476-949D-B3AC42910F1B}"/>
    <cellStyle name="Normal 3 2 3 3 5 3 5" xfId="15693" xr:uid="{F524C99A-59A9-46FF-8537-AF41BECFEDA7}"/>
    <cellStyle name="Normal 3 2 3 3 5 4" xfId="37668" xr:uid="{5A6BE0B3-C118-40FF-A14C-9951E85A6DED}"/>
    <cellStyle name="Normal 3 2 3 3 5 5" xfId="29220" xr:uid="{FEAB9E12-9DCD-48CA-A019-5429B47B7202}"/>
    <cellStyle name="Normal 3 2 3 3 5 6" xfId="20773" xr:uid="{25EF6F40-C3FD-4851-96E1-9807CAECA1F1}"/>
    <cellStyle name="Normal 3 2 3 3 5 7" xfId="11476" xr:uid="{73713254-EE7E-4528-9C1B-7882E34BA1E6}"/>
    <cellStyle name="Normal 3 2 3 3 6" xfId="2497" xr:uid="{00000000-0005-0000-0000-0000B8110000}"/>
    <cellStyle name="Normal 3 2 3 3 6 2" xfId="6780" xr:uid="{00000000-0005-0000-0000-0000B9110000}"/>
    <cellStyle name="Normal 3 2 3 3 6 2 2" xfId="42298" xr:uid="{F53EC8BF-44BE-489B-9701-28CF7ACB917F}"/>
    <cellStyle name="Normal 3 2 3 3 6 2 3" xfId="33851" xr:uid="{5057A453-FDB8-4A39-B0D6-A11550B698C0}"/>
    <cellStyle name="Normal 3 2 3 3 6 2 4" xfId="25403" xr:uid="{A9B6CD17-3D2A-4B9B-BACC-0C196FDB6A03}"/>
    <cellStyle name="Normal 3 2 3 3 6 2 5" xfId="16106" xr:uid="{6D2CAD68-E401-41B6-BD27-888638FE462B}"/>
    <cellStyle name="Normal 3 2 3 3 6 3" xfId="38081" xr:uid="{30F74DEF-8514-4DB4-BE31-885AC904FAB3}"/>
    <cellStyle name="Normal 3 2 3 3 6 4" xfId="29633" xr:uid="{71653563-922D-48C7-A5AB-E5AF940523A7}"/>
    <cellStyle name="Normal 3 2 3 3 6 5" xfId="21186" xr:uid="{13090E07-8112-4E0B-B300-0DE27AF9AEC7}"/>
    <cellStyle name="Normal 3 2 3 3 6 6" xfId="11889" xr:uid="{64CF2ADF-0AED-48D0-82F0-DE0F6B0494C7}"/>
    <cellStyle name="Normal 3 2 3 3 7" xfId="4714" xr:uid="{00000000-0005-0000-0000-0000BA110000}"/>
    <cellStyle name="Normal 3 2 3 3 7 2" xfId="40232" xr:uid="{CD8E5AA4-5B5B-4783-BB37-2AA074E4850E}"/>
    <cellStyle name="Normal 3 2 3 3 7 3" xfId="31785" xr:uid="{C9F87CC5-CCFA-4C4A-AAB8-BA946AB61950}"/>
    <cellStyle name="Normal 3 2 3 3 7 4" xfId="23337" xr:uid="{DCD5AF16-D6EA-40DF-B3B4-8665623EAF15}"/>
    <cellStyle name="Normal 3 2 3 3 7 5" xfId="14040" xr:uid="{87E2F464-13D3-45D2-BB51-FADB03365B85}"/>
    <cellStyle name="Normal 3 2 3 3 8" xfId="9024" xr:uid="{AE2F680F-18A3-47B5-ADCF-6BEAD71D50CE}"/>
    <cellStyle name="Normal 3 2 3 3 8 2" xfId="36015" xr:uid="{268003FB-9BA6-4E01-BF8D-7058F55F586A}"/>
    <cellStyle name="Normal 3 2 3 3 8 3" xfId="18347" xr:uid="{F88B1539-43E7-4D1B-93F0-126155C47232}"/>
    <cellStyle name="Normal 3 2 3 3 9" xfId="27567" xr:uid="{45B925F7-F12D-4579-A104-2C94A3679817}"/>
    <cellStyle name="Normal 3 2 3 4" xfId="811" xr:uid="{00000000-0005-0000-0000-0000BB110000}"/>
    <cellStyle name="Normal 3 2 3 4 2" xfId="3048" xr:uid="{00000000-0005-0000-0000-0000BC110000}"/>
    <cellStyle name="Normal 3 2 3 4 2 2" xfId="7270" xr:uid="{00000000-0005-0000-0000-0000BD110000}"/>
    <cellStyle name="Normal 3 2 3 4 2 2 2" xfId="42788" xr:uid="{EB81B3A8-7219-4351-9E4C-A4BAAFA3990E}"/>
    <cellStyle name="Normal 3 2 3 4 2 2 3" xfId="34341" xr:uid="{6F070115-72E4-4474-99F3-C7E39F33AA78}"/>
    <cellStyle name="Normal 3 2 3 4 2 2 4" xfId="25893" xr:uid="{EF5E0111-2FE7-4145-8185-E1C552FEFC47}"/>
    <cellStyle name="Normal 3 2 3 4 2 2 5" xfId="16596" xr:uid="{F5690008-5E55-48D8-BB50-43ED67EF68A3}"/>
    <cellStyle name="Normal 3 2 3 4 2 3" xfId="38571" xr:uid="{9FFB7382-376A-4E05-90AF-1BAF8DB148EB}"/>
    <cellStyle name="Normal 3 2 3 4 2 4" xfId="30123" xr:uid="{41E73BF0-19F5-40E3-9C11-016203BA2EF8}"/>
    <cellStyle name="Normal 3 2 3 4 2 5" xfId="21676" xr:uid="{89ABA334-6C88-4444-B018-226C528D8880}"/>
    <cellStyle name="Normal 3 2 3 4 2 6" xfId="12379" xr:uid="{7C357B53-7C8C-4D08-83DB-584B5193FB65}"/>
    <cellStyle name="Normal 3 2 3 4 3" xfId="5125" xr:uid="{00000000-0005-0000-0000-0000BE110000}"/>
    <cellStyle name="Normal 3 2 3 4 3 2" xfId="40643" xr:uid="{C5D855AC-6D95-433D-B26A-FD8F78612BD7}"/>
    <cellStyle name="Normal 3 2 3 4 3 3" xfId="32196" xr:uid="{71E7BCFA-B4EA-4ADA-A979-1BEDCF5523C2}"/>
    <cellStyle name="Normal 3 2 3 4 3 4" xfId="23748" xr:uid="{E2AC341C-2520-411E-A106-2150AD279EB5}"/>
    <cellStyle name="Normal 3 2 3 4 3 5" xfId="14451" xr:uid="{A271B486-CA4C-480E-A82A-E8E161D3F6CA}"/>
    <cellStyle name="Normal 3 2 3 4 4" xfId="9242" xr:uid="{05AEEDFF-7EEB-40DB-B13D-145C971A771B}"/>
    <cellStyle name="Normal 3 2 3 4 4 2" xfId="36426" xr:uid="{D78633C4-401E-4567-BD7D-0EE23073A246}"/>
    <cellStyle name="Normal 3 2 3 4 4 3" xfId="18555" xr:uid="{1699844E-F57D-4EED-A1A5-6D970C0146CF}"/>
    <cellStyle name="Normal 3 2 3 4 5" xfId="27978" xr:uid="{DEFF3DFB-F614-4D74-AEE3-77CC7B0826E2}"/>
    <cellStyle name="Normal 3 2 3 4 6" xfId="19531" xr:uid="{2434FFD7-FA98-4696-A108-A0DA8A5695B6}"/>
    <cellStyle name="Normal 3 2 3 4 7" xfId="10234" xr:uid="{5EA23C9E-1303-4719-BABD-2D93DBD66718}"/>
    <cellStyle name="Normal 3 2 3 5" xfId="1231" xr:uid="{00000000-0005-0000-0000-0000BF110000}"/>
    <cellStyle name="Normal 3 2 3 5 2" xfId="3461" xr:uid="{00000000-0005-0000-0000-0000C0110000}"/>
    <cellStyle name="Normal 3 2 3 5 2 2" xfId="7683" xr:uid="{00000000-0005-0000-0000-0000C1110000}"/>
    <cellStyle name="Normal 3 2 3 5 2 2 2" xfId="43201" xr:uid="{CE8C7CE7-FEB9-421D-8D4A-ED4D75C59E35}"/>
    <cellStyle name="Normal 3 2 3 5 2 2 3" xfId="34754" xr:uid="{726FAB4A-D808-4BAD-ACA9-8465682357B4}"/>
    <cellStyle name="Normal 3 2 3 5 2 2 4" xfId="26306" xr:uid="{C34BC518-C4C0-400D-98DF-B794EFD02D0D}"/>
    <cellStyle name="Normal 3 2 3 5 2 2 5" xfId="17009" xr:uid="{AD4B58A7-DA26-4CD8-8DB9-0CC68E160437}"/>
    <cellStyle name="Normal 3 2 3 5 2 3" xfId="38984" xr:uid="{D1F28FB1-8875-4147-86DD-AF957AA887A1}"/>
    <cellStyle name="Normal 3 2 3 5 2 4" xfId="30536" xr:uid="{704F9686-0079-483E-A211-46512BCF01E5}"/>
    <cellStyle name="Normal 3 2 3 5 2 5" xfId="22089" xr:uid="{5BE0AE15-30A7-4911-AF0C-A272FF84B36F}"/>
    <cellStyle name="Normal 3 2 3 5 2 6" xfId="12792" xr:uid="{4AA9CF32-57FA-43D8-9078-AEEC032ECDF9}"/>
    <cellStyle name="Normal 3 2 3 5 3" xfId="5538" xr:uid="{00000000-0005-0000-0000-0000C2110000}"/>
    <cellStyle name="Normal 3 2 3 5 3 2" xfId="41056" xr:uid="{0DBF9C18-5FF2-44A8-9E14-E5E4472EA431}"/>
    <cellStyle name="Normal 3 2 3 5 3 3" xfId="32609" xr:uid="{7C247FB2-100E-45FC-AED0-EA5D9FCE0C77}"/>
    <cellStyle name="Normal 3 2 3 5 3 4" xfId="24161" xr:uid="{CF317350-0F6F-4A00-811F-4DDEB4506246}"/>
    <cellStyle name="Normal 3 2 3 5 3 5" xfId="14864" xr:uid="{F780CE37-2831-4511-A041-933646A0A8C1}"/>
    <cellStyle name="Normal 3 2 3 5 4" xfId="36839" xr:uid="{027BDF9B-8651-4560-88D0-DD4CD735F1EC}"/>
    <cellStyle name="Normal 3 2 3 5 5" xfId="28391" xr:uid="{A32B047D-66C4-4AF3-9673-0BF957C9EA11}"/>
    <cellStyle name="Normal 3 2 3 5 6" xfId="19944" xr:uid="{689D02FD-A8B1-47D7-BD36-804A453DBB06}"/>
    <cellStyle name="Normal 3 2 3 5 7" xfId="10647" xr:uid="{4A785C7F-8A78-4EA5-B268-5FDFF7A9DBD0}"/>
    <cellStyle name="Normal 3 2 3 6" xfId="1644" xr:uid="{00000000-0005-0000-0000-0000C3110000}"/>
    <cellStyle name="Normal 3 2 3 6 2" xfId="3874" xr:uid="{00000000-0005-0000-0000-0000C4110000}"/>
    <cellStyle name="Normal 3 2 3 6 2 2" xfId="8096" xr:uid="{00000000-0005-0000-0000-0000C5110000}"/>
    <cellStyle name="Normal 3 2 3 6 2 2 2" xfId="43614" xr:uid="{9ED8DCF2-D660-4606-8B29-6FFD008C96C2}"/>
    <cellStyle name="Normal 3 2 3 6 2 2 3" xfId="35167" xr:uid="{FAEEC08C-21D0-4B3F-B452-5012A66220CF}"/>
    <cellStyle name="Normal 3 2 3 6 2 2 4" xfId="26719" xr:uid="{B9C6FFCD-A37F-4219-B67E-50F1578443BD}"/>
    <cellStyle name="Normal 3 2 3 6 2 2 5" xfId="17422" xr:uid="{D098609D-F62C-4F08-9F3B-9316261E5912}"/>
    <cellStyle name="Normal 3 2 3 6 2 3" xfId="39397" xr:uid="{24E9AA64-D31B-4964-9FEC-0D96E32AAC15}"/>
    <cellStyle name="Normal 3 2 3 6 2 4" xfId="30949" xr:uid="{32F62965-A1A4-45F1-8526-0F76E5E5ACE6}"/>
    <cellStyle name="Normal 3 2 3 6 2 5" xfId="22502" xr:uid="{B2D5C3EC-7329-4FD0-B944-CC11A682B321}"/>
    <cellStyle name="Normal 3 2 3 6 2 6" xfId="13205" xr:uid="{2DF620D0-8C2B-4031-9AFA-41C418E41A76}"/>
    <cellStyle name="Normal 3 2 3 6 3" xfId="5951" xr:uid="{00000000-0005-0000-0000-0000C6110000}"/>
    <cellStyle name="Normal 3 2 3 6 3 2" xfId="41469" xr:uid="{F4B360A9-4FFB-4308-BEE2-C4027DB2F3D9}"/>
    <cellStyle name="Normal 3 2 3 6 3 3" xfId="33022" xr:uid="{0AED7CBA-CD9B-4B8F-B571-60FEAEFFD04C}"/>
    <cellStyle name="Normal 3 2 3 6 3 4" xfId="24574" xr:uid="{B64D54BE-353D-423E-B443-B5EB72BC0CD5}"/>
    <cellStyle name="Normal 3 2 3 6 3 5" xfId="15277" xr:uid="{84638E2D-9E6C-42C3-9DFD-71D6F328115A}"/>
    <cellStyle name="Normal 3 2 3 6 4" xfId="37252" xr:uid="{BE0CBE03-EC1F-4BD7-9AED-E54E749FD5B0}"/>
    <cellStyle name="Normal 3 2 3 6 5" xfId="28804" xr:uid="{D8F3F022-3BBE-40A1-94D8-F25A0F5E6181}"/>
    <cellStyle name="Normal 3 2 3 6 6" xfId="20357" xr:uid="{5E4409A7-7703-40A8-9B83-C6C6191FD41C}"/>
    <cellStyle name="Normal 3 2 3 6 7" xfId="11060" xr:uid="{C5F2268F-1552-4EA0-9343-281C523D768C}"/>
    <cellStyle name="Normal 3 2 3 7" xfId="2058" xr:uid="{00000000-0005-0000-0000-0000C7110000}"/>
    <cellStyle name="Normal 3 2 3 7 2" xfId="4287" xr:uid="{00000000-0005-0000-0000-0000C8110000}"/>
    <cellStyle name="Normal 3 2 3 7 2 2" xfId="8509" xr:uid="{00000000-0005-0000-0000-0000C9110000}"/>
    <cellStyle name="Normal 3 2 3 7 2 2 2" xfId="44027" xr:uid="{C238D81F-77EA-47C7-A143-24FB10528C0A}"/>
    <cellStyle name="Normal 3 2 3 7 2 2 3" xfId="35580" xr:uid="{BE4D680A-1389-4E17-B250-F0DB308F2AA0}"/>
    <cellStyle name="Normal 3 2 3 7 2 2 4" xfId="27132" xr:uid="{4700192E-71EB-4073-BFAB-6948837EAF00}"/>
    <cellStyle name="Normal 3 2 3 7 2 2 5" xfId="17835" xr:uid="{91169C67-10F1-437F-B821-80838873A6CA}"/>
    <cellStyle name="Normal 3 2 3 7 2 3" xfId="39810" xr:uid="{B40E4D13-9843-4544-9EC4-E85A70596E3F}"/>
    <cellStyle name="Normal 3 2 3 7 2 4" xfId="31362" xr:uid="{4BD7D85F-966B-4666-AC97-B61BB51FDE3E}"/>
    <cellStyle name="Normal 3 2 3 7 2 5" xfId="22915" xr:uid="{6C3A8ABF-587D-4937-9EFE-57977398146E}"/>
    <cellStyle name="Normal 3 2 3 7 2 6" xfId="13618" xr:uid="{E1A119C4-CEC0-49B3-BA64-0DD82021F175}"/>
    <cellStyle name="Normal 3 2 3 7 3" xfId="6364" xr:uid="{00000000-0005-0000-0000-0000CA110000}"/>
    <cellStyle name="Normal 3 2 3 7 3 2" xfId="41882" xr:uid="{97763842-7631-486B-B009-FB74BDD2D282}"/>
    <cellStyle name="Normal 3 2 3 7 3 3" xfId="33435" xr:uid="{605DE7EE-B1F5-45E4-BE48-FC701FF0F482}"/>
    <cellStyle name="Normal 3 2 3 7 3 4" xfId="24987" xr:uid="{BA6BF674-C0C1-4188-A8FA-B2C1B2946144}"/>
    <cellStyle name="Normal 3 2 3 7 3 5" xfId="15690" xr:uid="{DE4C79A2-903C-4C71-9761-996A2CF2BE6A}"/>
    <cellStyle name="Normal 3 2 3 7 4" xfId="37665" xr:uid="{475A3DB9-D6A3-4065-9D4E-6E6F9A5A2A6A}"/>
    <cellStyle name="Normal 3 2 3 7 5" xfId="29217" xr:uid="{4E653A1B-6D32-482E-992D-393E0EC69789}"/>
    <cellStyle name="Normal 3 2 3 7 6" xfId="20770" xr:uid="{CB716D80-0F0F-45D4-898D-4D0B9BA120FD}"/>
    <cellStyle name="Normal 3 2 3 7 7" xfId="11473" xr:uid="{18DC3E5B-53F5-4A66-BBD9-544069FFA204}"/>
    <cellStyle name="Normal 3 2 3 8" xfId="2494" xr:uid="{00000000-0005-0000-0000-0000CB110000}"/>
    <cellStyle name="Normal 3 2 3 8 2" xfId="6777" xr:uid="{00000000-0005-0000-0000-0000CC110000}"/>
    <cellStyle name="Normal 3 2 3 8 2 2" xfId="42295" xr:uid="{DF79A5D3-54E4-4E8E-A999-050C3C00FC73}"/>
    <cellStyle name="Normal 3 2 3 8 2 3" xfId="33848" xr:uid="{5661E922-CFB6-4A94-B222-54C2B313D0DF}"/>
    <cellStyle name="Normal 3 2 3 8 2 4" xfId="25400" xr:uid="{B663DB8C-2129-44DE-944E-8FAB8FB047E5}"/>
    <cellStyle name="Normal 3 2 3 8 2 5" xfId="16103" xr:uid="{908D4391-FCCD-4656-A938-112074222A3F}"/>
    <cellStyle name="Normal 3 2 3 8 3" xfId="38078" xr:uid="{911261E1-65B8-427A-B14D-8BF9897F5BC1}"/>
    <cellStyle name="Normal 3 2 3 8 4" xfId="29630" xr:uid="{76298F21-200C-4FB8-AEC2-4F8F439AD6FF}"/>
    <cellStyle name="Normal 3 2 3 8 5" xfId="21183" xr:uid="{7044404A-D8A3-4447-BB5B-6C6275CDD964}"/>
    <cellStyle name="Normal 3 2 3 8 6" xfId="11886" xr:uid="{BA379EAE-EEC9-415B-A888-6BBFFCADCE69}"/>
    <cellStyle name="Normal 3 2 3 9" xfId="4711" xr:uid="{00000000-0005-0000-0000-0000CD110000}"/>
    <cellStyle name="Normal 3 2 3 9 2" xfId="40229" xr:uid="{93ADEC41-F952-4DAC-A0DE-321102AD438C}"/>
    <cellStyle name="Normal 3 2 3 9 3" xfId="31782" xr:uid="{AB37253E-6A62-41A4-934D-3202279E05D3}"/>
    <cellStyle name="Normal 3 2 3 9 4" xfId="23334" xr:uid="{971D30CF-A894-4560-A715-78A2EF2E43B3}"/>
    <cellStyle name="Normal 3 2 3 9 5" xfId="14037" xr:uid="{103E9965-7EA6-4B75-9DFA-AE042AF94D61}"/>
    <cellStyle name="Normal 3 2 4" xfId="809" xr:uid="{00000000-0005-0000-0000-0000CE110000}"/>
    <cellStyle name="Normal 3 2 4 2" xfId="3047" xr:uid="{00000000-0005-0000-0000-0000CF110000}"/>
    <cellStyle name="Normal 3 2 4 2 2" xfId="7269" xr:uid="{00000000-0005-0000-0000-0000D0110000}"/>
    <cellStyle name="Normal 3 2 4 2 2 2" xfId="42787" xr:uid="{0D193DD8-F70F-49A6-B2A9-BEB7CE0649C9}"/>
    <cellStyle name="Normal 3 2 4 2 2 3" xfId="34340" xr:uid="{011BCD0A-C627-46A1-AB97-C47081760142}"/>
    <cellStyle name="Normal 3 2 4 2 2 4" xfId="25892" xr:uid="{2421767D-2AFA-4826-A1B0-B5B68A280532}"/>
    <cellStyle name="Normal 3 2 4 2 2 5" xfId="16595" xr:uid="{4171FBC9-572B-49CD-B07D-DFA5BA7C61A1}"/>
    <cellStyle name="Normal 3 2 4 2 3" xfId="38570" xr:uid="{FA51439F-BBE5-45F2-8C29-4EF84BBBD6DA}"/>
    <cellStyle name="Normal 3 2 4 2 4" xfId="30122" xr:uid="{B7394971-7FC0-4897-AF78-7C3D8EB6AEBB}"/>
    <cellStyle name="Normal 3 2 4 2 5" xfId="21675" xr:uid="{C731F11C-6685-4E35-BB8A-C950293CECD8}"/>
    <cellStyle name="Normal 3 2 4 2 6" xfId="12378" xr:uid="{41CBE58C-3AF4-491A-BABE-7925F3B091A0}"/>
    <cellStyle name="Normal 3 2 4 3" xfId="5124" xr:uid="{00000000-0005-0000-0000-0000D1110000}"/>
    <cellStyle name="Normal 3 2 4 3 2" xfId="40642" xr:uid="{C01D02FE-7AB2-4CC8-B0B4-CE6B168F231F}"/>
    <cellStyle name="Normal 3 2 4 3 3" xfId="32195" xr:uid="{B8566A19-AD5B-4EA3-B966-54577F59C45A}"/>
    <cellStyle name="Normal 3 2 4 3 4" xfId="23747" xr:uid="{5BC1FB99-5F2E-4377-83D8-4EE0BDBBD8CE}"/>
    <cellStyle name="Normal 3 2 4 3 5" xfId="14450" xr:uid="{8989A58D-5559-4018-8446-DBC3062E6DE5}"/>
    <cellStyle name="Normal 3 2 4 4" xfId="9607" xr:uid="{7D769806-7069-4B8D-8CAC-B3B91BBA8D64}"/>
    <cellStyle name="Normal 3 2 4 4 2" xfId="36425" xr:uid="{AA427FED-6E3F-4962-A050-6093D272600D}"/>
    <cellStyle name="Normal 3 2 4 4 3" xfId="18906" xr:uid="{B0ED9B0A-B05A-4643-945A-8788D3E08C89}"/>
    <cellStyle name="Normal 3 2 4 5" xfId="27977" xr:uid="{8FAE5ECF-D10B-4620-8AD6-2EF9CD7517C6}"/>
    <cellStyle name="Normal 3 2 4 6" xfId="19530" xr:uid="{14102B60-A6A2-46F7-A6FC-1F4296034AD8}"/>
    <cellStyle name="Normal 3 2 4 7" xfId="10233" xr:uid="{15230F2C-4F40-4986-9BEB-2D1E684C1AC2}"/>
    <cellStyle name="Normal 3 2 5" xfId="1230" xr:uid="{00000000-0005-0000-0000-0000D2110000}"/>
    <cellStyle name="Normal 3 2 5 2" xfId="3460" xr:uid="{00000000-0005-0000-0000-0000D3110000}"/>
    <cellStyle name="Normal 3 2 5 2 2" xfId="7682" xr:uid="{00000000-0005-0000-0000-0000D4110000}"/>
    <cellStyle name="Normal 3 2 5 2 2 2" xfId="43200" xr:uid="{7A280807-5A14-4790-BE7D-502C4CE9CA54}"/>
    <cellStyle name="Normal 3 2 5 2 2 3" xfId="34753" xr:uid="{667FC300-91C0-4009-AEB9-E5CD5BFB24A2}"/>
    <cellStyle name="Normal 3 2 5 2 2 4" xfId="26305" xr:uid="{2454DBEE-AA0C-42A6-818C-25D8B834BF65}"/>
    <cellStyle name="Normal 3 2 5 2 2 5" xfId="17008" xr:uid="{1AFF0465-DB3D-4F55-B88E-74C24E86CB9E}"/>
    <cellStyle name="Normal 3 2 5 2 3" xfId="38983" xr:uid="{8AC37BC7-8F4A-47B5-ABF5-48D4A2FD8F59}"/>
    <cellStyle name="Normal 3 2 5 2 4" xfId="30535" xr:uid="{9B52904F-EEAD-4431-B3F8-19446B3D2867}"/>
    <cellStyle name="Normal 3 2 5 2 5" xfId="22088" xr:uid="{A9C856A8-CD38-48C5-9EA1-0B3E11820055}"/>
    <cellStyle name="Normal 3 2 5 2 6" xfId="12791" xr:uid="{5F444C78-BFFA-4DC6-AD1E-8F4E910C8460}"/>
    <cellStyle name="Normal 3 2 5 3" xfId="5537" xr:uid="{00000000-0005-0000-0000-0000D5110000}"/>
    <cellStyle name="Normal 3 2 5 3 2" xfId="41055" xr:uid="{3712DB0C-CBAB-4E64-896C-F6CCC6B97129}"/>
    <cellStyle name="Normal 3 2 5 3 3" xfId="32608" xr:uid="{75704D17-93DC-41DF-BF03-9CD94710C798}"/>
    <cellStyle name="Normal 3 2 5 3 4" xfId="24160" xr:uid="{AAC00310-1130-4276-A5F0-FAD6AE8C7126}"/>
    <cellStyle name="Normal 3 2 5 3 5" xfId="14863" xr:uid="{DCC3E0D7-24FF-4469-BC21-3BD1F6295183}"/>
    <cellStyle name="Normal 3 2 5 4" xfId="36838" xr:uid="{89816182-0486-49F2-8A52-AF7CA6AA809C}"/>
    <cellStyle name="Normal 3 2 5 5" xfId="28390" xr:uid="{90FEC6CF-8687-4472-A4BF-96C502D39D84}"/>
    <cellStyle name="Normal 3 2 5 6" xfId="19943" xr:uid="{7248D059-1E44-4D76-9958-E6CF313FC5FA}"/>
    <cellStyle name="Normal 3 2 5 7" xfId="10646" xr:uid="{FA0D5B03-919B-4485-9159-83070B500981}"/>
    <cellStyle name="Normal 3 2 6" xfId="1643" xr:uid="{00000000-0005-0000-0000-0000D6110000}"/>
    <cellStyle name="Normal 3 2 6 2" xfId="3873" xr:uid="{00000000-0005-0000-0000-0000D7110000}"/>
    <cellStyle name="Normal 3 2 6 2 2" xfId="8095" xr:uid="{00000000-0005-0000-0000-0000D8110000}"/>
    <cellStyle name="Normal 3 2 6 2 2 2" xfId="43613" xr:uid="{212FBB7E-F3F2-428B-8AB5-FEDFFC49E65E}"/>
    <cellStyle name="Normal 3 2 6 2 2 3" xfId="35166" xr:uid="{EA67FE95-855F-43E1-882B-D02A3C96492D}"/>
    <cellStyle name="Normal 3 2 6 2 2 4" xfId="26718" xr:uid="{ECF307D6-8D30-4FC9-AAFC-31C6261F206F}"/>
    <cellStyle name="Normal 3 2 6 2 2 5" xfId="17421" xr:uid="{2803C453-04F4-4752-8FDF-477E2E18E559}"/>
    <cellStyle name="Normal 3 2 6 2 3" xfId="39396" xr:uid="{A450B06A-D839-4A21-AC8A-3740895EFA67}"/>
    <cellStyle name="Normal 3 2 6 2 4" xfId="30948" xr:uid="{9A3DF4F3-3D13-4F06-90B8-2281F8373FCC}"/>
    <cellStyle name="Normal 3 2 6 2 5" xfId="22501" xr:uid="{09809DF7-D716-4EE1-9294-17DCC868CACF}"/>
    <cellStyle name="Normal 3 2 6 2 6" xfId="13204" xr:uid="{A6A5D28A-F6F3-41AF-BA43-3CFA15EC1D2F}"/>
    <cellStyle name="Normal 3 2 6 3" xfId="5950" xr:uid="{00000000-0005-0000-0000-0000D9110000}"/>
    <cellStyle name="Normal 3 2 6 3 2" xfId="41468" xr:uid="{7B3018F5-B965-479D-8CAB-FAC807FF05EF}"/>
    <cellStyle name="Normal 3 2 6 3 3" xfId="33021" xr:uid="{B7124A0F-9A16-4141-81FB-B98ECF0232E4}"/>
    <cellStyle name="Normal 3 2 6 3 4" xfId="24573" xr:uid="{E7DABB37-CEB4-4943-B209-148C700E1AC8}"/>
    <cellStyle name="Normal 3 2 6 3 5" xfId="15276" xr:uid="{C28BF711-EA35-4733-8029-65CC4CC31B82}"/>
    <cellStyle name="Normal 3 2 6 4" xfId="37251" xr:uid="{28DF5343-9FDF-4641-B787-3C8477B96431}"/>
    <cellStyle name="Normal 3 2 6 5" xfId="28803" xr:uid="{7BA67BC5-C1B3-4F9A-BAA1-3BE85AA050C0}"/>
    <cellStyle name="Normal 3 2 6 6" xfId="20356" xr:uid="{E05E70BF-D526-41A8-A567-81FEB68CC1FD}"/>
    <cellStyle name="Normal 3 2 6 7" xfId="11059" xr:uid="{8D32770D-98C4-46DD-8313-5568CC105DCE}"/>
    <cellStyle name="Normal 3 2 7" xfId="2057" xr:uid="{00000000-0005-0000-0000-0000DA110000}"/>
    <cellStyle name="Normal 3 2 7 2" xfId="4286" xr:uid="{00000000-0005-0000-0000-0000DB110000}"/>
    <cellStyle name="Normal 3 2 7 2 2" xfId="8508" xr:uid="{00000000-0005-0000-0000-0000DC110000}"/>
    <cellStyle name="Normal 3 2 7 2 2 2" xfId="44026" xr:uid="{7E9BD512-B2CF-49BF-8E82-1208AAEAB595}"/>
    <cellStyle name="Normal 3 2 7 2 2 3" xfId="35579" xr:uid="{080C714A-5566-47A6-8822-F6D565BE75BF}"/>
    <cellStyle name="Normal 3 2 7 2 2 4" xfId="27131" xr:uid="{DC4140C2-267E-4DB5-95BB-E5C54E144C81}"/>
    <cellStyle name="Normal 3 2 7 2 2 5" xfId="17834" xr:uid="{404DC70A-DE4D-4D7E-9D91-9B94BA043224}"/>
    <cellStyle name="Normal 3 2 7 2 3" xfId="39809" xr:uid="{E5285D1F-3264-4330-A175-E5385F85F099}"/>
    <cellStyle name="Normal 3 2 7 2 4" xfId="31361" xr:uid="{9CA0374C-3521-4C26-9992-6C653850C282}"/>
    <cellStyle name="Normal 3 2 7 2 5" xfId="22914" xr:uid="{554DF1E4-EB31-4801-A517-DB9DBE3DC78D}"/>
    <cellStyle name="Normal 3 2 7 2 6" xfId="13617" xr:uid="{D0DB987E-1CB9-441C-B049-A6F45603955A}"/>
    <cellStyle name="Normal 3 2 7 3" xfId="6363" xr:uid="{00000000-0005-0000-0000-0000DD110000}"/>
    <cellStyle name="Normal 3 2 7 3 2" xfId="41881" xr:uid="{5EB585C4-B979-457B-B10E-4B09F419062D}"/>
    <cellStyle name="Normal 3 2 7 3 3" xfId="33434" xr:uid="{CE4C6C8A-2DA6-4DC2-A0A2-0318FBC4C6C7}"/>
    <cellStyle name="Normal 3 2 7 3 4" xfId="24986" xr:uid="{2724F6D0-7538-40A2-9B6B-EE5727767532}"/>
    <cellStyle name="Normal 3 2 7 3 5" xfId="15689" xr:uid="{B171FFBA-3024-4165-BF23-05C1B3F897EE}"/>
    <cellStyle name="Normal 3 2 7 4" xfId="37664" xr:uid="{403DD609-3DD2-46B1-B22D-831431FDE171}"/>
    <cellStyle name="Normal 3 2 7 5" xfId="29216" xr:uid="{00CBA116-4E5A-4124-89F6-9A1B85C70734}"/>
    <cellStyle name="Normal 3 2 7 6" xfId="20769" xr:uid="{ACBE217E-1D98-4BC2-80F2-967D6E936D0B}"/>
    <cellStyle name="Normal 3 2 7 7" xfId="11472" xr:uid="{20D9D49B-B480-4360-BDB8-6E53C8B0ECE0}"/>
    <cellStyle name="Normal 3 2 8" xfId="2493" xr:uid="{00000000-0005-0000-0000-0000DE110000}"/>
    <cellStyle name="Normal 3 2 8 2" xfId="6776" xr:uid="{00000000-0005-0000-0000-0000DF110000}"/>
    <cellStyle name="Normal 3 2 8 2 2" xfId="42294" xr:uid="{56FC30F3-36AC-470A-A17D-E72728E7C698}"/>
    <cellStyle name="Normal 3 2 8 2 3" xfId="33847" xr:uid="{4355726D-B858-414F-ADDE-24F214E801E4}"/>
    <cellStyle name="Normal 3 2 8 2 4" xfId="25399" xr:uid="{3DBB5895-35EE-414E-9AF8-252458289EE4}"/>
    <cellStyle name="Normal 3 2 8 2 5" xfId="16102" xr:uid="{1370B303-B1BE-46EA-9338-B5BDFED56880}"/>
    <cellStyle name="Normal 3 2 8 3" xfId="38077" xr:uid="{A75F8B29-A56B-4679-8233-9657FA501280}"/>
    <cellStyle name="Normal 3 2 8 4" xfId="29629" xr:uid="{F19BD46D-0F76-4809-9FCD-4BF9EF9B21B3}"/>
    <cellStyle name="Normal 3 2 8 5" xfId="21182" xr:uid="{C6F4D903-5422-4388-B959-D5E863BBB005}"/>
    <cellStyle name="Normal 3 2 8 6" xfId="11885" xr:uid="{1445269E-5B0B-4E82-973E-038BEE1C5588}"/>
    <cellStyle name="Normal 3 2 9" xfId="4710" xr:uid="{00000000-0005-0000-0000-0000E0110000}"/>
    <cellStyle name="Normal 3 2 9 2" xfId="40228" xr:uid="{76AB4399-25BF-4770-8664-B3C7D0F0B735}"/>
    <cellStyle name="Normal 3 2 9 3" xfId="31781" xr:uid="{995024FE-7A97-4E72-A9B5-D37643992C97}"/>
    <cellStyle name="Normal 3 2 9 4" xfId="23333" xr:uid="{A4459BEB-26B4-42E1-99D6-098F49625641}"/>
    <cellStyle name="Normal 3 2 9 5" xfId="14036" xr:uid="{BF55CB39-7244-4060-8DFC-CB600261981B}"/>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10 2" xfId="36016" xr:uid="{FADD7ECD-0361-4D4B-9143-EC21BD8B4076}"/>
    <cellStyle name="Normal 4 10 3" xfId="18063" xr:uid="{C78DEC62-EB5F-4B9B-9561-BDBA5FEBAF36}"/>
    <cellStyle name="Normal 4 11" xfId="27568" xr:uid="{AB78C087-C7F0-482E-9247-095FE19B66D9}"/>
    <cellStyle name="Normal 4 12" xfId="19121" xr:uid="{FE2F56C8-BF77-4906-A1D1-393C9A954A1B}"/>
    <cellStyle name="Normal 4 13" xfId="9824" xr:uid="{BDBE6B78-99C2-495F-BBEE-9534A91B8D4E}"/>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44031" xr:uid="{9793A145-75B7-4868-BACF-D3BA57EBB260}"/>
    <cellStyle name="Normal 4 2 2 10 2 2 3" xfId="35584" xr:uid="{9E72AA3E-C07C-45D4-BC78-A6B0689DEAF9}"/>
    <cellStyle name="Normal 4 2 2 10 2 2 4" xfId="27136" xr:uid="{A36E73BF-8076-4EE1-AE72-C609A74C7BC4}"/>
    <cellStyle name="Normal 4 2 2 10 2 2 5" xfId="17839" xr:uid="{645BD7E0-98C5-4952-AD50-71268159E322}"/>
    <cellStyle name="Normal 4 2 2 10 2 3" xfId="39814" xr:uid="{B4F134F4-B611-4893-9F35-01E469234D76}"/>
    <cellStyle name="Normal 4 2 2 10 2 4" xfId="31366" xr:uid="{1C05AB8F-E3F2-4759-AF76-0BBF71CF8CC5}"/>
    <cellStyle name="Normal 4 2 2 10 2 5" xfId="22919" xr:uid="{114605D4-00EB-4A0E-AADC-32B81B126D27}"/>
    <cellStyle name="Normal 4 2 2 10 2 6" xfId="13622" xr:uid="{FFF7D42A-959E-4C0C-AC31-767EC3D71E76}"/>
    <cellStyle name="Normal 4 2 2 10 3" xfId="6368" xr:uid="{00000000-0005-0000-0000-0000ED110000}"/>
    <cellStyle name="Normal 4 2 2 10 3 2" xfId="41886" xr:uid="{F94CE5A1-45E6-4039-B26E-62EAFDB9EF5D}"/>
    <cellStyle name="Normal 4 2 2 10 3 3" xfId="33439" xr:uid="{228129A6-1D90-43DC-9AB0-9D7B45397F85}"/>
    <cellStyle name="Normal 4 2 2 10 3 4" xfId="24991" xr:uid="{289237E4-6254-485A-A58C-308B1DE43DC0}"/>
    <cellStyle name="Normal 4 2 2 10 3 5" xfId="15694" xr:uid="{C8BBDA37-5561-4CFB-AD98-F09B96A48B72}"/>
    <cellStyle name="Normal 4 2 2 10 4" xfId="37669" xr:uid="{827135A9-4630-4AD3-B888-54CB596C2878}"/>
    <cellStyle name="Normal 4 2 2 10 5" xfId="29221" xr:uid="{33BCC1D5-72FC-4393-A34B-75DFAA0CC7F7}"/>
    <cellStyle name="Normal 4 2 2 10 6" xfId="20774" xr:uid="{3B0443AC-E73C-4541-99D0-145862B28C63}"/>
    <cellStyle name="Normal 4 2 2 10 7" xfId="11477" xr:uid="{D3E153C0-ED06-4C25-8EB8-3237340530B4}"/>
    <cellStyle name="Normal 4 2 2 11" xfId="2498" xr:uid="{00000000-0005-0000-0000-0000EE110000}"/>
    <cellStyle name="Normal 4 2 2 11 2" xfId="6781" xr:uid="{00000000-0005-0000-0000-0000EF110000}"/>
    <cellStyle name="Normal 4 2 2 11 2 2" xfId="42299" xr:uid="{C65C7C58-4AAB-4433-A41F-63BD44C23251}"/>
    <cellStyle name="Normal 4 2 2 11 2 3" xfId="33852" xr:uid="{CF790CAE-95CD-406A-9301-7429B507B858}"/>
    <cellStyle name="Normal 4 2 2 11 2 4" xfId="25404" xr:uid="{780C8C68-12C6-47BE-B606-6D90CC6BBAF5}"/>
    <cellStyle name="Normal 4 2 2 11 2 5" xfId="16107" xr:uid="{15CB1B69-3AE2-43DC-9C20-C0C7AF5CDCD6}"/>
    <cellStyle name="Normal 4 2 2 11 3" xfId="38082" xr:uid="{76CAC939-E78C-4011-9C47-793306DFE13D}"/>
    <cellStyle name="Normal 4 2 2 11 4" xfId="29634" xr:uid="{CB92613C-ECF5-4466-AF2B-B378397EAFEB}"/>
    <cellStyle name="Normal 4 2 2 11 5" xfId="21187" xr:uid="{20C96271-E5A7-4C78-88F8-40C2ABDAE675}"/>
    <cellStyle name="Normal 4 2 2 11 6" xfId="11890" xr:uid="{9273072C-B352-4E20-A534-07A6B2457D11}"/>
    <cellStyle name="Normal 4 2 2 12" xfId="4716" xr:uid="{00000000-0005-0000-0000-0000F0110000}"/>
    <cellStyle name="Normal 4 2 2 12 2" xfId="40234" xr:uid="{7F125A70-5BFB-4717-B512-F90C0BFEABC4}"/>
    <cellStyle name="Normal 4 2 2 12 3" xfId="31787" xr:uid="{98BA271D-AB53-4AF0-8DC6-F5C1359E43CD}"/>
    <cellStyle name="Normal 4 2 2 12 4" xfId="23339" xr:uid="{29D2D7AF-569A-4111-80E7-FD5454BD00EC}"/>
    <cellStyle name="Normal 4 2 2 12 5" xfId="14042" xr:uid="{1040CEFC-86D2-4111-A065-CE4142ACD1E6}"/>
    <cellStyle name="Normal 4 2 2 13" xfId="8752" xr:uid="{7B61EFAC-4165-4615-9A47-7AF5DAE027C9}"/>
    <cellStyle name="Normal 4 2 2 13 2" xfId="36017" xr:uid="{078ED779-8D05-4324-896B-0DB4D5CC18DE}"/>
    <cellStyle name="Normal 4 2 2 13 3" xfId="18075" xr:uid="{3EC45F5B-E79C-4FB3-8A39-68B392220D9E}"/>
    <cellStyle name="Normal 4 2 2 14" xfId="27569" xr:uid="{49F6FE35-C3BB-4193-B249-426823EF34FD}"/>
    <cellStyle name="Normal 4 2 2 15" xfId="19122" xr:uid="{B06AF423-CF83-4E7C-A8C9-080BD011157B}"/>
    <cellStyle name="Normal 4 2 2 16" xfId="9825" xr:uid="{1FDC8A9C-F026-4328-9DCC-DAC9A89DEE40}"/>
    <cellStyle name="Normal 4 2 2 2" xfId="338" xr:uid="{00000000-0005-0000-0000-0000F1110000}"/>
    <cellStyle name="Normal 4 2 2 3" xfId="339" xr:uid="{00000000-0005-0000-0000-0000F2110000}"/>
    <cellStyle name="Normal 4 2 2 3 10" xfId="4717" xr:uid="{00000000-0005-0000-0000-0000F3110000}"/>
    <cellStyle name="Normal 4 2 2 3 10 2" xfId="40235" xr:uid="{59B4ACA6-7592-41C1-A80B-CC8827806591}"/>
    <cellStyle name="Normal 4 2 2 3 10 3" xfId="31788" xr:uid="{3316D120-866E-406B-A96F-76C76ED00B4B}"/>
    <cellStyle name="Normal 4 2 2 3 10 4" xfId="23340" xr:uid="{B8925A53-8072-4FC4-8A05-171C52EBCCD0}"/>
    <cellStyle name="Normal 4 2 2 3 10 5" xfId="14043" xr:uid="{EA812BE0-D705-491C-9CC6-3459A5C794FF}"/>
    <cellStyle name="Normal 4 2 2 3 11" xfId="8784" xr:uid="{8AA3A883-811C-4C4A-AFFF-9AAED56BF228}"/>
    <cellStyle name="Normal 4 2 2 3 11 2" xfId="36018" xr:uid="{4F929BA9-BB04-4FB7-948A-13A75F553DC5}"/>
    <cellStyle name="Normal 4 2 2 3 11 3" xfId="18107" xr:uid="{44DBFCFC-77DD-429F-819E-5E268850F9B4}"/>
    <cellStyle name="Normal 4 2 2 3 12" xfId="27570" xr:uid="{9545964B-F73B-48E9-B8A1-90D6032D19F2}"/>
    <cellStyle name="Normal 4 2 2 3 13" xfId="19123" xr:uid="{A938B186-5398-4CC8-8E65-7FEAA31ACE4F}"/>
    <cellStyle name="Normal 4 2 2 3 14" xfId="9826" xr:uid="{09EC6CA8-3C34-4B71-AC1B-05C34093D245}"/>
    <cellStyle name="Normal 4 2 2 3 2" xfId="340" xr:uid="{00000000-0005-0000-0000-0000F4110000}"/>
    <cellStyle name="Normal 4 2 2 3 2 10" xfId="8819" xr:uid="{16629302-3759-4242-B07E-BB5D034B10E8}"/>
    <cellStyle name="Normal 4 2 2 3 2 10 2" xfId="36019" xr:uid="{EFFFCE19-127C-4B46-95BB-C47485EDA5C6}"/>
    <cellStyle name="Normal 4 2 2 3 2 10 3" xfId="18142" xr:uid="{65344F8C-0AAA-4D36-A6F3-985382D2B128}"/>
    <cellStyle name="Normal 4 2 2 3 2 11" xfId="27571" xr:uid="{11A7B08C-5D0E-4BF9-8529-05622EF19621}"/>
    <cellStyle name="Normal 4 2 2 3 2 12" xfId="19124" xr:uid="{9A7E6BF7-2177-4AE0-AE00-301F656AD969}"/>
    <cellStyle name="Normal 4 2 2 3 2 13" xfId="9827" xr:uid="{4B88A81B-CE83-4738-AD40-347DC2375F18}"/>
    <cellStyle name="Normal 4 2 2 3 2 2" xfId="341" xr:uid="{00000000-0005-0000-0000-0000F5110000}"/>
    <cellStyle name="Normal 4 2 2 3 2 2 10" xfId="27572" xr:uid="{BDA35169-FCD4-4414-A9BF-758165612F61}"/>
    <cellStyle name="Normal 4 2 2 3 2 2 11" xfId="19125" xr:uid="{62B9E953-DCE9-4430-B3B1-D96F2CC415F8}"/>
    <cellStyle name="Normal 4 2 2 3 2 2 12" xfId="9828" xr:uid="{882A94DD-B810-4229-9ED1-6DC8884DC9B7}"/>
    <cellStyle name="Normal 4 2 2 3 2 2 2" xfId="342" xr:uid="{00000000-0005-0000-0000-0000F6110000}"/>
    <cellStyle name="Normal 4 2 2 3 2 2 2 10" xfId="19126" xr:uid="{FE9FD5DB-B1BB-44EF-A4E1-32C5D7F76C6F}"/>
    <cellStyle name="Normal 4 2 2 3 2 2 2 11" xfId="9829" xr:uid="{318E933E-43E2-4DE6-8D08-F3747EE9E436}"/>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42796" xr:uid="{E651AACB-0C0B-4B09-9468-DB7B2FF42FBC}"/>
    <cellStyle name="Normal 4 2 2 3 2 2 2 2 2 2 3" xfId="34349" xr:uid="{B9B2C777-5AC7-4459-BDE7-D84B868663AC}"/>
    <cellStyle name="Normal 4 2 2 3 2 2 2 2 2 2 4" xfId="25901" xr:uid="{C09F6B93-2FF0-4146-B0FA-1F164C5F805D}"/>
    <cellStyle name="Normal 4 2 2 3 2 2 2 2 2 2 5" xfId="16604" xr:uid="{D5049D5C-DD76-43D5-8202-322EC571FC10}"/>
    <cellStyle name="Normal 4 2 2 3 2 2 2 2 2 3" xfId="38579" xr:uid="{5A7F4FD1-FB49-40C8-95AB-4196F201068E}"/>
    <cellStyle name="Normal 4 2 2 3 2 2 2 2 2 4" xfId="30131" xr:uid="{D0AC8B87-C361-4DC0-8B61-0C4CB08DDC27}"/>
    <cellStyle name="Normal 4 2 2 3 2 2 2 2 2 5" xfId="21684" xr:uid="{A6E07B0F-9EEC-4760-846D-51A709CF4F3D}"/>
    <cellStyle name="Normal 4 2 2 3 2 2 2 2 2 6" xfId="12387" xr:uid="{ECCF860C-66E7-4A4E-B83E-15250BA20EAA}"/>
    <cellStyle name="Normal 4 2 2 3 2 2 2 2 3" xfId="5133" xr:uid="{00000000-0005-0000-0000-0000FA110000}"/>
    <cellStyle name="Normal 4 2 2 3 2 2 2 2 3 2" xfId="40651" xr:uid="{5ADA430A-7458-40B7-8F39-3C35EE14B703}"/>
    <cellStyle name="Normal 4 2 2 3 2 2 2 2 3 3" xfId="32204" xr:uid="{6CB7CEDA-3980-401F-8273-777585C47BB6}"/>
    <cellStyle name="Normal 4 2 2 3 2 2 2 2 3 4" xfId="23756" xr:uid="{30435CC1-CD2E-4FE2-9FD7-768FEBC93A42}"/>
    <cellStyle name="Normal 4 2 2 3 2 2 2 2 3 5" xfId="14459" xr:uid="{CF9A6762-65B3-43D1-894A-41FA416A09D8}"/>
    <cellStyle name="Normal 4 2 2 3 2 2 2 2 4" xfId="9554" xr:uid="{BAC669EC-8948-4716-90C3-0688F03300CE}"/>
    <cellStyle name="Normal 4 2 2 3 2 2 2 2 4 2" xfId="36434" xr:uid="{9E56253C-2A02-4868-94C3-04F3E9868B47}"/>
    <cellStyle name="Normal 4 2 2 3 2 2 2 2 4 3" xfId="18867" xr:uid="{7E7FF79E-9484-48E1-921D-BA8E0A90CFC3}"/>
    <cellStyle name="Normal 4 2 2 3 2 2 2 2 5" xfId="27986" xr:uid="{1491CA24-3A0D-400E-AB64-D1A55CBDC62E}"/>
    <cellStyle name="Normal 4 2 2 3 2 2 2 2 6" xfId="19539" xr:uid="{D1FE9E89-31FB-4A75-A26B-5979A4A74D37}"/>
    <cellStyle name="Normal 4 2 2 3 2 2 2 2 7" xfId="10242" xr:uid="{9ECD8990-C8E0-4D88-9BF8-B606F4FF083B}"/>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43209" xr:uid="{DF110E41-DF1D-409D-95C3-24AC3C7CCEC7}"/>
    <cellStyle name="Normal 4 2 2 3 2 2 2 3 2 2 3" xfId="34762" xr:uid="{E8C28745-E6A1-40A9-9BE9-41C6DA50BDCC}"/>
    <cellStyle name="Normal 4 2 2 3 2 2 2 3 2 2 4" xfId="26314" xr:uid="{2C7C5101-A51C-4421-888B-0E2E871BB582}"/>
    <cellStyle name="Normal 4 2 2 3 2 2 2 3 2 2 5" xfId="17017" xr:uid="{C0D5D597-F5CB-4966-9D67-74836F699E77}"/>
    <cellStyle name="Normal 4 2 2 3 2 2 2 3 2 3" xfId="38992" xr:uid="{DC970413-093E-4862-976E-5689135F3C78}"/>
    <cellStyle name="Normal 4 2 2 3 2 2 2 3 2 4" xfId="30544" xr:uid="{DC9746D8-9525-4F08-905C-9870DD8CEEDA}"/>
    <cellStyle name="Normal 4 2 2 3 2 2 2 3 2 5" xfId="22097" xr:uid="{7E532666-0E42-4B75-B3B2-44480F7FAC6A}"/>
    <cellStyle name="Normal 4 2 2 3 2 2 2 3 2 6" xfId="12800" xr:uid="{034A0190-E302-48DA-A330-230467693973}"/>
    <cellStyle name="Normal 4 2 2 3 2 2 2 3 3" xfId="5546" xr:uid="{00000000-0005-0000-0000-0000FE110000}"/>
    <cellStyle name="Normal 4 2 2 3 2 2 2 3 3 2" xfId="41064" xr:uid="{C92ABF22-42FF-4D88-9544-E9CA8406E0DD}"/>
    <cellStyle name="Normal 4 2 2 3 2 2 2 3 3 3" xfId="32617" xr:uid="{31885FD3-B96A-4867-9C2E-57BB8558AA27}"/>
    <cellStyle name="Normal 4 2 2 3 2 2 2 3 3 4" xfId="24169" xr:uid="{6A8B8662-A3E1-41DB-9D3B-5BF20590BB72}"/>
    <cellStyle name="Normal 4 2 2 3 2 2 2 3 3 5" xfId="14872" xr:uid="{2AA18DC2-0FA3-4D90-B401-62EC22EEF0D3}"/>
    <cellStyle name="Normal 4 2 2 3 2 2 2 3 4" xfId="36847" xr:uid="{69B12D80-9F1D-4EDE-8559-925D198085C0}"/>
    <cellStyle name="Normal 4 2 2 3 2 2 2 3 5" xfId="28399" xr:uid="{CAF44DCD-067B-48F5-9B27-8CCD65D99054}"/>
    <cellStyle name="Normal 4 2 2 3 2 2 2 3 6" xfId="19952" xr:uid="{D48A206F-0A0F-42AC-8A8E-68F81CB2A58B}"/>
    <cellStyle name="Normal 4 2 2 3 2 2 2 3 7" xfId="10655" xr:uid="{4F09C302-6BB4-4B40-BA4F-211CF4F8061A}"/>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43622" xr:uid="{DC1B7FF4-3BF8-471D-AFA2-052686B60C19}"/>
    <cellStyle name="Normal 4 2 2 3 2 2 2 4 2 2 3" xfId="35175" xr:uid="{18763632-B269-4C7C-8E64-6EEF2A59D254}"/>
    <cellStyle name="Normal 4 2 2 3 2 2 2 4 2 2 4" xfId="26727" xr:uid="{6109F8DE-C7D6-434A-B8E0-FA9777FAC4D4}"/>
    <cellStyle name="Normal 4 2 2 3 2 2 2 4 2 2 5" xfId="17430" xr:uid="{878B03C0-CAAC-4CC2-BDF4-7563961737C2}"/>
    <cellStyle name="Normal 4 2 2 3 2 2 2 4 2 3" xfId="39405" xr:uid="{DC9D7E3A-2CD8-4CEE-B8DF-6936857BB18C}"/>
    <cellStyle name="Normal 4 2 2 3 2 2 2 4 2 4" xfId="30957" xr:uid="{415B41D6-DD21-4F29-A55A-6C6454D46487}"/>
    <cellStyle name="Normal 4 2 2 3 2 2 2 4 2 5" xfId="22510" xr:uid="{B75B827F-4DF8-44BD-A976-06D5869CBE6D}"/>
    <cellStyle name="Normal 4 2 2 3 2 2 2 4 2 6" xfId="13213" xr:uid="{55CBB632-D7EB-4CFB-88AE-D922CEAFF626}"/>
    <cellStyle name="Normal 4 2 2 3 2 2 2 4 3" xfId="5959" xr:uid="{00000000-0005-0000-0000-000002120000}"/>
    <cellStyle name="Normal 4 2 2 3 2 2 2 4 3 2" xfId="41477" xr:uid="{21CD783E-5C83-46DC-B150-CB98381053A5}"/>
    <cellStyle name="Normal 4 2 2 3 2 2 2 4 3 3" xfId="33030" xr:uid="{B958CD35-7396-420B-B628-22DB02073B36}"/>
    <cellStyle name="Normal 4 2 2 3 2 2 2 4 3 4" xfId="24582" xr:uid="{3A4D3EF4-F676-423A-8476-CB457D81F97F}"/>
    <cellStyle name="Normal 4 2 2 3 2 2 2 4 3 5" xfId="15285" xr:uid="{26C9E808-6A35-4A31-9380-FD36D6610057}"/>
    <cellStyle name="Normal 4 2 2 3 2 2 2 4 4" xfId="37260" xr:uid="{B989B44A-6F9F-48ED-9462-7D512F673D52}"/>
    <cellStyle name="Normal 4 2 2 3 2 2 2 4 5" xfId="28812" xr:uid="{8E46E78F-5726-4521-A3E3-3B22DED49F36}"/>
    <cellStyle name="Normal 4 2 2 3 2 2 2 4 6" xfId="20365" xr:uid="{AE0333F6-4DB3-4C5B-BDDE-2820DF80E240}"/>
    <cellStyle name="Normal 4 2 2 3 2 2 2 4 7" xfId="11068" xr:uid="{3B317662-E1BC-4142-A724-040155F77018}"/>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44035" xr:uid="{393138E7-B684-4C1E-BAED-ADD6735AD580}"/>
    <cellStyle name="Normal 4 2 2 3 2 2 2 5 2 2 3" xfId="35588" xr:uid="{2B9BBC2A-9074-4C28-90D6-D3A5F84E1052}"/>
    <cellStyle name="Normal 4 2 2 3 2 2 2 5 2 2 4" xfId="27140" xr:uid="{0A2F92EF-B9A9-45C2-8836-2B2AEE0A6198}"/>
    <cellStyle name="Normal 4 2 2 3 2 2 2 5 2 2 5" xfId="17843" xr:uid="{8B6F6792-DE22-408F-AB15-1140F2DEA320}"/>
    <cellStyle name="Normal 4 2 2 3 2 2 2 5 2 3" xfId="39818" xr:uid="{3504B3D1-A7DF-4751-9F6F-4606F425C104}"/>
    <cellStyle name="Normal 4 2 2 3 2 2 2 5 2 4" xfId="31370" xr:uid="{6962E4D2-481E-496B-9E3A-4871F7CF6BAF}"/>
    <cellStyle name="Normal 4 2 2 3 2 2 2 5 2 5" xfId="22923" xr:uid="{0A5E8130-7E65-49B9-AB1F-0544FC2C253B}"/>
    <cellStyle name="Normal 4 2 2 3 2 2 2 5 2 6" xfId="13626" xr:uid="{A346B3CA-748E-4629-A156-C95665DE2517}"/>
    <cellStyle name="Normal 4 2 2 3 2 2 2 5 3" xfId="6372" xr:uid="{00000000-0005-0000-0000-000006120000}"/>
    <cellStyle name="Normal 4 2 2 3 2 2 2 5 3 2" xfId="41890" xr:uid="{32466EBE-B54A-48E9-B90B-2DB04122C7BA}"/>
    <cellStyle name="Normal 4 2 2 3 2 2 2 5 3 3" xfId="33443" xr:uid="{AEB7FB31-0E82-4A9B-9CE8-7EA74B70773A}"/>
    <cellStyle name="Normal 4 2 2 3 2 2 2 5 3 4" xfId="24995" xr:uid="{8C175B5B-C61A-4495-97FC-74486AE2276D}"/>
    <cellStyle name="Normal 4 2 2 3 2 2 2 5 3 5" xfId="15698" xr:uid="{7577CB0F-FDE5-4205-913E-384EA466D693}"/>
    <cellStyle name="Normal 4 2 2 3 2 2 2 5 4" xfId="37673" xr:uid="{1A78106F-EE5D-4E4A-B408-4106915FBE55}"/>
    <cellStyle name="Normal 4 2 2 3 2 2 2 5 5" xfId="29225" xr:uid="{6EA8D2A0-18D9-4751-B64F-811FC4BFE045}"/>
    <cellStyle name="Normal 4 2 2 3 2 2 2 5 6" xfId="20778" xr:uid="{08E8A6E9-4AB6-4182-BE22-FEE158D27E25}"/>
    <cellStyle name="Normal 4 2 2 3 2 2 2 5 7" xfId="11481" xr:uid="{10ECE4FA-10A6-42AD-AE6C-6C7DA2A527D8}"/>
    <cellStyle name="Normal 4 2 2 3 2 2 2 6" xfId="2502" xr:uid="{00000000-0005-0000-0000-000007120000}"/>
    <cellStyle name="Normal 4 2 2 3 2 2 2 6 2" xfId="6785" xr:uid="{00000000-0005-0000-0000-000008120000}"/>
    <cellStyle name="Normal 4 2 2 3 2 2 2 6 2 2" xfId="42303" xr:uid="{12EADE55-A49E-4813-810C-2E6623A71A81}"/>
    <cellStyle name="Normal 4 2 2 3 2 2 2 6 2 3" xfId="33856" xr:uid="{0BC83531-08E5-4C07-AF9E-BC434BDBE5A8}"/>
    <cellStyle name="Normal 4 2 2 3 2 2 2 6 2 4" xfId="25408" xr:uid="{E33E965B-A443-4409-8F65-ED87578BD220}"/>
    <cellStyle name="Normal 4 2 2 3 2 2 2 6 2 5" xfId="16111" xr:uid="{1A9583AE-9E50-4BB4-A941-23D435A4912A}"/>
    <cellStyle name="Normal 4 2 2 3 2 2 2 6 3" xfId="38086" xr:uid="{73B6C4DA-9E09-46FE-ABE5-F12B12ECF7FB}"/>
    <cellStyle name="Normal 4 2 2 3 2 2 2 6 4" xfId="29638" xr:uid="{8EA9051E-776C-45DD-AE95-E6852574EE82}"/>
    <cellStyle name="Normal 4 2 2 3 2 2 2 6 5" xfId="21191" xr:uid="{7EF09F1B-BFE5-4D2C-AD50-E6142B04B6C0}"/>
    <cellStyle name="Normal 4 2 2 3 2 2 2 6 6" xfId="11894" xr:uid="{D28CACCB-ED7E-4A86-91C1-73811774D5EC}"/>
    <cellStyle name="Normal 4 2 2 3 2 2 2 7" xfId="4720" xr:uid="{00000000-0005-0000-0000-000009120000}"/>
    <cellStyle name="Normal 4 2 2 3 2 2 2 7 2" xfId="40238" xr:uid="{ACB200F8-A594-4BCF-97FC-6E300D2F5FE5}"/>
    <cellStyle name="Normal 4 2 2 3 2 2 2 7 3" xfId="31791" xr:uid="{B18197B4-360E-42AB-87A8-6EB7AC21BC29}"/>
    <cellStyle name="Normal 4 2 2 3 2 2 2 7 4" xfId="23343" xr:uid="{26BB2FA3-F887-4C8B-9C83-42EAAE81B6F7}"/>
    <cellStyle name="Normal 4 2 2 3 2 2 2 7 5" xfId="14046" xr:uid="{08E5FBB6-0BE1-4348-9224-596E6EFAF7DF}"/>
    <cellStyle name="Normal 4 2 2 3 2 2 2 8" xfId="9129" xr:uid="{970F8072-C8D6-4D17-95D6-EBF431EAD262}"/>
    <cellStyle name="Normal 4 2 2 3 2 2 2 8 2" xfId="36021" xr:uid="{CB60BF7D-B5C4-4F86-8A8C-83ADB0F1DEF5}"/>
    <cellStyle name="Normal 4 2 2 3 2 2 2 8 3" xfId="18452" xr:uid="{363C9F1F-EC8B-4BA0-BA6F-7EF75ABAFEC6}"/>
    <cellStyle name="Normal 4 2 2 3 2 2 2 9" xfId="27573" xr:uid="{16DD5D81-44F0-4E26-9E2B-BB25763E645E}"/>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42795" xr:uid="{05E92802-6200-4C65-82D7-F76FE8A06E44}"/>
    <cellStyle name="Normal 4 2 2 3 2 2 3 2 2 3" xfId="34348" xr:uid="{474194E8-F1F9-4A2C-A96F-EDCF51F799D6}"/>
    <cellStyle name="Normal 4 2 2 3 2 2 3 2 2 4" xfId="25900" xr:uid="{FA44589A-EBB2-407C-8816-A2FF5E2AB819}"/>
    <cellStyle name="Normal 4 2 2 3 2 2 3 2 2 5" xfId="16603" xr:uid="{774EA7E6-C61F-413B-BCD8-E1DF653F88B1}"/>
    <cellStyle name="Normal 4 2 2 3 2 2 3 2 3" xfId="38578" xr:uid="{9E422D60-F08E-499F-8996-D1BA8B23FE59}"/>
    <cellStyle name="Normal 4 2 2 3 2 2 3 2 4" xfId="30130" xr:uid="{0769917E-8F9F-4729-BCA7-C0B78D517941}"/>
    <cellStyle name="Normal 4 2 2 3 2 2 3 2 5" xfId="21683" xr:uid="{D9EC6461-F976-4A56-A10A-BA12F288E731}"/>
    <cellStyle name="Normal 4 2 2 3 2 2 3 2 6" xfId="12386" xr:uid="{F04959A6-5647-4286-9D07-2FA794858179}"/>
    <cellStyle name="Normal 4 2 2 3 2 2 3 3" xfId="5132" xr:uid="{00000000-0005-0000-0000-00000D120000}"/>
    <cellStyle name="Normal 4 2 2 3 2 2 3 3 2" xfId="40650" xr:uid="{D178B14E-002B-4AE5-A51E-12772074D8C1}"/>
    <cellStyle name="Normal 4 2 2 3 2 2 3 3 3" xfId="32203" xr:uid="{3527AF05-CAC7-4CC6-9ED7-077651EEA786}"/>
    <cellStyle name="Normal 4 2 2 3 2 2 3 3 4" xfId="23755" xr:uid="{D1BF50CF-F1AC-4E2A-8CF5-20DA2846C2BA}"/>
    <cellStyle name="Normal 4 2 2 3 2 2 3 3 5" xfId="14458" xr:uid="{AC7B04E2-DE90-44C9-94A9-B4697553EAD5}"/>
    <cellStyle name="Normal 4 2 2 3 2 2 3 4" xfId="9347" xr:uid="{8C9012CB-19BB-4242-9F43-373358B13B52}"/>
    <cellStyle name="Normal 4 2 2 3 2 2 3 4 2" xfId="36433" xr:uid="{F7400B4B-34E3-493F-AEB0-D9841CB56DFE}"/>
    <cellStyle name="Normal 4 2 2 3 2 2 3 4 3" xfId="18660" xr:uid="{343146BB-AB2D-48EC-B602-051512FC61CD}"/>
    <cellStyle name="Normal 4 2 2 3 2 2 3 5" xfId="27985" xr:uid="{8BF60DB8-E29F-4DDB-90A5-06968D29052E}"/>
    <cellStyle name="Normal 4 2 2 3 2 2 3 6" xfId="19538" xr:uid="{D855C7BF-65DD-40B0-9218-72D8DD107513}"/>
    <cellStyle name="Normal 4 2 2 3 2 2 3 7" xfId="10241" xr:uid="{AC251E58-5AAA-43DC-842C-F355B644D3DA}"/>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43208" xr:uid="{3D4B517A-F7F1-47B7-B77D-58653A805E88}"/>
    <cellStyle name="Normal 4 2 2 3 2 2 4 2 2 3" xfId="34761" xr:uid="{3C72D408-C83B-4A6D-BF98-B9826B461A19}"/>
    <cellStyle name="Normal 4 2 2 3 2 2 4 2 2 4" xfId="26313" xr:uid="{68DC8EA6-836E-49C6-9019-3BEC48EEFDFF}"/>
    <cellStyle name="Normal 4 2 2 3 2 2 4 2 2 5" xfId="17016" xr:uid="{AF87B39F-AB30-4FE9-A572-C2E953299515}"/>
    <cellStyle name="Normal 4 2 2 3 2 2 4 2 3" xfId="38991" xr:uid="{1E979729-AFD8-4B2D-A402-6A7F40EEF4C1}"/>
    <cellStyle name="Normal 4 2 2 3 2 2 4 2 4" xfId="30543" xr:uid="{A17990CE-8EE2-4E35-BA76-E10279D5D66C}"/>
    <cellStyle name="Normal 4 2 2 3 2 2 4 2 5" xfId="22096" xr:uid="{328B1FE8-65EE-4AE5-93FC-6B543F0237F6}"/>
    <cellStyle name="Normal 4 2 2 3 2 2 4 2 6" xfId="12799" xr:uid="{FD0B5A0D-DF71-4AE4-98BA-DE5B8B0BA79A}"/>
    <cellStyle name="Normal 4 2 2 3 2 2 4 3" xfId="5545" xr:uid="{00000000-0005-0000-0000-000011120000}"/>
    <cellStyle name="Normal 4 2 2 3 2 2 4 3 2" xfId="41063" xr:uid="{8CA307BF-A4C9-4CE2-8509-12121B02DC24}"/>
    <cellStyle name="Normal 4 2 2 3 2 2 4 3 3" xfId="32616" xr:uid="{E7163F93-3025-4F64-ABC8-0D3B5B12A994}"/>
    <cellStyle name="Normal 4 2 2 3 2 2 4 3 4" xfId="24168" xr:uid="{426CDF37-1AC6-4366-9299-2122D88D29AE}"/>
    <cellStyle name="Normal 4 2 2 3 2 2 4 3 5" xfId="14871" xr:uid="{4B0D6E9F-5CB7-4B16-B963-C504A3E394F0}"/>
    <cellStyle name="Normal 4 2 2 3 2 2 4 4" xfId="36846" xr:uid="{7188BBC2-6D6E-4981-BB0B-CF9A01C23DE8}"/>
    <cellStyle name="Normal 4 2 2 3 2 2 4 5" xfId="28398" xr:uid="{BC90ED2F-7113-4EFD-8E3E-8F36B489A308}"/>
    <cellStyle name="Normal 4 2 2 3 2 2 4 6" xfId="19951" xr:uid="{86819681-F068-49A1-8B8E-0682294F5FF9}"/>
    <cellStyle name="Normal 4 2 2 3 2 2 4 7" xfId="10654" xr:uid="{4D149EC3-24D4-420A-A757-FCA08019AF96}"/>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43621" xr:uid="{26493D21-9E3C-4337-B9EE-6E1EFE6FA54D}"/>
    <cellStyle name="Normal 4 2 2 3 2 2 5 2 2 3" xfId="35174" xr:uid="{F49DE876-6AF7-465A-9718-B0B62B6595BD}"/>
    <cellStyle name="Normal 4 2 2 3 2 2 5 2 2 4" xfId="26726" xr:uid="{68E2D2F8-227B-49A4-AD39-8B901CAB0F35}"/>
    <cellStyle name="Normal 4 2 2 3 2 2 5 2 2 5" xfId="17429" xr:uid="{E5331C7C-CBB4-48E6-B979-9686272E3304}"/>
    <cellStyle name="Normal 4 2 2 3 2 2 5 2 3" xfId="39404" xr:uid="{8E645459-E44A-455D-A8A4-09D3394DB992}"/>
    <cellStyle name="Normal 4 2 2 3 2 2 5 2 4" xfId="30956" xr:uid="{EE674E84-DD2F-40F4-9454-33D0AE08553B}"/>
    <cellStyle name="Normal 4 2 2 3 2 2 5 2 5" xfId="22509" xr:uid="{B2F2F140-8979-436A-AF55-D9DFE53AC264}"/>
    <cellStyle name="Normal 4 2 2 3 2 2 5 2 6" xfId="13212" xr:uid="{F9722531-04AA-4F5B-9B7B-40CE8C22BAF2}"/>
    <cellStyle name="Normal 4 2 2 3 2 2 5 3" xfId="5958" xr:uid="{00000000-0005-0000-0000-000015120000}"/>
    <cellStyle name="Normal 4 2 2 3 2 2 5 3 2" xfId="41476" xr:uid="{94E109CB-20A2-4DDF-8497-B6978EE9BD3A}"/>
    <cellStyle name="Normal 4 2 2 3 2 2 5 3 3" xfId="33029" xr:uid="{ED057C22-9A5D-4B7D-B55D-A417F9434907}"/>
    <cellStyle name="Normal 4 2 2 3 2 2 5 3 4" xfId="24581" xr:uid="{0143E0AD-093C-4A14-9ECE-CD9EDAEAC3BC}"/>
    <cellStyle name="Normal 4 2 2 3 2 2 5 3 5" xfId="15284" xr:uid="{BCD83736-8FA4-424B-82A6-370361F04588}"/>
    <cellStyle name="Normal 4 2 2 3 2 2 5 4" xfId="37259" xr:uid="{EEAE0B15-B8A2-461F-8C1B-3A39DDC3A15B}"/>
    <cellStyle name="Normal 4 2 2 3 2 2 5 5" xfId="28811" xr:uid="{2654B076-8EFF-4F3F-8A11-E338F5A67B32}"/>
    <cellStyle name="Normal 4 2 2 3 2 2 5 6" xfId="20364" xr:uid="{FC221409-0EF0-47E6-A2BB-F73FCF2863DC}"/>
    <cellStyle name="Normal 4 2 2 3 2 2 5 7" xfId="11067" xr:uid="{3EBCFC4D-C4D4-4E1F-A220-6285D000CD51}"/>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44034" xr:uid="{DC7089F8-61B2-4A2D-A38D-255324F90A1E}"/>
    <cellStyle name="Normal 4 2 2 3 2 2 6 2 2 3" xfId="35587" xr:uid="{EE5B8EA4-17C1-4644-85B6-98AAC67A542B}"/>
    <cellStyle name="Normal 4 2 2 3 2 2 6 2 2 4" xfId="27139" xr:uid="{6365AECF-EECD-40D7-B49A-3FF8C2DEC974}"/>
    <cellStyle name="Normal 4 2 2 3 2 2 6 2 2 5" xfId="17842" xr:uid="{590480EA-CB74-4E2F-B659-49EB8473CFC1}"/>
    <cellStyle name="Normal 4 2 2 3 2 2 6 2 3" xfId="39817" xr:uid="{538F551F-A479-44E3-B56E-CFA80E90FFA7}"/>
    <cellStyle name="Normal 4 2 2 3 2 2 6 2 4" xfId="31369" xr:uid="{DE8C6220-38B2-4285-9454-67CA88BADD76}"/>
    <cellStyle name="Normal 4 2 2 3 2 2 6 2 5" xfId="22922" xr:uid="{31D4C328-F510-4422-BEDA-F25B4657A0F0}"/>
    <cellStyle name="Normal 4 2 2 3 2 2 6 2 6" xfId="13625" xr:uid="{48C1B5BC-0B6D-4824-8DD0-2F2E2BFDB490}"/>
    <cellStyle name="Normal 4 2 2 3 2 2 6 3" xfId="6371" xr:uid="{00000000-0005-0000-0000-000019120000}"/>
    <cellStyle name="Normal 4 2 2 3 2 2 6 3 2" xfId="41889" xr:uid="{1AE82AEA-4CFC-453B-8A59-C62C778F334C}"/>
    <cellStyle name="Normal 4 2 2 3 2 2 6 3 3" xfId="33442" xr:uid="{BACBE177-9B00-4CB9-B569-98CBD8C30475}"/>
    <cellStyle name="Normal 4 2 2 3 2 2 6 3 4" xfId="24994" xr:uid="{3AE7A94A-9DE2-435B-A593-AB463DFD92E7}"/>
    <cellStyle name="Normal 4 2 2 3 2 2 6 3 5" xfId="15697" xr:uid="{F00F8D83-1D0D-4E47-85EF-0CEEDFE79BA9}"/>
    <cellStyle name="Normal 4 2 2 3 2 2 6 4" xfId="37672" xr:uid="{B2A7BD4B-2DEE-44AA-A110-1A620B8F7DC1}"/>
    <cellStyle name="Normal 4 2 2 3 2 2 6 5" xfId="29224" xr:uid="{C54A5C94-562D-45A2-9791-A7AAF9427C09}"/>
    <cellStyle name="Normal 4 2 2 3 2 2 6 6" xfId="20777" xr:uid="{EA2DCC40-37FA-4227-AF2A-3FC46BA76F07}"/>
    <cellStyle name="Normal 4 2 2 3 2 2 6 7" xfId="11480" xr:uid="{0653FD2E-2875-4972-B9DA-C5076C68B553}"/>
    <cellStyle name="Normal 4 2 2 3 2 2 7" xfId="2501" xr:uid="{00000000-0005-0000-0000-00001A120000}"/>
    <cellStyle name="Normal 4 2 2 3 2 2 7 2" xfId="6784" xr:uid="{00000000-0005-0000-0000-00001B120000}"/>
    <cellStyle name="Normal 4 2 2 3 2 2 7 2 2" xfId="42302" xr:uid="{F1A008FC-6618-4ADC-ADA2-72160AF5A99E}"/>
    <cellStyle name="Normal 4 2 2 3 2 2 7 2 3" xfId="33855" xr:uid="{541E1B75-4D96-44FD-8AFF-124A3FF687A4}"/>
    <cellStyle name="Normal 4 2 2 3 2 2 7 2 4" xfId="25407" xr:uid="{5C4F5160-6579-4B9D-9C99-43BF463510CD}"/>
    <cellStyle name="Normal 4 2 2 3 2 2 7 2 5" xfId="16110" xr:uid="{8374B087-702C-40AA-A4D9-840E919063C7}"/>
    <cellStyle name="Normal 4 2 2 3 2 2 7 3" xfId="38085" xr:uid="{30C06BFB-F183-4E72-812F-A1B132FC86A5}"/>
    <cellStyle name="Normal 4 2 2 3 2 2 7 4" xfId="29637" xr:uid="{3F125FF3-A635-4FFF-ADA4-DE1C4C26720B}"/>
    <cellStyle name="Normal 4 2 2 3 2 2 7 5" xfId="21190" xr:uid="{2DA7833F-5E3E-419A-9D47-F8E0314C0AA1}"/>
    <cellStyle name="Normal 4 2 2 3 2 2 7 6" xfId="11893" xr:uid="{6FBF62AF-B9B4-4F49-ACD1-7BE2623B04DD}"/>
    <cellStyle name="Normal 4 2 2 3 2 2 8" xfId="4719" xr:uid="{00000000-0005-0000-0000-00001C120000}"/>
    <cellStyle name="Normal 4 2 2 3 2 2 8 2" xfId="40237" xr:uid="{E168C37C-80AA-4378-B599-AA9A446C9355}"/>
    <cellStyle name="Normal 4 2 2 3 2 2 8 3" xfId="31790" xr:uid="{7E4106FC-2244-415C-880F-E80746670DCC}"/>
    <cellStyle name="Normal 4 2 2 3 2 2 8 4" xfId="23342" xr:uid="{BD2AA5A0-36A1-4246-9693-A45858FAAB7A}"/>
    <cellStyle name="Normal 4 2 2 3 2 2 8 5" xfId="14045" xr:uid="{6B6C9ABC-B622-4FD3-8EF7-1EC82CFB18E9}"/>
    <cellStyle name="Normal 4 2 2 3 2 2 9" xfId="8922" xr:uid="{32C9E21B-8C85-4874-B28C-82BF39BA84E2}"/>
    <cellStyle name="Normal 4 2 2 3 2 2 9 2" xfId="36020" xr:uid="{61958CA0-A8C2-48D4-9A8F-981E78A144BF}"/>
    <cellStyle name="Normal 4 2 2 3 2 2 9 3" xfId="18245" xr:uid="{C9C42349-04CA-4992-B81C-F2ADB2288515}"/>
    <cellStyle name="Normal 4 2 2 3 2 3" xfId="343" xr:uid="{00000000-0005-0000-0000-00001D120000}"/>
    <cellStyle name="Normal 4 2 2 3 2 3 10" xfId="19127" xr:uid="{44419DD6-D30B-4E79-AB24-51B8FBA19986}"/>
    <cellStyle name="Normal 4 2 2 3 2 3 11" xfId="9830" xr:uid="{24E307C6-B734-412E-941F-EAE2F8F789CC}"/>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42797" xr:uid="{7E523C51-877C-4650-803A-FB083BCA4813}"/>
    <cellStyle name="Normal 4 2 2 3 2 3 2 2 2 3" xfId="34350" xr:uid="{BB8658FD-E32F-454E-B571-EACAECE95F07}"/>
    <cellStyle name="Normal 4 2 2 3 2 3 2 2 2 4" xfId="25902" xr:uid="{7A12645F-0F9A-448A-9C4B-FA15145E116C}"/>
    <cellStyle name="Normal 4 2 2 3 2 3 2 2 2 5" xfId="16605" xr:uid="{211831AD-8257-48A5-83AA-FA0B4DE1F1E2}"/>
    <cellStyle name="Normal 4 2 2 3 2 3 2 2 3" xfId="38580" xr:uid="{640268CF-0654-4F87-8169-9B8EA96800FD}"/>
    <cellStyle name="Normal 4 2 2 3 2 3 2 2 4" xfId="30132" xr:uid="{CEFCF74F-8429-40C8-A7F2-0EF73915ECEB}"/>
    <cellStyle name="Normal 4 2 2 3 2 3 2 2 5" xfId="21685" xr:uid="{D5ED982D-C849-4BFE-B973-A5C998572A51}"/>
    <cellStyle name="Normal 4 2 2 3 2 3 2 2 6" xfId="12388" xr:uid="{7E669799-51C4-44B9-BDFF-9F84D8B41030}"/>
    <cellStyle name="Normal 4 2 2 3 2 3 2 3" xfId="5134" xr:uid="{00000000-0005-0000-0000-000021120000}"/>
    <cellStyle name="Normal 4 2 2 3 2 3 2 3 2" xfId="40652" xr:uid="{99ACDEC7-0C37-41D6-BC5E-472340A3111F}"/>
    <cellStyle name="Normal 4 2 2 3 2 3 2 3 3" xfId="32205" xr:uid="{6B795FB9-5F78-4482-8740-586B59854141}"/>
    <cellStyle name="Normal 4 2 2 3 2 3 2 3 4" xfId="23757" xr:uid="{CE3F5B88-E2A0-475B-A935-9D2B1EF7ACA0}"/>
    <cellStyle name="Normal 4 2 2 3 2 3 2 3 5" xfId="14460" xr:uid="{0DBA15C5-CE10-4599-9404-CDFBA0272B0D}"/>
    <cellStyle name="Normal 4 2 2 3 2 3 2 4" xfId="9451" xr:uid="{85AA9164-95F1-48F2-907A-54AD445D074F}"/>
    <cellStyle name="Normal 4 2 2 3 2 3 2 4 2" xfId="36435" xr:uid="{E4B6CFDF-B88E-4E36-971F-A62425D60FF4}"/>
    <cellStyle name="Normal 4 2 2 3 2 3 2 4 3" xfId="18764" xr:uid="{FE5FC98B-E493-450C-8F9A-CE3091D43067}"/>
    <cellStyle name="Normal 4 2 2 3 2 3 2 5" xfId="27987" xr:uid="{C6525722-FE70-4F2A-A982-D6154B0F5F30}"/>
    <cellStyle name="Normal 4 2 2 3 2 3 2 6" xfId="19540" xr:uid="{FFE26083-86AC-47E8-A232-12EBC7F68043}"/>
    <cellStyle name="Normal 4 2 2 3 2 3 2 7" xfId="10243" xr:uid="{EDD6A3F7-4527-4FBF-B56F-B7326F636337}"/>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43210" xr:uid="{6C5F833B-EE39-4D2E-8447-FFEEC1D95CEA}"/>
    <cellStyle name="Normal 4 2 2 3 2 3 3 2 2 3" xfId="34763" xr:uid="{94031387-CC0C-4A17-AE78-E6E40E81C40C}"/>
    <cellStyle name="Normal 4 2 2 3 2 3 3 2 2 4" xfId="26315" xr:uid="{474740E0-2A5A-4099-9AA1-A352FD220D05}"/>
    <cellStyle name="Normal 4 2 2 3 2 3 3 2 2 5" xfId="17018" xr:uid="{96AEB00D-6E74-4E7D-86B5-FA11CF8AE21A}"/>
    <cellStyle name="Normal 4 2 2 3 2 3 3 2 3" xfId="38993" xr:uid="{32580A94-B895-408D-880D-FAFAB4105D3C}"/>
    <cellStyle name="Normal 4 2 2 3 2 3 3 2 4" xfId="30545" xr:uid="{EDF0935D-F70D-4A95-92B6-E8D254B5BBCB}"/>
    <cellStyle name="Normal 4 2 2 3 2 3 3 2 5" xfId="22098" xr:uid="{7A16A912-FA42-40F3-A2B9-8D18360D64B7}"/>
    <cellStyle name="Normal 4 2 2 3 2 3 3 2 6" xfId="12801" xr:uid="{5B543421-4B0E-4366-9B3F-75EBB7902696}"/>
    <cellStyle name="Normal 4 2 2 3 2 3 3 3" xfId="5547" xr:uid="{00000000-0005-0000-0000-000025120000}"/>
    <cellStyle name="Normal 4 2 2 3 2 3 3 3 2" xfId="41065" xr:uid="{6F98744E-476B-48F5-911D-E24739C7C85A}"/>
    <cellStyle name="Normal 4 2 2 3 2 3 3 3 3" xfId="32618" xr:uid="{50A5A0C3-2C61-426D-9E30-BB16B106D732}"/>
    <cellStyle name="Normal 4 2 2 3 2 3 3 3 4" xfId="24170" xr:uid="{9C63F41E-C313-48DF-ABC0-5938528CC5E5}"/>
    <cellStyle name="Normal 4 2 2 3 2 3 3 3 5" xfId="14873" xr:uid="{6CEDD0FF-DF44-4AE1-9F05-966139C09FA7}"/>
    <cellStyle name="Normal 4 2 2 3 2 3 3 4" xfId="36848" xr:uid="{DCE4DB16-5189-420F-9B70-99DC66622C9A}"/>
    <cellStyle name="Normal 4 2 2 3 2 3 3 5" xfId="28400" xr:uid="{850D7696-ADBA-42AA-B619-922D426A9CD5}"/>
    <cellStyle name="Normal 4 2 2 3 2 3 3 6" xfId="19953" xr:uid="{B4DCBCAA-FF04-480B-A23A-8C9CF763B975}"/>
    <cellStyle name="Normal 4 2 2 3 2 3 3 7" xfId="10656" xr:uid="{318F78AF-A009-43C9-AD80-33EF12734C27}"/>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43623" xr:uid="{2FF6BC20-34CF-41B4-A93F-E43A41ADDD8F}"/>
    <cellStyle name="Normal 4 2 2 3 2 3 4 2 2 3" xfId="35176" xr:uid="{8616B0A8-B7A3-43A9-BEBB-E6E1E51F986B}"/>
    <cellStyle name="Normal 4 2 2 3 2 3 4 2 2 4" xfId="26728" xr:uid="{D0BED8B0-5AC3-461F-9FFE-CD507EF4DCD1}"/>
    <cellStyle name="Normal 4 2 2 3 2 3 4 2 2 5" xfId="17431" xr:uid="{342D9B8D-1590-4927-B4B0-D85CFF9E6F19}"/>
    <cellStyle name="Normal 4 2 2 3 2 3 4 2 3" xfId="39406" xr:uid="{2341DFA1-C51B-4708-9679-284CAF8E05B8}"/>
    <cellStyle name="Normal 4 2 2 3 2 3 4 2 4" xfId="30958" xr:uid="{6BDE208E-F932-4024-91DA-1B7E32BD9A58}"/>
    <cellStyle name="Normal 4 2 2 3 2 3 4 2 5" xfId="22511" xr:uid="{8B7F066E-1B9D-4FE8-A1A4-D8F46AA97776}"/>
    <cellStyle name="Normal 4 2 2 3 2 3 4 2 6" xfId="13214" xr:uid="{7C1483F9-D4DA-4893-B6C1-4CDAA37037CD}"/>
    <cellStyle name="Normal 4 2 2 3 2 3 4 3" xfId="5960" xr:uid="{00000000-0005-0000-0000-000029120000}"/>
    <cellStyle name="Normal 4 2 2 3 2 3 4 3 2" xfId="41478" xr:uid="{1FDEC67F-BEED-4A02-A5BB-29E28F356BF6}"/>
    <cellStyle name="Normal 4 2 2 3 2 3 4 3 3" xfId="33031" xr:uid="{FB3663D0-762E-4D9A-B2B6-489E46DC137D}"/>
    <cellStyle name="Normal 4 2 2 3 2 3 4 3 4" xfId="24583" xr:uid="{82CDC100-900A-477C-B8AE-57D39077C645}"/>
    <cellStyle name="Normal 4 2 2 3 2 3 4 3 5" xfId="15286" xr:uid="{D2A9CA7D-AD43-46A4-805B-4D0C6214A5DF}"/>
    <cellStyle name="Normal 4 2 2 3 2 3 4 4" xfId="37261" xr:uid="{7300B154-532F-45B5-BC40-40925BB35EE4}"/>
    <cellStyle name="Normal 4 2 2 3 2 3 4 5" xfId="28813" xr:uid="{52880D20-7C49-466D-9A5F-A96D646278F1}"/>
    <cellStyle name="Normal 4 2 2 3 2 3 4 6" xfId="20366" xr:uid="{3CC41EFC-D220-4BDA-B9E4-F30D65FC6B96}"/>
    <cellStyle name="Normal 4 2 2 3 2 3 4 7" xfId="11069" xr:uid="{1C10905D-6840-4F86-8D4F-D3787CFDEC5F}"/>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44036" xr:uid="{69EB6417-F6E7-47A8-8CD7-EDD206BD6F4E}"/>
    <cellStyle name="Normal 4 2 2 3 2 3 5 2 2 3" xfId="35589" xr:uid="{DA8E9258-7E92-45B2-AA65-CEA4A4477DD5}"/>
    <cellStyle name="Normal 4 2 2 3 2 3 5 2 2 4" xfId="27141" xr:uid="{C7CD9D97-044D-406E-8361-C92A61A4E92A}"/>
    <cellStyle name="Normal 4 2 2 3 2 3 5 2 2 5" xfId="17844" xr:uid="{ED4FA34D-2535-4F48-8A03-D836A40C466B}"/>
    <cellStyle name="Normal 4 2 2 3 2 3 5 2 3" xfId="39819" xr:uid="{C6364028-1DDE-4E7C-A236-6CE1006C81A6}"/>
    <cellStyle name="Normal 4 2 2 3 2 3 5 2 4" xfId="31371" xr:uid="{BAE3CED5-2573-4D90-9FC1-951B96F40A94}"/>
    <cellStyle name="Normal 4 2 2 3 2 3 5 2 5" xfId="22924" xr:uid="{F6365C21-0450-4173-9461-30CD87C74A5F}"/>
    <cellStyle name="Normal 4 2 2 3 2 3 5 2 6" xfId="13627" xr:uid="{16C02C44-8B4E-4EAA-B4BD-7CF6351088DC}"/>
    <cellStyle name="Normal 4 2 2 3 2 3 5 3" xfId="6373" xr:uid="{00000000-0005-0000-0000-00002D120000}"/>
    <cellStyle name="Normal 4 2 2 3 2 3 5 3 2" xfId="41891" xr:uid="{525CA0A1-AB19-4019-9D2F-CC31C0D70F60}"/>
    <cellStyle name="Normal 4 2 2 3 2 3 5 3 3" xfId="33444" xr:uid="{C474EAD1-5598-4D83-81E6-37FCAD8233CB}"/>
    <cellStyle name="Normal 4 2 2 3 2 3 5 3 4" xfId="24996" xr:uid="{47D568ED-8335-4717-A964-F5FFB276352A}"/>
    <cellStyle name="Normal 4 2 2 3 2 3 5 3 5" xfId="15699" xr:uid="{F204B208-2CDE-408B-8248-B0FADDCA9D2A}"/>
    <cellStyle name="Normal 4 2 2 3 2 3 5 4" xfId="37674" xr:uid="{6A7FB1AA-D62F-49DC-B6B5-1ACE7E9CA71C}"/>
    <cellStyle name="Normal 4 2 2 3 2 3 5 5" xfId="29226" xr:uid="{CF82B854-688D-454C-9335-02D5B722F165}"/>
    <cellStyle name="Normal 4 2 2 3 2 3 5 6" xfId="20779" xr:uid="{E001F654-AF3A-4C40-BF3A-FE9EC185A176}"/>
    <cellStyle name="Normal 4 2 2 3 2 3 5 7" xfId="11482" xr:uid="{AE9681A7-A0CC-48B9-A217-5B27F7443174}"/>
    <cellStyle name="Normal 4 2 2 3 2 3 6" xfId="2503" xr:uid="{00000000-0005-0000-0000-00002E120000}"/>
    <cellStyle name="Normal 4 2 2 3 2 3 6 2" xfId="6786" xr:uid="{00000000-0005-0000-0000-00002F120000}"/>
    <cellStyle name="Normal 4 2 2 3 2 3 6 2 2" xfId="42304" xr:uid="{A4848A3E-ECC5-4BF7-B53B-E01D5F1803F0}"/>
    <cellStyle name="Normal 4 2 2 3 2 3 6 2 3" xfId="33857" xr:uid="{D06CFA85-2C18-4A54-8B46-EB0EC103CA8C}"/>
    <cellStyle name="Normal 4 2 2 3 2 3 6 2 4" xfId="25409" xr:uid="{D3AEF361-3402-43FD-A7F3-827DC3F7EFF2}"/>
    <cellStyle name="Normal 4 2 2 3 2 3 6 2 5" xfId="16112" xr:uid="{70C10F34-76EA-4087-A0A7-4B984DF6C8CA}"/>
    <cellStyle name="Normal 4 2 2 3 2 3 6 3" xfId="38087" xr:uid="{B44CDA15-6B63-4D57-96E8-4B1D19180D43}"/>
    <cellStyle name="Normal 4 2 2 3 2 3 6 4" xfId="29639" xr:uid="{5AA0E2D3-0DBB-4CD6-AEDF-648C0B239E00}"/>
    <cellStyle name="Normal 4 2 2 3 2 3 6 5" xfId="21192" xr:uid="{1C0D8BD8-144E-440C-B863-6E8B314190AB}"/>
    <cellStyle name="Normal 4 2 2 3 2 3 6 6" xfId="11895" xr:uid="{580CBFFE-2727-4254-AF07-91001E73E1C6}"/>
    <cellStyle name="Normal 4 2 2 3 2 3 7" xfId="4721" xr:uid="{00000000-0005-0000-0000-000030120000}"/>
    <cellStyle name="Normal 4 2 2 3 2 3 7 2" xfId="40239" xr:uid="{DC1F2650-0E09-4E0B-AC7E-F46EE3DB4849}"/>
    <cellStyle name="Normal 4 2 2 3 2 3 7 3" xfId="31792" xr:uid="{03ADA0CC-2115-431C-BC50-96EE21E69D5D}"/>
    <cellStyle name="Normal 4 2 2 3 2 3 7 4" xfId="23344" xr:uid="{75E9293D-EDB0-4348-B24C-12FAED91E7FE}"/>
    <cellStyle name="Normal 4 2 2 3 2 3 7 5" xfId="14047" xr:uid="{C8CD73BF-C76C-4E91-8656-0A73AAF77BCE}"/>
    <cellStyle name="Normal 4 2 2 3 2 3 8" xfId="9026" xr:uid="{319D63D3-F71C-4F99-9FD1-E3D0665567E8}"/>
    <cellStyle name="Normal 4 2 2 3 2 3 8 2" xfId="36022" xr:uid="{BDE67EFF-5D4A-4B3D-B18A-36AB1AF53528}"/>
    <cellStyle name="Normal 4 2 2 3 2 3 8 3" xfId="18349" xr:uid="{837A100B-CCF4-498E-A0FC-8319DBC5DABD}"/>
    <cellStyle name="Normal 4 2 2 3 2 3 9" xfId="27574" xr:uid="{DFF964C4-B8B5-4F14-9D04-E62714EE4601}"/>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42794" xr:uid="{AC5EA792-518F-4EAF-B41D-1F339B1AC915}"/>
    <cellStyle name="Normal 4 2 2 3 2 4 2 2 3" xfId="34347" xr:uid="{C3C1A163-1E65-48E8-973C-417095B0B284}"/>
    <cellStyle name="Normal 4 2 2 3 2 4 2 2 4" xfId="25899" xr:uid="{B43B2FBF-01B1-41C8-A9CB-3D359E12045B}"/>
    <cellStyle name="Normal 4 2 2 3 2 4 2 2 5" xfId="16602" xr:uid="{4D4654C0-D8A1-4064-81F2-C395620E48F9}"/>
    <cellStyle name="Normal 4 2 2 3 2 4 2 3" xfId="38577" xr:uid="{CDCCE902-B115-4DC1-9D07-62D8252239F8}"/>
    <cellStyle name="Normal 4 2 2 3 2 4 2 4" xfId="30129" xr:uid="{579E1383-69CE-4CCF-8952-6D4C0A9ABBE9}"/>
    <cellStyle name="Normal 4 2 2 3 2 4 2 5" xfId="21682" xr:uid="{D0C1BEBD-93BA-46EA-9081-545E66987386}"/>
    <cellStyle name="Normal 4 2 2 3 2 4 2 6" xfId="12385" xr:uid="{6C2036B1-6287-429A-BEA3-67E62EA64933}"/>
    <cellStyle name="Normal 4 2 2 3 2 4 3" xfId="5131" xr:uid="{00000000-0005-0000-0000-000034120000}"/>
    <cellStyle name="Normal 4 2 2 3 2 4 3 2" xfId="40649" xr:uid="{CE967D06-CC77-4434-B282-7D776F339E4C}"/>
    <cellStyle name="Normal 4 2 2 3 2 4 3 3" xfId="32202" xr:uid="{F994CF8F-33BD-4CD4-9733-6E2DD44538D0}"/>
    <cellStyle name="Normal 4 2 2 3 2 4 3 4" xfId="23754" xr:uid="{C7A4AB30-F8F7-41C1-B0DA-44F8290AD84E}"/>
    <cellStyle name="Normal 4 2 2 3 2 4 3 5" xfId="14457" xr:uid="{65E2C727-84C1-4A3C-8F12-6381619F644E}"/>
    <cellStyle name="Normal 4 2 2 3 2 4 4" xfId="9244" xr:uid="{98623F27-324A-40DE-AA2B-56E1FCE087EE}"/>
    <cellStyle name="Normal 4 2 2 3 2 4 4 2" xfId="36432" xr:uid="{6C2B514F-1D02-40F5-AD11-6D3CAEBFD823}"/>
    <cellStyle name="Normal 4 2 2 3 2 4 4 3" xfId="18557" xr:uid="{0904A5E5-19E2-47E0-A51D-9D122294321C}"/>
    <cellStyle name="Normal 4 2 2 3 2 4 5" xfId="27984" xr:uid="{065C975A-6872-4702-B849-C18C1A3EF8C2}"/>
    <cellStyle name="Normal 4 2 2 3 2 4 6" xfId="19537" xr:uid="{62E4A95E-750C-4926-91FE-F8C436400BFE}"/>
    <cellStyle name="Normal 4 2 2 3 2 4 7" xfId="10240" xr:uid="{85E200A5-0B24-4B62-AAB7-73F1F7E4F24D}"/>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43207" xr:uid="{DC24E86D-DD70-4E61-98DD-719EBD8A1563}"/>
    <cellStyle name="Normal 4 2 2 3 2 5 2 2 3" xfId="34760" xr:uid="{E93269F0-77D3-41BF-B310-A00BEACEDE17}"/>
    <cellStyle name="Normal 4 2 2 3 2 5 2 2 4" xfId="26312" xr:uid="{A8647864-CD56-4264-866F-1DB07656953D}"/>
    <cellStyle name="Normal 4 2 2 3 2 5 2 2 5" xfId="17015" xr:uid="{3E766270-BA70-468A-B16D-310EA8BFAA2F}"/>
    <cellStyle name="Normal 4 2 2 3 2 5 2 3" xfId="38990" xr:uid="{E5BCFF07-610A-46CB-A60F-98F95D404436}"/>
    <cellStyle name="Normal 4 2 2 3 2 5 2 4" xfId="30542" xr:uid="{3D225184-26C0-481B-98D1-73560ED0CADA}"/>
    <cellStyle name="Normal 4 2 2 3 2 5 2 5" xfId="22095" xr:uid="{DFF4518A-AD02-4667-8533-E581C85827C9}"/>
    <cellStyle name="Normal 4 2 2 3 2 5 2 6" xfId="12798" xr:uid="{25A9607C-671F-409F-8506-96630440B7EA}"/>
    <cellStyle name="Normal 4 2 2 3 2 5 3" xfId="5544" xr:uid="{00000000-0005-0000-0000-000038120000}"/>
    <cellStyle name="Normal 4 2 2 3 2 5 3 2" xfId="41062" xr:uid="{A5465F23-D7FC-4BC6-BA56-0144F1B5576C}"/>
    <cellStyle name="Normal 4 2 2 3 2 5 3 3" xfId="32615" xr:uid="{809258F2-70E1-4019-9BF4-E3A204F6D596}"/>
    <cellStyle name="Normal 4 2 2 3 2 5 3 4" xfId="24167" xr:uid="{0F330F1A-EF6F-40C8-BD18-7BA9137AA1E7}"/>
    <cellStyle name="Normal 4 2 2 3 2 5 3 5" xfId="14870" xr:uid="{96E688D2-A531-409A-9E09-CCA1E9F5E3A6}"/>
    <cellStyle name="Normal 4 2 2 3 2 5 4" xfId="36845" xr:uid="{4ED5C79B-9D3E-4D1F-9B23-BB484CCC2F87}"/>
    <cellStyle name="Normal 4 2 2 3 2 5 5" xfId="28397" xr:uid="{57509E18-331C-41BE-8E69-FE0F6AC51893}"/>
    <cellStyle name="Normal 4 2 2 3 2 5 6" xfId="19950" xr:uid="{32D6956D-A1AD-48A8-AACB-4F90CCCE347B}"/>
    <cellStyle name="Normal 4 2 2 3 2 5 7" xfId="10653" xr:uid="{A5449D67-6CE4-4568-863F-FD9C711BDF24}"/>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43620" xr:uid="{C84D97B0-F638-49E8-B7E8-1C96C99252D5}"/>
    <cellStyle name="Normal 4 2 2 3 2 6 2 2 3" xfId="35173" xr:uid="{E595BC32-1493-4E8D-B500-16F31543BFE7}"/>
    <cellStyle name="Normal 4 2 2 3 2 6 2 2 4" xfId="26725" xr:uid="{EA10E882-6C26-4F2B-87F7-EE0F429EC215}"/>
    <cellStyle name="Normal 4 2 2 3 2 6 2 2 5" xfId="17428" xr:uid="{9C4FC9AB-17B9-48A3-8283-8CBD9E46C997}"/>
    <cellStyle name="Normal 4 2 2 3 2 6 2 3" xfId="39403" xr:uid="{45F87538-5B24-4638-9B3F-48C9EFD236D9}"/>
    <cellStyle name="Normal 4 2 2 3 2 6 2 4" xfId="30955" xr:uid="{0A256AD5-9A50-4560-A18F-F0FF475833CC}"/>
    <cellStyle name="Normal 4 2 2 3 2 6 2 5" xfId="22508" xr:uid="{6EF828AF-B09E-4128-A539-6B47DF2CAF8F}"/>
    <cellStyle name="Normal 4 2 2 3 2 6 2 6" xfId="13211" xr:uid="{AF2C3DB6-E63D-456A-8694-DF18A46CE02F}"/>
    <cellStyle name="Normal 4 2 2 3 2 6 3" xfId="5957" xr:uid="{00000000-0005-0000-0000-00003C120000}"/>
    <cellStyle name="Normal 4 2 2 3 2 6 3 2" xfId="41475" xr:uid="{D3EB898C-802B-452D-AB99-E76B35FB71DA}"/>
    <cellStyle name="Normal 4 2 2 3 2 6 3 3" xfId="33028" xr:uid="{6851415E-5DEB-4BA9-B76A-D62BDA497142}"/>
    <cellStyle name="Normal 4 2 2 3 2 6 3 4" xfId="24580" xr:uid="{10E3656E-4D3C-4F92-97A2-A98A14B13699}"/>
    <cellStyle name="Normal 4 2 2 3 2 6 3 5" xfId="15283" xr:uid="{0A987212-EE41-4948-90AA-D27309C504BB}"/>
    <cellStyle name="Normal 4 2 2 3 2 6 4" xfId="37258" xr:uid="{2562D69F-81AF-4AE7-BBF7-6F80B5A6116C}"/>
    <cellStyle name="Normal 4 2 2 3 2 6 5" xfId="28810" xr:uid="{C162974B-F001-47AD-8541-13E930FC89A1}"/>
    <cellStyle name="Normal 4 2 2 3 2 6 6" xfId="20363" xr:uid="{B60F02FB-6F8C-47FF-AC0C-8C10ED430B3B}"/>
    <cellStyle name="Normal 4 2 2 3 2 6 7" xfId="11066" xr:uid="{2066E259-9BF0-42E1-8354-C42B0EA3483E}"/>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44033" xr:uid="{A3FCE39B-424D-4C17-9A9B-3A132F46A962}"/>
    <cellStyle name="Normal 4 2 2 3 2 7 2 2 3" xfId="35586" xr:uid="{67BB1A27-8C33-4701-B467-A737744AE3A3}"/>
    <cellStyle name="Normal 4 2 2 3 2 7 2 2 4" xfId="27138" xr:uid="{B0D1D5E0-3B7C-41D1-AE88-3C5425CD0A87}"/>
    <cellStyle name="Normal 4 2 2 3 2 7 2 2 5" xfId="17841" xr:uid="{C96D6D67-BD40-4A7F-9BDC-CD65E53CE8AE}"/>
    <cellStyle name="Normal 4 2 2 3 2 7 2 3" xfId="39816" xr:uid="{C94B7341-ECE6-41A6-A573-BBD7F439963E}"/>
    <cellStyle name="Normal 4 2 2 3 2 7 2 4" xfId="31368" xr:uid="{11B9F824-02E4-4B95-9590-ECECB583762E}"/>
    <cellStyle name="Normal 4 2 2 3 2 7 2 5" xfId="22921" xr:uid="{80E750BC-FD33-4FA9-97C7-A1D2A20A3F96}"/>
    <cellStyle name="Normal 4 2 2 3 2 7 2 6" xfId="13624" xr:uid="{2A6BF5A9-890F-4C55-8FCF-4F091CDB5A2E}"/>
    <cellStyle name="Normal 4 2 2 3 2 7 3" xfId="6370" xr:uid="{00000000-0005-0000-0000-000040120000}"/>
    <cellStyle name="Normal 4 2 2 3 2 7 3 2" xfId="41888" xr:uid="{D981AF05-E220-4CF3-B177-2011B860D9BC}"/>
    <cellStyle name="Normal 4 2 2 3 2 7 3 3" xfId="33441" xr:uid="{D51796C3-5ABB-494D-8D8B-28AACC576270}"/>
    <cellStyle name="Normal 4 2 2 3 2 7 3 4" xfId="24993" xr:uid="{B7E359F0-30FF-4387-9000-0D6F80AA33A6}"/>
    <cellStyle name="Normal 4 2 2 3 2 7 3 5" xfId="15696" xr:uid="{B0D9436E-2C00-4409-9303-7E9F58BC09A3}"/>
    <cellStyle name="Normal 4 2 2 3 2 7 4" xfId="37671" xr:uid="{DA876CC3-A8A5-44C5-905B-4D17CFC5B5C3}"/>
    <cellStyle name="Normal 4 2 2 3 2 7 5" xfId="29223" xr:uid="{79D3FC61-D5CA-4EF1-8BE4-72AE6D2C6207}"/>
    <cellStyle name="Normal 4 2 2 3 2 7 6" xfId="20776" xr:uid="{CFD22759-5225-4FF7-BC26-B22979A0822B}"/>
    <cellStyle name="Normal 4 2 2 3 2 7 7" xfId="11479" xr:uid="{A73C01C3-0A5C-4A5A-9203-46E314A2E9FA}"/>
    <cellStyle name="Normal 4 2 2 3 2 8" xfId="2500" xr:uid="{00000000-0005-0000-0000-000041120000}"/>
    <cellStyle name="Normal 4 2 2 3 2 8 2" xfId="6783" xr:uid="{00000000-0005-0000-0000-000042120000}"/>
    <cellStyle name="Normal 4 2 2 3 2 8 2 2" xfId="42301" xr:uid="{8D5382B7-338A-4998-8A39-6E9ADBFD6EBC}"/>
    <cellStyle name="Normal 4 2 2 3 2 8 2 3" xfId="33854" xr:uid="{425F0AA9-CD5E-4FE9-A7D1-20EB2FC170FD}"/>
    <cellStyle name="Normal 4 2 2 3 2 8 2 4" xfId="25406" xr:uid="{719D6702-248B-4E70-B0EC-3C060C42CAD8}"/>
    <cellStyle name="Normal 4 2 2 3 2 8 2 5" xfId="16109" xr:uid="{F1E36DD9-6C1A-41BE-906D-76B2D0DF43BB}"/>
    <cellStyle name="Normal 4 2 2 3 2 8 3" xfId="38084" xr:uid="{00980DEF-D51A-43E4-9803-0F78286FC238}"/>
    <cellStyle name="Normal 4 2 2 3 2 8 4" xfId="29636" xr:uid="{881BCB5B-A050-4138-820E-7F2E41653C48}"/>
    <cellStyle name="Normal 4 2 2 3 2 8 5" xfId="21189" xr:uid="{377D8B21-7DF9-425C-BA48-DB1065C145CD}"/>
    <cellStyle name="Normal 4 2 2 3 2 8 6" xfId="11892" xr:uid="{84A5DED7-7889-45EC-94E5-615F1DDA99C8}"/>
    <cellStyle name="Normal 4 2 2 3 2 9" xfId="4718" xr:uid="{00000000-0005-0000-0000-000043120000}"/>
    <cellStyle name="Normal 4 2 2 3 2 9 2" xfId="40236" xr:uid="{CE8A27D5-8480-413A-9DB3-B360D3D5E80F}"/>
    <cellStyle name="Normal 4 2 2 3 2 9 3" xfId="31789" xr:uid="{AC7AE248-7C58-403F-88E0-1C40EFAB3652}"/>
    <cellStyle name="Normal 4 2 2 3 2 9 4" xfId="23341" xr:uid="{E7EFABEA-0524-45D9-AD9C-6877FF3D1221}"/>
    <cellStyle name="Normal 4 2 2 3 2 9 5" xfId="14044" xr:uid="{5F8C1F95-9A69-4DB5-9BF0-712D4A2D9B85}"/>
    <cellStyle name="Normal 4 2 2 3 3" xfId="344" xr:uid="{00000000-0005-0000-0000-000044120000}"/>
    <cellStyle name="Normal 4 2 2 3 3 10" xfId="27575" xr:uid="{C0E96DF3-7DBA-4569-A6D0-BDF24CEC2DEF}"/>
    <cellStyle name="Normal 4 2 2 3 3 11" xfId="19128" xr:uid="{8AFA786B-BE9D-46A3-B6B3-17B786C7A197}"/>
    <cellStyle name="Normal 4 2 2 3 3 12" xfId="9831" xr:uid="{302F09D5-5AD9-4F62-B34E-3C57DD7A3FC5}"/>
    <cellStyle name="Normal 4 2 2 3 3 2" xfId="345" xr:uid="{00000000-0005-0000-0000-000045120000}"/>
    <cellStyle name="Normal 4 2 2 3 3 2 10" xfId="19129" xr:uid="{1111F458-D2E2-4C46-847D-15346595C78C}"/>
    <cellStyle name="Normal 4 2 2 3 3 2 11" xfId="9832" xr:uid="{0360D68B-62AC-4D3F-8182-367B5916A0F6}"/>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42799" xr:uid="{12D23717-4B0B-4CC2-A3CB-33DA4A2365C4}"/>
    <cellStyle name="Normal 4 2 2 3 3 2 2 2 2 3" xfId="34352" xr:uid="{4BB987BA-FF6B-45EE-B4A6-B0820B6A4CFE}"/>
    <cellStyle name="Normal 4 2 2 3 3 2 2 2 2 4" xfId="25904" xr:uid="{F1DDAF23-51CD-40F6-AFB0-ED0C8F04A519}"/>
    <cellStyle name="Normal 4 2 2 3 3 2 2 2 2 5" xfId="16607" xr:uid="{D0CE4FE1-2154-488B-B4F7-38B77A34C8D9}"/>
    <cellStyle name="Normal 4 2 2 3 3 2 2 2 3" xfId="38582" xr:uid="{C9462549-60DA-4AFF-9D81-8AAB07F25447}"/>
    <cellStyle name="Normal 4 2 2 3 3 2 2 2 4" xfId="30134" xr:uid="{AA7BF357-8502-43A8-BEF5-237301E30704}"/>
    <cellStyle name="Normal 4 2 2 3 3 2 2 2 5" xfId="21687" xr:uid="{142C4DF8-6A5B-4807-9DCF-7F21724BADD3}"/>
    <cellStyle name="Normal 4 2 2 3 3 2 2 2 6" xfId="12390" xr:uid="{9B74BA92-705D-49B1-84C5-D817BAEDE59E}"/>
    <cellStyle name="Normal 4 2 2 3 3 2 2 3" xfId="5136" xr:uid="{00000000-0005-0000-0000-000049120000}"/>
    <cellStyle name="Normal 4 2 2 3 3 2 2 3 2" xfId="40654" xr:uid="{7291C81D-4676-43C6-9B05-1C6497EA064E}"/>
    <cellStyle name="Normal 4 2 2 3 3 2 2 3 3" xfId="32207" xr:uid="{18B5B6C0-4161-4B50-ABB3-FD887DE73752}"/>
    <cellStyle name="Normal 4 2 2 3 3 2 2 3 4" xfId="23759" xr:uid="{AC385713-30EF-4E91-A4E6-BD2F6C35DACE}"/>
    <cellStyle name="Normal 4 2 2 3 3 2 2 3 5" xfId="14462" xr:uid="{93A0B991-845B-4F64-8766-DD849CFDC1D4}"/>
    <cellStyle name="Normal 4 2 2 3 3 2 2 4" xfId="9519" xr:uid="{FB4BBD6E-D73B-4ABD-8656-6C15D7932E02}"/>
    <cellStyle name="Normal 4 2 2 3 3 2 2 4 2" xfId="36437" xr:uid="{28228681-7FB9-475D-A1F3-E6C19CC4E691}"/>
    <cellStyle name="Normal 4 2 2 3 3 2 2 4 3" xfId="18832" xr:uid="{BB0D9765-8C08-4268-91D0-299306131BDB}"/>
    <cellStyle name="Normal 4 2 2 3 3 2 2 5" xfId="27989" xr:uid="{4545524C-DF70-4CAE-BBA7-1CC1F6A8B55B}"/>
    <cellStyle name="Normal 4 2 2 3 3 2 2 6" xfId="19542" xr:uid="{6824D357-3993-47BC-B2B2-159F3EC72BE0}"/>
    <cellStyle name="Normal 4 2 2 3 3 2 2 7" xfId="10245" xr:uid="{69161951-2D8B-4403-8FE5-1593D7311644}"/>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43212" xr:uid="{E786975F-E6A6-490A-8DF6-D4FE8ABE6BAB}"/>
    <cellStyle name="Normal 4 2 2 3 3 2 3 2 2 3" xfId="34765" xr:uid="{8B5A095B-BFEC-4432-92FD-C6D9CCD0C7D0}"/>
    <cellStyle name="Normal 4 2 2 3 3 2 3 2 2 4" xfId="26317" xr:uid="{153A4AA8-73A3-49B1-AF4A-AB9AEDD6EBA7}"/>
    <cellStyle name="Normal 4 2 2 3 3 2 3 2 2 5" xfId="17020" xr:uid="{68CF3143-C0FA-461D-86AE-4FEA6C3F93C8}"/>
    <cellStyle name="Normal 4 2 2 3 3 2 3 2 3" xfId="38995" xr:uid="{355940DA-D21D-474F-968A-FF1F95400E82}"/>
    <cellStyle name="Normal 4 2 2 3 3 2 3 2 4" xfId="30547" xr:uid="{E8E43528-2A6B-41F1-BF89-74145B9A8A27}"/>
    <cellStyle name="Normal 4 2 2 3 3 2 3 2 5" xfId="22100" xr:uid="{ABB4F22A-3BBA-43C9-9562-35B15D61A6F8}"/>
    <cellStyle name="Normal 4 2 2 3 3 2 3 2 6" xfId="12803" xr:uid="{F5B5B6EC-64A0-460C-BD1A-730DF916C378}"/>
    <cellStyle name="Normal 4 2 2 3 3 2 3 3" xfId="5549" xr:uid="{00000000-0005-0000-0000-00004D120000}"/>
    <cellStyle name="Normal 4 2 2 3 3 2 3 3 2" xfId="41067" xr:uid="{8BCF970B-7CAC-44DC-B0C1-9BC8F0DD2C22}"/>
    <cellStyle name="Normal 4 2 2 3 3 2 3 3 3" xfId="32620" xr:uid="{70ED7FD2-9A67-43AF-9CA7-394435EAAF11}"/>
    <cellStyle name="Normal 4 2 2 3 3 2 3 3 4" xfId="24172" xr:uid="{B257FE86-3C9B-44D1-8960-CEC07949D13C}"/>
    <cellStyle name="Normal 4 2 2 3 3 2 3 3 5" xfId="14875" xr:uid="{441BA2F1-453B-4EF5-8F06-E7F419EABDBF}"/>
    <cellStyle name="Normal 4 2 2 3 3 2 3 4" xfId="36850" xr:uid="{0F710601-C6A1-4C60-B580-20B9F7979BF0}"/>
    <cellStyle name="Normal 4 2 2 3 3 2 3 5" xfId="28402" xr:uid="{29DCB568-7A1A-4852-A6A3-8AD9244FBF80}"/>
    <cellStyle name="Normal 4 2 2 3 3 2 3 6" xfId="19955" xr:uid="{9FA9D73C-0153-44E0-8599-1FE7203EBDA7}"/>
    <cellStyle name="Normal 4 2 2 3 3 2 3 7" xfId="10658" xr:uid="{0023483F-F2E4-4AA6-A0A2-054EA13BAAAA}"/>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43625" xr:uid="{B3D0F9A8-1F50-4E4B-9BEF-855C4C0C709B}"/>
    <cellStyle name="Normal 4 2 2 3 3 2 4 2 2 3" xfId="35178" xr:uid="{6873BB37-2B22-458F-8433-439698A21ADD}"/>
    <cellStyle name="Normal 4 2 2 3 3 2 4 2 2 4" xfId="26730" xr:uid="{A0C7207E-3E43-4098-8B40-FB50850C2CD4}"/>
    <cellStyle name="Normal 4 2 2 3 3 2 4 2 2 5" xfId="17433" xr:uid="{3BD12CC1-9CDA-424A-9707-A4FDBA540B57}"/>
    <cellStyle name="Normal 4 2 2 3 3 2 4 2 3" xfId="39408" xr:uid="{8C82B76F-326D-427D-A519-A8BF4031555B}"/>
    <cellStyle name="Normal 4 2 2 3 3 2 4 2 4" xfId="30960" xr:uid="{9A74286C-347B-4410-89F1-49648636977C}"/>
    <cellStyle name="Normal 4 2 2 3 3 2 4 2 5" xfId="22513" xr:uid="{7C5EEDC9-EE49-4900-8F94-A464019AD3E3}"/>
    <cellStyle name="Normal 4 2 2 3 3 2 4 2 6" xfId="13216" xr:uid="{72700D8A-E49E-43FC-8C18-EF5CA9503C56}"/>
    <cellStyle name="Normal 4 2 2 3 3 2 4 3" xfId="5962" xr:uid="{00000000-0005-0000-0000-000051120000}"/>
    <cellStyle name="Normal 4 2 2 3 3 2 4 3 2" xfId="41480" xr:uid="{30C4B28C-C010-44DB-BCCD-60C2BDAF4A7B}"/>
    <cellStyle name="Normal 4 2 2 3 3 2 4 3 3" xfId="33033" xr:uid="{BA193FE7-2895-428B-BA3C-E99A9C4C32ED}"/>
    <cellStyle name="Normal 4 2 2 3 3 2 4 3 4" xfId="24585" xr:uid="{5E34934F-B1C8-41DB-B9ED-A327DD1CB125}"/>
    <cellStyle name="Normal 4 2 2 3 3 2 4 3 5" xfId="15288" xr:uid="{1DC24655-EEFF-487E-BE75-D427F667D5C2}"/>
    <cellStyle name="Normal 4 2 2 3 3 2 4 4" xfId="37263" xr:uid="{FDF39A7D-F7BD-48E3-B6B0-A0EA82AC019F}"/>
    <cellStyle name="Normal 4 2 2 3 3 2 4 5" xfId="28815" xr:uid="{EECFECC7-8B54-4FF7-A801-E791DC673E5A}"/>
    <cellStyle name="Normal 4 2 2 3 3 2 4 6" xfId="20368" xr:uid="{BF562357-E131-40E8-9F41-66202490089F}"/>
    <cellStyle name="Normal 4 2 2 3 3 2 4 7" xfId="11071" xr:uid="{37FB9A8B-3891-422C-9891-252FD3FE3993}"/>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44038" xr:uid="{78CA3F10-46E6-486B-B716-646564254476}"/>
    <cellStyle name="Normal 4 2 2 3 3 2 5 2 2 3" xfId="35591" xr:uid="{E18BFBCC-D777-4B18-B5EF-E88258106368}"/>
    <cellStyle name="Normal 4 2 2 3 3 2 5 2 2 4" xfId="27143" xr:uid="{BCFCE21B-AD7F-4EEA-923B-6EE680591272}"/>
    <cellStyle name="Normal 4 2 2 3 3 2 5 2 2 5" xfId="17846" xr:uid="{3DA1A061-134F-40D6-9CC8-22A286AA31C7}"/>
    <cellStyle name="Normal 4 2 2 3 3 2 5 2 3" xfId="39821" xr:uid="{3B309925-9A36-4061-93BB-BAF8B4661AFD}"/>
    <cellStyle name="Normal 4 2 2 3 3 2 5 2 4" xfId="31373" xr:uid="{E4931AEF-BC5C-4622-B1CA-3BF11423967A}"/>
    <cellStyle name="Normal 4 2 2 3 3 2 5 2 5" xfId="22926" xr:uid="{4486881A-1C2D-49DD-BD90-5AB4A492898E}"/>
    <cellStyle name="Normal 4 2 2 3 3 2 5 2 6" xfId="13629" xr:uid="{D399467A-4EE6-4884-90A8-D2375AA555AF}"/>
    <cellStyle name="Normal 4 2 2 3 3 2 5 3" xfId="6375" xr:uid="{00000000-0005-0000-0000-000055120000}"/>
    <cellStyle name="Normal 4 2 2 3 3 2 5 3 2" xfId="41893" xr:uid="{C823CFE8-BC8F-4E81-B8EE-047624674472}"/>
    <cellStyle name="Normal 4 2 2 3 3 2 5 3 3" xfId="33446" xr:uid="{9A67534A-C881-48EA-BC38-4F5A23DB7F61}"/>
    <cellStyle name="Normal 4 2 2 3 3 2 5 3 4" xfId="24998" xr:uid="{B75E798C-6E7C-435A-9EF6-5EC12D1E3E2C}"/>
    <cellStyle name="Normal 4 2 2 3 3 2 5 3 5" xfId="15701" xr:uid="{24140A1A-2E9B-4966-B382-1848BD9D3E30}"/>
    <cellStyle name="Normal 4 2 2 3 3 2 5 4" xfId="37676" xr:uid="{0C0FCC1F-D932-413C-B28A-915DD176C590}"/>
    <cellStyle name="Normal 4 2 2 3 3 2 5 5" xfId="29228" xr:uid="{6D8B58BE-08CF-409F-8689-1271AD69023D}"/>
    <cellStyle name="Normal 4 2 2 3 3 2 5 6" xfId="20781" xr:uid="{2AFA9613-E200-4C60-8CA1-07E45DB47EFA}"/>
    <cellStyle name="Normal 4 2 2 3 3 2 5 7" xfId="11484" xr:uid="{D4B451BB-B5CA-409F-A5E5-F8B69A08C9C9}"/>
    <cellStyle name="Normal 4 2 2 3 3 2 6" xfId="2505" xr:uid="{00000000-0005-0000-0000-000056120000}"/>
    <cellStyle name="Normal 4 2 2 3 3 2 6 2" xfId="6788" xr:uid="{00000000-0005-0000-0000-000057120000}"/>
    <cellStyle name="Normal 4 2 2 3 3 2 6 2 2" xfId="42306" xr:uid="{5869612D-2C13-4C6F-8696-0704BA32DBC6}"/>
    <cellStyle name="Normal 4 2 2 3 3 2 6 2 3" xfId="33859" xr:uid="{6E1B89A6-0104-4F5F-B8AE-C75F303955DE}"/>
    <cellStyle name="Normal 4 2 2 3 3 2 6 2 4" xfId="25411" xr:uid="{BD70667C-9592-427A-BB2C-959FA5914673}"/>
    <cellStyle name="Normal 4 2 2 3 3 2 6 2 5" xfId="16114" xr:uid="{FD0B04FB-8861-45B8-9B7A-C2E626B81A4E}"/>
    <cellStyle name="Normal 4 2 2 3 3 2 6 3" xfId="38089" xr:uid="{FD8D0074-D679-46A5-9866-2B6C4864804E}"/>
    <cellStyle name="Normal 4 2 2 3 3 2 6 4" xfId="29641" xr:uid="{559296F6-B527-43DA-8D6A-8237321D6614}"/>
    <cellStyle name="Normal 4 2 2 3 3 2 6 5" xfId="21194" xr:uid="{5CB38C69-C587-4F1B-A6C9-DAB03B92719A}"/>
    <cellStyle name="Normal 4 2 2 3 3 2 6 6" xfId="11897" xr:uid="{A61812A7-DAE2-4DEA-BC11-E8B39BBCCD1C}"/>
    <cellStyle name="Normal 4 2 2 3 3 2 7" xfId="4723" xr:uid="{00000000-0005-0000-0000-000058120000}"/>
    <cellStyle name="Normal 4 2 2 3 3 2 7 2" xfId="40241" xr:uid="{C2E6569F-B0A2-4482-8BBF-1FEBCBF3D637}"/>
    <cellStyle name="Normal 4 2 2 3 3 2 7 3" xfId="31794" xr:uid="{40485330-208E-494F-AC5A-D6549763C9F2}"/>
    <cellStyle name="Normal 4 2 2 3 3 2 7 4" xfId="23346" xr:uid="{26801421-EA35-4837-81A7-54A067AA8A6B}"/>
    <cellStyle name="Normal 4 2 2 3 3 2 7 5" xfId="14049" xr:uid="{6FCB439B-D250-40BF-82F7-9719B13D15B0}"/>
    <cellStyle name="Normal 4 2 2 3 3 2 8" xfId="9094" xr:uid="{1333D468-E252-4686-88C1-38A56B910A8E}"/>
    <cellStyle name="Normal 4 2 2 3 3 2 8 2" xfId="36024" xr:uid="{1BAF6416-3D1C-4E5F-A93B-B2717A9583E6}"/>
    <cellStyle name="Normal 4 2 2 3 3 2 8 3" xfId="18417" xr:uid="{C644A66A-3C42-4167-A08B-6D95148C7348}"/>
    <cellStyle name="Normal 4 2 2 3 3 2 9" xfId="27576" xr:uid="{CDE19DB8-BFBC-407C-B0AE-790B07EB012D}"/>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42798" xr:uid="{A91F8AED-2E7E-4593-976C-4A7C0565CB51}"/>
    <cellStyle name="Normal 4 2 2 3 3 3 2 2 3" xfId="34351" xr:uid="{9CF96294-F3B6-4B10-9CF3-C1E40BBCC5E0}"/>
    <cellStyle name="Normal 4 2 2 3 3 3 2 2 4" xfId="25903" xr:uid="{BB4A05EB-70E4-4870-99B6-93BA68E07D66}"/>
    <cellStyle name="Normal 4 2 2 3 3 3 2 2 5" xfId="16606" xr:uid="{64293C51-4BF5-49CF-87E4-F98C5031D3B9}"/>
    <cellStyle name="Normal 4 2 2 3 3 3 2 3" xfId="38581" xr:uid="{5ECC3838-EEBD-4818-8DB0-F18CC35589CF}"/>
    <cellStyle name="Normal 4 2 2 3 3 3 2 4" xfId="30133" xr:uid="{FF40B329-46EA-4F4A-B506-2179A75BB500}"/>
    <cellStyle name="Normal 4 2 2 3 3 3 2 5" xfId="21686" xr:uid="{E5E6BEB6-96D6-4745-8EF9-AB185CE76831}"/>
    <cellStyle name="Normal 4 2 2 3 3 3 2 6" xfId="12389" xr:uid="{78F85228-0092-4FE1-89A3-0906C2894EE7}"/>
    <cellStyle name="Normal 4 2 2 3 3 3 3" xfId="5135" xr:uid="{00000000-0005-0000-0000-00005C120000}"/>
    <cellStyle name="Normal 4 2 2 3 3 3 3 2" xfId="40653" xr:uid="{F1C7A23D-7E49-4FF3-86A9-27171A609687}"/>
    <cellStyle name="Normal 4 2 2 3 3 3 3 3" xfId="32206" xr:uid="{35AD35ED-3EEC-4D47-8153-2FB3ABD805B1}"/>
    <cellStyle name="Normal 4 2 2 3 3 3 3 4" xfId="23758" xr:uid="{44C67897-4373-4B0F-BF3E-5A6AD498584F}"/>
    <cellStyle name="Normal 4 2 2 3 3 3 3 5" xfId="14461" xr:uid="{E24A1D88-B212-4E62-8464-09B52BB7530D}"/>
    <cellStyle name="Normal 4 2 2 3 3 3 4" xfId="9312" xr:uid="{0065946C-778C-4913-8F8B-68BBB1A30769}"/>
    <cellStyle name="Normal 4 2 2 3 3 3 4 2" xfId="36436" xr:uid="{894B559C-BE15-49F5-8D93-1B647A8E8524}"/>
    <cellStyle name="Normal 4 2 2 3 3 3 4 3" xfId="18625" xr:uid="{33FA64EF-A45E-4A40-8637-8B9AF5DFE384}"/>
    <cellStyle name="Normal 4 2 2 3 3 3 5" xfId="27988" xr:uid="{CD5A8D50-331A-4F7E-919A-7F02E14CCB25}"/>
    <cellStyle name="Normal 4 2 2 3 3 3 6" xfId="19541" xr:uid="{D23FDFB4-6C16-4656-AB47-60DDA5A1D098}"/>
    <cellStyle name="Normal 4 2 2 3 3 3 7" xfId="10244" xr:uid="{F37FB565-39FA-46BC-8E08-843D12B30207}"/>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43211" xr:uid="{AFD22493-ADCA-4F2A-B9D4-4F92295685C8}"/>
    <cellStyle name="Normal 4 2 2 3 3 4 2 2 3" xfId="34764" xr:uid="{190A5C08-1393-41FD-A6BD-3D2F14EFA933}"/>
    <cellStyle name="Normal 4 2 2 3 3 4 2 2 4" xfId="26316" xr:uid="{EC79054A-288C-4EA2-BB06-908D9621D719}"/>
    <cellStyle name="Normal 4 2 2 3 3 4 2 2 5" xfId="17019" xr:uid="{232DBED4-8BA2-42F4-9C38-9AD5C58FE068}"/>
    <cellStyle name="Normal 4 2 2 3 3 4 2 3" xfId="38994" xr:uid="{08DF33DE-A835-4689-945D-04AC73C9FA85}"/>
    <cellStyle name="Normal 4 2 2 3 3 4 2 4" xfId="30546" xr:uid="{101EDBB6-10DA-4753-B8E4-BCCA8E9FD1F6}"/>
    <cellStyle name="Normal 4 2 2 3 3 4 2 5" xfId="22099" xr:uid="{CD476773-8B2C-4CEE-9EBF-7CF88FBA5F1F}"/>
    <cellStyle name="Normal 4 2 2 3 3 4 2 6" xfId="12802" xr:uid="{CF34C6F4-4793-4E6E-9301-33CAE8EF078E}"/>
    <cellStyle name="Normal 4 2 2 3 3 4 3" xfId="5548" xr:uid="{00000000-0005-0000-0000-000060120000}"/>
    <cellStyle name="Normal 4 2 2 3 3 4 3 2" xfId="41066" xr:uid="{997AD1E0-E6C6-4952-9D61-A4FFBE1E5B7D}"/>
    <cellStyle name="Normal 4 2 2 3 3 4 3 3" xfId="32619" xr:uid="{4BB0B04D-290E-4364-A0E8-220DAD68AF95}"/>
    <cellStyle name="Normal 4 2 2 3 3 4 3 4" xfId="24171" xr:uid="{E0381608-A219-4B7E-8EC8-B5F535E03DD0}"/>
    <cellStyle name="Normal 4 2 2 3 3 4 3 5" xfId="14874" xr:uid="{3E267150-A67E-4483-A630-B44764341B7D}"/>
    <cellStyle name="Normal 4 2 2 3 3 4 4" xfId="36849" xr:uid="{5844391F-8975-46AA-8593-71B315113480}"/>
    <cellStyle name="Normal 4 2 2 3 3 4 5" xfId="28401" xr:uid="{0873BB32-1AF3-470C-AABE-BB52CE4E8E85}"/>
    <cellStyle name="Normal 4 2 2 3 3 4 6" xfId="19954" xr:uid="{0E4A9C7A-FBE3-4FF4-9C35-D1BDAAE544F4}"/>
    <cellStyle name="Normal 4 2 2 3 3 4 7" xfId="10657" xr:uid="{813BCF66-7AFD-4EA3-8E65-C5D170F7F2E2}"/>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43624" xr:uid="{851A1963-73DF-450D-91CE-381106EDBFD1}"/>
    <cellStyle name="Normal 4 2 2 3 3 5 2 2 3" xfId="35177" xr:uid="{5E406CFE-D31B-4FC2-8DD1-72FC818BFA01}"/>
    <cellStyle name="Normal 4 2 2 3 3 5 2 2 4" xfId="26729" xr:uid="{4189C65A-E100-4E4C-92A7-0B59C7E4024E}"/>
    <cellStyle name="Normal 4 2 2 3 3 5 2 2 5" xfId="17432" xr:uid="{6B7833CE-3939-4770-9415-5CD9B5FA8398}"/>
    <cellStyle name="Normal 4 2 2 3 3 5 2 3" xfId="39407" xr:uid="{39BA7ED5-CB29-4979-9459-60CB9A219492}"/>
    <cellStyle name="Normal 4 2 2 3 3 5 2 4" xfId="30959" xr:uid="{CB4FB7E2-268C-4BB8-B0D2-439B58EA7531}"/>
    <cellStyle name="Normal 4 2 2 3 3 5 2 5" xfId="22512" xr:uid="{07BE1E42-5065-4B9D-B467-182BF39EDB37}"/>
    <cellStyle name="Normal 4 2 2 3 3 5 2 6" xfId="13215" xr:uid="{99D4C2C5-3600-4050-BC52-C799B7C4B9A7}"/>
    <cellStyle name="Normal 4 2 2 3 3 5 3" xfId="5961" xr:uid="{00000000-0005-0000-0000-000064120000}"/>
    <cellStyle name="Normal 4 2 2 3 3 5 3 2" xfId="41479" xr:uid="{9FDA2E06-8843-4EF8-871E-63B2CC4572D2}"/>
    <cellStyle name="Normal 4 2 2 3 3 5 3 3" xfId="33032" xr:uid="{E8739EFD-64CB-4E9F-A9C0-0E6E66603E84}"/>
    <cellStyle name="Normal 4 2 2 3 3 5 3 4" xfId="24584" xr:uid="{5D62ED50-EF82-4CD5-BB55-2AFD4004E2F7}"/>
    <cellStyle name="Normal 4 2 2 3 3 5 3 5" xfId="15287" xr:uid="{F9B243B6-9B39-46E8-B53A-5A8E13357AE4}"/>
    <cellStyle name="Normal 4 2 2 3 3 5 4" xfId="37262" xr:uid="{F4F2E5C5-44FA-494B-B125-78F1F6333B8C}"/>
    <cellStyle name="Normal 4 2 2 3 3 5 5" xfId="28814" xr:uid="{D2904426-5057-479A-8D17-63284FF1E4C1}"/>
    <cellStyle name="Normal 4 2 2 3 3 5 6" xfId="20367" xr:uid="{31CFE8ED-601E-4EC6-A710-336C3518889E}"/>
    <cellStyle name="Normal 4 2 2 3 3 5 7" xfId="11070" xr:uid="{63647DCB-4720-4CA2-BC47-75E6E668F1E6}"/>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44037" xr:uid="{730A46AE-5709-4104-9C29-5CAD47791DAB}"/>
    <cellStyle name="Normal 4 2 2 3 3 6 2 2 3" xfId="35590" xr:uid="{99A3025E-31C4-4A6A-A5CD-14553FA8CCC5}"/>
    <cellStyle name="Normal 4 2 2 3 3 6 2 2 4" xfId="27142" xr:uid="{E8C862BD-077A-4E92-9082-42ADAA796899}"/>
    <cellStyle name="Normal 4 2 2 3 3 6 2 2 5" xfId="17845" xr:uid="{668BE418-1D64-471B-AB11-FD3780E731E7}"/>
    <cellStyle name="Normal 4 2 2 3 3 6 2 3" xfId="39820" xr:uid="{B3E79AD9-3FD2-448F-9051-156A67C41E77}"/>
    <cellStyle name="Normal 4 2 2 3 3 6 2 4" xfId="31372" xr:uid="{599325C6-13FF-477C-AC86-515C24A1E3ED}"/>
    <cellStyle name="Normal 4 2 2 3 3 6 2 5" xfId="22925" xr:uid="{9656D19D-A618-476F-9D01-4CCBC43C6E64}"/>
    <cellStyle name="Normal 4 2 2 3 3 6 2 6" xfId="13628" xr:uid="{8F4536B5-E902-44A5-BC51-5D2978F61809}"/>
    <cellStyle name="Normal 4 2 2 3 3 6 3" xfId="6374" xr:uid="{00000000-0005-0000-0000-000068120000}"/>
    <cellStyle name="Normal 4 2 2 3 3 6 3 2" xfId="41892" xr:uid="{1FF3D4C5-F87F-4B7A-BAF6-B02C11CD81D9}"/>
    <cellStyle name="Normal 4 2 2 3 3 6 3 3" xfId="33445" xr:uid="{2E801BC1-D627-419A-902E-B922575EAC18}"/>
    <cellStyle name="Normal 4 2 2 3 3 6 3 4" xfId="24997" xr:uid="{99846532-12C6-48BD-B9B0-3A5CE06D74A1}"/>
    <cellStyle name="Normal 4 2 2 3 3 6 3 5" xfId="15700" xr:uid="{4D3FD705-6DF9-49F1-93D9-E0FA140F6F17}"/>
    <cellStyle name="Normal 4 2 2 3 3 6 4" xfId="37675" xr:uid="{3645AB42-0CF0-43E4-A99B-2AE31CFB2A19}"/>
    <cellStyle name="Normal 4 2 2 3 3 6 5" xfId="29227" xr:uid="{86ED0647-EA37-4CB2-A998-013392403B43}"/>
    <cellStyle name="Normal 4 2 2 3 3 6 6" xfId="20780" xr:uid="{B1252EF8-EECA-4D0F-A7A6-A011B39D5CE6}"/>
    <cellStyle name="Normal 4 2 2 3 3 6 7" xfId="11483" xr:uid="{4A79A6AF-4EF7-4BD8-8EC3-E32B61277281}"/>
    <cellStyle name="Normal 4 2 2 3 3 7" xfId="2504" xr:uid="{00000000-0005-0000-0000-000069120000}"/>
    <cellStyle name="Normal 4 2 2 3 3 7 2" xfId="6787" xr:uid="{00000000-0005-0000-0000-00006A120000}"/>
    <cellStyle name="Normal 4 2 2 3 3 7 2 2" xfId="42305" xr:uid="{B6D4ED95-3EAA-4325-B0A7-37A79D1C8DC4}"/>
    <cellStyle name="Normal 4 2 2 3 3 7 2 3" xfId="33858" xr:uid="{550205B5-7801-4A5F-B120-BFDE1C65DD97}"/>
    <cellStyle name="Normal 4 2 2 3 3 7 2 4" xfId="25410" xr:uid="{1FA440B8-B43E-46BF-B86B-B2AC4BCDA617}"/>
    <cellStyle name="Normal 4 2 2 3 3 7 2 5" xfId="16113" xr:uid="{794C67FC-8AE4-446E-A36F-522301ACCA37}"/>
    <cellStyle name="Normal 4 2 2 3 3 7 3" xfId="38088" xr:uid="{F2BF50FC-960C-437C-8603-0C5DF3F50187}"/>
    <cellStyle name="Normal 4 2 2 3 3 7 4" xfId="29640" xr:uid="{74B54500-98E9-4062-89C6-87DB87081E1E}"/>
    <cellStyle name="Normal 4 2 2 3 3 7 5" xfId="21193" xr:uid="{5423C7B8-62CB-4674-95D3-2B57D9F884FF}"/>
    <cellStyle name="Normal 4 2 2 3 3 7 6" xfId="11896" xr:uid="{7F9CDB6F-BC24-487E-9AAD-FA1872B3F5D6}"/>
    <cellStyle name="Normal 4 2 2 3 3 8" xfId="4722" xr:uid="{00000000-0005-0000-0000-00006B120000}"/>
    <cellStyle name="Normal 4 2 2 3 3 8 2" xfId="40240" xr:uid="{22D486BB-C387-4FE6-BB30-DD452DD76ED9}"/>
    <cellStyle name="Normal 4 2 2 3 3 8 3" xfId="31793" xr:uid="{175094E3-952F-46F7-B329-2C9EB8DF177D}"/>
    <cellStyle name="Normal 4 2 2 3 3 8 4" xfId="23345" xr:uid="{F5974240-6596-48FD-9626-FD75C5517E18}"/>
    <cellStyle name="Normal 4 2 2 3 3 8 5" xfId="14048" xr:uid="{7ADB4F94-E4D7-4E70-B1A9-B7A1AE9012E4}"/>
    <cellStyle name="Normal 4 2 2 3 3 9" xfId="8887" xr:uid="{FD79599D-FD4F-44F4-A7A6-B948A2C15DD2}"/>
    <cellStyle name="Normal 4 2 2 3 3 9 2" xfId="36023" xr:uid="{4D84EA67-08EC-4DBA-ADD8-11BC41D8E860}"/>
    <cellStyle name="Normal 4 2 2 3 3 9 3" xfId="18210" xr:uid="{559BB447-47AB-45F1-9981-6014FDCD03D7}"/>
    <cellStyle name="Normal 4 2 2 3 4" xfId="346" xr:uid="{00000000-0005-0000-0000-00006C120000}"/>
    <cellStyle name="Normal 4 2 2 3 4 10" xfId="19130" xr:uid="{AD5C34C0-DB10-4FD3-87E0-EFD523AC888D}"/>
    <cellStyle name="Normal 4 2 2 3 4 11" xfId="9833" xr:uid="{967A8202-ED99-4B6B-95D7-DE52E16CD516}"/>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42800" xr:uid="{633125DC-54EB-4660-921D-EB0D19EF69B5}"/>
    <cellStyle name="Normal 4 2 2 3 4 2 2 2 3" xfId="34353" xr:uid="{25C40736-D703-4E55-9148-FEC0E8215262}"/>
    <cellStyle name="Normal 4 2 2 3 4 2 2 2 4" xfId="25905" xr:uid="{CEE57109-1D3B-4050-9C1C-7FC864E95BF7}"/>
    <cellStyle name="Normal 4 2 2 3 4 2 2 2 5" xfId="16608" xr:uid="{FCB7AF42-1B3A-4384-A45C-4CA61EB1CEB4}"/>
    <cellStyle name="Normal 4 2 2 3 4 2 2 3" xfId="38583" xr:uid="{0D57EA6A-C1A5-4FBB-908C-D8625A8A8686}"/>
    <cellStyle name="Normal 4 2 2 3 4 2 2 4" xfId="30135" xr:uid="{9AB6A8BE-D84D-4AAB-AB2E-D3D0F4A26F48}"/>
    <cellStyle name="Normal 4 2 2 3 4 2 2 5" xfId="21688" xr:uid="{F68D57E3-96B7-4C64-A34D-2587DDDF2205}"/>
    <cellStyle name="Normal 4 2 2 3 4 2 2 6" xfId="12391" xr:uid="{9F765596-B13B-46E4-BB77-01545DAF2EC0}"/>
    <cellStyle name="Normal 4 2 2 3 4 2 3" xfId="5137" xr:uid="{00000000-0005-0000-0000-000070120000}"/>
    <cellStyle name="Normal 4 2 2 3 4 2 3 2" xfId="40655" xr:uid="{E60AD15E-2F47-48D1-8A25-1F0C077F7E38}"/>
    <cellStyle name="Normal 4 2 2 3 4 2 3 3" xfId="32208" xr:uid="{87994826-A5C2-4FB2-9234-9AA74F3B1907}"/>
    <cellStyle name="Normal 4 2 2 3 4 2 3 4" xfId="23760" xr:uid="{AE3A3510-BB32-445E-819D-8D89DBE643AA}"/>
    <cellStyle name="Normal 4 2 2 3 4 2 3 5" xfId="14463" xr:uid="{45F723A6-5501-40E2-9C24-64739D79BCDC}"/>
    <cellStyle name="Normal 4 2 2 3 4 2 4" xfId="9416" xr:uid="{B0F1A5CD-0EDE-48A7-9669-6902681F696C}"/>
    <cellStyle name="Normal 4 2 2 3 4 2 4 2" xfId="36438" xr:uid="{37413B4D-FDF0-44A0-A8C3-3913D9282514}"/>
    <cellStyle name="Normal 4 2 2 3 4 2 4 3" xfId="18729" xr:uid="{D70B25B7-8413-4083-AB0C-E289407304F3}"/>
    <cellStyle name="Normal 4 2 2 3 4 2 5" xfId="27990" xr:uid="{77CE59B3-23CB-4D7B-BE41-26843E973CB8}"/>
    <cellStyle name="Normal 4 2 2 3 4 2 6" xfId="19543" xr:uid="{68DFD80F-350A-493B-8CE3-64AE851024FC}"/>
    <cellStyle name="Normal 4 2 2 3 4 2 7" xfId="10246" xr:uid="{AEDED8CA-6DEA-4DF8-B916-6BFB20958865}"/>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43213" xr:uid="{BE41D553-BA9B-4283-B7B2-AF3A7C97FFDD}"/>
    <cellStyle name="Normal 4 2 2 3 4 3 2 2 3" xfId="34766" xr:uid="{BCB8DD57-3C0B-4FD8-9F73-99AAAC7464B2}"/>
    <cellStyle name="Normal 4 2 2 3 4 3 2 2 4" xfId="26318" xr:uid="{43400D7F-2C8C-4124-BB46-0FC7ABE28193}"/>
    <cellStyle name="Normal 4 2 2 3 4 3 2 2 5" xfId="17021" xr:uid="{9ED3DEC6-4472-45F0-94C3-856AFF011625}"/>
    <cellStyle name="Normal 4 2 2 3 4 3 2 3" xfId="38996" xr:uid="{4774C33F-E8AD-4FBD-B1D3-802472843BD2}"/>
    <cellStyle name="Normal 4 2 2 3 4 3 2 4" xfId="30548" xr:uid="{F2EBE281-9E6B-424D-ACA9-FF8F5651A737}"/>
    <cellStyle name="Normal 4 2 2 3 4 3 2 5" xfId="22101" xr:uid="{A76E2AE8-A4F8-42A8-B747-4AF2772D82B6}"/>
    <cellStyle name="Normal 4 2 2 3 4 3 2 6" xfId="12804" xr:uid="{7F59931A-4B40-44E7-8758-7FEB304E6387}"/>
    <cellStyle name="Normal 4 2 2 3 4 3 3" xfId="5550" xr:uid="{00000000-0005-0000-0000-000074120000}"/>
    <cellStyle name="Normal 4 2 2 3 4 3 3 2" xfId="41068" xr:uid="{53DF7EE9-9E3D-44C4-9E46-A300D7160F8B}"/>
    <cellStyle name="Normal 4 2 2 3 4 3 3 3" xfId="32621" xr:uid="{C30183B8-F8D6-48BD-B2FC-C36742329D85}"/>
    <cellStyle name="Normal 4 2 2 3 4 3 3 4" xfId="24173" xr:uid="{0720668E-D1D6-4F07-9DAB-C3DD71298408}"/>
    <cellStyle name="Normal 4 2 2 3 4 3 3 5" xfId="14876" xr:uid="{FFD83534-3FF3-4387-A18B-B82454655F20}"/>
    <cellStyle name="Normal 4 2 2 3 4 3 4" xfId="36851" xr:uid="{A174EFEE-9BDD-4602-81FA-8F8EA106BC03}"/>
    <cellStyle name="Normal 4 2 2 3 4 3 5" xfId="28403" xr:uid="{7E430A35-ED65-42E7-A74C-F0490FB721C9}"/>
    <cellStyle name="Normal 4 2 2 3 4 3 6" xfId="19956" xr:uid="{3E298B55-5EEA-4299-B8E9-91C4D1B5E6BB}"/>
    <cellStyle name="Normal 4 2 2 3 4 3 7" xfId="10659" xr:uid="{517AD7F3-A3D3-4A2E-99DA-219E690B0D72}"/>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43626" xr:uid="{D7996E83-AF16-4512-9E49-A53031EAF053}"/>
    <cellStyle name="Normal 4 2 2 3 4 4 2 2 3" xfId="35179" xr:uid="{07D39E23-0E1D-4E41-9B19-36390B8903E5}"/>
    <cellStyle name="Normal 4 2 2 3 4 4 2 2 4" xfId="26731" xr:uid="{4D45835F-5611-4CAC-ABC6-4CDEFF42966A}"/>
    <cellStyle name="Normal 4 2 2 3 4 4 2 2 5" xfId="17434" xr:uid="{ED6F06C8-00F5-4A88-BB1B-7526EEEB0ACD}"/>
    <cellStyle name="Normal 4 2 2 3 4 4 2 3" xfId="39409" xr:uid="{0D46FD97-4AA9-4AE0-9800-ACABA5158FEC}"/>
    <cellStyle name="Normal 4 2 2 3 4 4 2 4" xfId="30961" xr:uid="{CF70D0CE-6D81-4FB0-B880-C66009EC4122}"/>
    <cellStyle name="Normal 4 2 2 3 4 4 2 5" xfId="22514" xr:uid="{5CC63EDC-0595-47A3-94C3-8D640CBA4452}"/>
    <cellStyle name="Normal 4 2 2 3 4 4 2 6" xfId="13217" xr:uid="{C0F7C98A-DA47-4FDC-82F0-2B3F2D417BF5}"/>
    <cellStyle name="Normal 4 2 2 3 4 4 3" xfId="5963" xr:uid="{00000000-0005-0000-0000-000078120000}"/>
    <cellStyle name="Normal 4 2 2 3 4 4 3 2" xfId="41481" xr:uid="{946FC86C-571B-4EEC-AC37-CEFE0377218E}"/>
    <cellStyle name="Normal 4 2 2 3 4 4 3 3" xfId="33034" xr:uid="{20DBD4EA-93EB-48DA-B710-F1754EF64556}"/>
    <cellStyle name="Normal 4 2 2 3 4 4 3 4" xfId="24586" xr:uid="{C730D2BA-7C3E-4E12-9743-B60EFFF6C8E0}"/>
    <cellStyle name="Normal 4 2 2 3 4 4 3 5" xfId="15289" xr:uid="{56C18783-5B13-4933-974B-701148BDAEDD}"/>
    <cellStyle name="Normal 4 2 2 3 4 4 4" xfId="37264" xr:uid="{03FCD206-1CAF-4AA9-A40B-3D64999FE324}"/>
    <cellStyle name="Normal 4 2 2 3 4 4 5" xfId="28816" xr:uid="{7BFE3165-46E1-4007-8695-A6CF324F055F}"/>
    <cellStyle name="Normal 4 2 2 3 4 4 6" xfId="20369" xr:uid="{3C7B90BC-73CD-48B8-9BBA-8273BE0E3183}"/>
    <cellStyle name="Normal 4 2 2 3 4 4 7" xfId="11072" xr:uid="{B2392867-9A29-4A9A-B31E-BE573FB8A39C}"/>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44039" xr:uid="{5FFC53D9-249C-4855-8504-5DC04ACF8C72}"/>
    <cellStyle name="Normal 4 2 2 3 4 5 2 2 3" xfId="35592" xr:uid="{9EA8E950-DC7D-4A59-9365-CE6C343C73DE}"/>
    <cellStyle name="Normal 4 2 2 3 4 5 2 2 4" xfId="27144" xr:uid="{2401BA64-6E30-48C7-9F20-C5C2D7F0D930}"/>
    <cellStyle name="Normal 4 2 2 3 4 5 2 2 5" xfId="17847" xr:uid="{F9DB5AE7-CAC6-4A12-88A7-618FFE6BD792}"/>
    <cellStyle name="Normal 4 2 2 3 4 5 2 3" xfId="39822" xr:uid="{496BB006-98DC-4BC3-8BFF-B7E2D7AA4369}"/>
    <cellStyle name="Normal 4 2 2 3 4 5 2 4" xfId="31374" xr:uid="{B452AC47-8C0B-452E-8BCF-B0F5D56B5470}"/>
    <cellStyle name="Normal 4 2 2 3 4 5 2 5" xfId="22927" xr:uid="{9BC9A2DD-7251-4A05-A00B-D2A819428BAC}"/>
    <cellStyle name="Normal 4 2 2 3 4 5 2 6" xfId="13630" xr:uid="{3B4CBD54-2E73-40DD-B095-996050035E7E}"/>
    <cellStyle name="Normal 4 2 2 3 4 5 3" xfId="6376" xr:uid="{00000000-0005-0000-0000-00007C120000}"/>
    <cellStyle name="Normal 4 2 2 3 4 5 3 2" xfId="41894" xr:uid="{921344BB-51F2-4264-97C1-1C634887B80F}"/>
    <cellStyle name="Normal 4 2 2 3 4 5 3 3" xfId="33447" xr:uid="{085C799A-E1D4-477E-950A-E2D6E96AD6CB}"/>
    <cellStyle name="Normal 4 2 2 3 4 5 3 4" xfId="24999" xr:uid="{DC7C7AC5-EB4A-4AC8-9519-14316637F0FC}"/>
    <cellStyle name="Normal 4 2 2 3 4 5 3 5" xfId="15702" xr:uid="{9AF29031-D4E4-4ACD-A423-998FA7344C25}"/>
    <cellStyle name="Normal 4 2 2 3 4 5 4" xfId="37677" xr:uid="{F5466495-D978-4DB7-885A-824117F4F4AF}"/>
    <cellStyle name="Normal 4 2 2 3 4 5 5" xfId="29229" xr:uid="{D8C3F4A9-AE46-497F-AF5D-4380A1BEB232}"/>
    <cellStyle name="Normal 4 2 2 3 4 5 6" xfId="20782" xr:uid="{3F184597-E912-4947-A1E7-AF4AE68A2E57}"/>
    <cellStyle name="Normal 4 2 2 3 4 5 7" xfId="11485" xr:uid="{40ED2DFE-183D-412A-9B42-5BCBEE97D051}"/>
    <cellStyle name="Normal 4 2 2 3 4 6" xfId="2506" xr:uid="{00000000-0005-0000-0000-00007D120000}"/>
    <cellStyle name="Normal 4 2 2 3 4 6 2" xfId="6789" xr:uid="{00000000-0005-0000-0000-00007E120000}"/>
    <cellStyle name="Normal 4 2 2 3 4 6 2 2" xfId="42307" xr:uid="{7F005549-BB6E-4729-9D62-FD145EAC316B}"/>
    <cellStyle name="Normal 4 2 2 3 4 6 2 3" xfId="33860" xr:uid="{30AD5394-1CCD-40A2-A8E6-C5394207B46F}"/>
    <cellStyle name="Normal 4 2 2 3 4 6 2 4" xfId="25412" xr:uid="{43541C64-A278-4E25-BCA2-2CFD3BBEECA1}"/>
    <cellStyle name="Normal 4 2 2 3 4 6 2 5" xfId="16115" xr:uid="{58681D71-E96B-47AC-8094-385D6F924E60}"/>
    <cellStyle name="Normal 4 2 2 3 4 6 3" xfId="38090" xr:uid="{DF413BE1-B864-485C-94D3-1E5FF48508EE}"/>
    <cellStyle name="Normal 4 2 2 3 4 6 4" xfId="29642" xr:uid="{A4DC7CFB-9621-43E2-B17D-2A7CA23D05E7}"/>
    <cellStyle name="Normal 4 2 2 3 4 6 5" xfId="21195" xr:uid="{61B36B40-6071-4100-9B85-A0A150142C15}"/>
    <cellStyle name="Normal 4 2 2 3 4 6 6" xfId="11898" xr:uid="{1499422A-69F7-4954-B68A-87D260ADCE6F}"/>
    <cellStyle name="Normal 4 2 2 3 4 7" xfId="4724" xr:uid="{00000000-0005-0000-0000-00007F120000}"/>
    <cellStyle name="Normal 4 2 2 3 4 7 2" xfId="40242" xr:uid="{D277C3B6-E468-4F70-B142-2C73C02E693C}"/>
    <cellStyle name="Normal 4 2 2 3 4 7 3" xfId="31795" xr:uid="{0848331F-2836-41A1-964C-65D031273AC1}"/>
    <cellStyle name="Normal 4 2 2 3 4 7 4" xfId="23347" xr:uid="{AF57BB68-5CDB-4668-A0C3-52B8321506C9}"/>
    <cellStyle name="Normal 4 2 2 3 4 7 5" xfId="14050" xr:uid="{1D865CFD-A540-45BE-AC72-993CBCD59F2F}"/>
    <cellStyle name="Normal 4 2 2 3 4 8" xfId="8991" xr:uid="{84464EC3-90C2-4B18-8399-135C935528F7}"/>
    <cellStyle name="Normal 4 2 2 3 4 8 2" xfId="36025" xr:uid="{BD92356E-772D-4ED6-9821-33BBCBEC7AB9}"/>
    <cellStyle name="Normal 4 2 2 3 4 8 3" xfId="18314" xr:uid="{9B573C85-C41C-45A6-B469-D7E89E532096}"/>
    <cellStyle name="Normal 4 2 2 3 4 9" xfId="27577" xr:uid="{07F49867-14FD-482D-927C-43C1ADA8EE6E}"/>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42793" xr:uid="{18EFF243-0CEE-4CBD-A18C-286E96658C78}"/>
    <cellStyle name="Normal 4 2 2 3 5 2 2 3" xfId="34346" xr:uid="{0A4BFA34-1077-4E8E-ADF2-95FC5178177B}"/>
    <cellStyle name="Normal 4 2 2 3 5 2 2 4" xfId="25898" xr:uid="{CBDE1439-253C-4F85-B32B-DF28ADA13D2A}"/>
    <cellStyle name="Normal 4 2 2 3 5 2 2 5" xfId="16601" xr:uid="{DA4B6D1A-9D42-477C-B6BD-4A3BE2C421D8}"/>
    <cellStyle name="Normal 4 2 2 3 5 2 3" xfId="38576" xr:uid="{C999D164-BA77-409F-8F1A-DE8EC96C4CEF}"/>
    <cellStyle name="Normal 4 2 2 3 5 2 4" xfId="30128" xr:uid="{9A7E8F1E-5263-4B14-9D4E-45C65AE6BB37}"/>
    <cellStyle name="Normal 4 2 2 3 5 2 5" xfId="21681" xr:uid="{0E895AF4-BE62-456B-AE27-51D1D4ED0243}"/>
    <cellStyle name="Normal 4 2 2 3 5 2 6" xfId="12384" xr:uid="{17DA6626-2FCF-49F7-98FE-C12E861F5F78}"/>
    <cellStyle name="Normal 4 2 2 3 5 3" xfId="5130" xr:uid="{00000000-0005-0000-0000-000083120000}"/>
    <cellStyle name="Normal 4 2 2 3 5 3 2" xfId="40648" xr:uid="{DC403BD7-8893-4F65-9280-918E1830F4AF}"/>
    <cellStyle name="Normal 4 2 2 3 5 3 3" xfId="32201" xr:uid="{00856608-1350-40DC-9485-0F057FC1EEEC}"/>
    <cellStyle name="Normal 4 2 2 3 5 3 4" xfId="23753" xr:uid="{92BE4AA4-552E-444F-88BE-DF273C61640C}"/>
    <cellStyle name="Normal 4 2 2 3 5 3 5" xfId="14456" xr:uid="{930A7E05-8403-4368-9F81-91BF9BEE14E7}"/>
    <cellStyle name="Normal 4 2 2 3 5 4" xfId="9208" xr:uid="{7BF9CD11-B90D-42F2-928D-A8BE344C6F46}"/>
    <cellStyle name="Normal 4 2 2 3 5 4 2" xfId="36431" xr:uid="{843BF4EC-E5BC-4FA6-8707-FB3FD4CFD254}"/>
    <cellStyle name="Normal 4 2 2 3 5 4 3" xfId="18522" xr:uid="{A28D054F-8EDD-447B-9B2B-E93DDD2E5169}"/>
    <cellStyle name="Normal 4 2 2 3 5 5" xfId="27983" xr:uid="{07188D6D-31C3-4F37-8C4B-1EB8B909AC21}"/>
    <cellStyle name="Normal 4 2 2 3 5 6" xfId="19536" xr:uid="{79242844-8D59-4F5C-A15D-17A04FE19F7D}"/>
    <cellStyle name="Normal 4 2 2 3 5 7" xfId="10239" xr:uid="{1DE870D2-C6DB-4499-A4BD-88AADF1EA9D6}"/>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43206" xr:uid="{56843FAF-1AAD-4F2D-9D25-7AF5E6E26181}"/>
    <cellStyle name="Normal 4 2 2 3 6 2 2 3" xfId="34759" xr:uid="{5F4BECC8-919B-4723-A3A1-110EE03A58F8}"/>
    <cellStyle name="Normal 4 2 2 3 6 2 2 4" xfId="26311" xr:uid="{B98535B0-13A9-41DB-BBE5-1AD992E8BE46}"/>
    <cellStyle name="Normal 4 2 2 3 6 2 2 5" xfId="17014" xr:uid="{046782BC-24AD-493D-BC87-B9B522728186}"/>
    <cellStyle name="Normal 4 2 2 3 6 2 3" xfId="38989" xr:uid="{CD250B15-FA12-4A0E-86F0-60D95CB39463}"/>
    <cellStyle name="Normal 4 2 2 3 6 2 4" xfId="30541" xr:uid="{0F8425C7-E551-417D-A108-606A901EB1DF}"/>
    <cellStyle name="Normal 4 2 2 3 6 2 5" xfId="22094" xr:uid="{31F8DC21-60DC-4FF7-AE76-797156E96147}"/>
    <cellStyle name="Normal 4 2 2 3 6 2 6" xfId="12797" xr:uid="{EA95DF37-886D-4490-88E1-36A5D94E76FB}"/>
    <cellStyle name="Normal 4 2 2 3 6 3" xfId="5543" xr:uid="{00000000-0005-0000-0000-000087120000}"/>
    <cellStyle name="Normal 4 2 2 3 6 3 2" xfId="41061" xr:uid="{406EA40B-A6B8-4B37-B7C3-1F459571D6C0}"/>
    <cellStyle name="Normal 4 2 2 3 6 3 3" xfId="32614" xr:uid="{EF424822-CD6C-4AE4-96D5-C32849277CC3}"/>
    <cellStyle name="Normal 4 2 2 3 6 3 4" xfId="24166" xr:uid="{CFD87A70-38CA-473A-9EB4-421C42F270BC}"/>
    <cellStyle name="Normal 4 2 2 3 6 3 5" xfId="14869" xr:uid="{C62BBD4B-A98A-4C38-8410-6C6729AF442C}"/>
    <cellStyle name="Normal 4 2 2 3 6 4" xfId="36844" xr:uid="{AC0B8843-C7B2-488E-8951-0142A413E01B}"/>
    <cellStyle name="Normal 4 2 2 3 6 5" xfId="28396" xr:uid="{EFCBB744-D756-43C1-BB89-03B8D9B5509B}"/>
    <cellStyle name="Normal 4 2 2 3 6 6" xfId="19949" xr:uid="{A5851B54-5EE5-4C22-8A70-26F1F0ECCE31}"/>
    <cellStyle name="Normal 4 2 2 3 6 7" xfId="10652" xr:uid="{2A25E703-DF4C-4AE5-B571-45334A1B9BDE}"/>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43619" xr:uid="{23826CC3-349F-4934-8C50-85ED6DFF62C5}"/>
    <cellStyle name="Normal 4 2 2 3 7 2 2 3" xfId="35172" xr:uid="{59B1EC2C-234E-42E4-87E3-CB7C55BB5E4B}"/>
    <cellStyle name="Normal 4 2 2 3 7 2 2 4" xfId="26724" xr:uid="{7BECFDFC-76A8-4A2D-8857-4ECE8F172A5B}"/>
    <cellStyle name="Normal 4 2 2 3 7 2 2 5" xfId="17427" xr:uid="{34ECE058-AAD7-4337-A198-F198E6921E96}"/>
    <cellStyle name="Normal 4 2 2 3 7 2 3" xfId="39402" xr:uid="{2E11D090-2DD9-4FCE-BAA9-0007D28AECFF}"/>
    <cellStyle name="Normal 4 2 2 3 7 2 4" xfId="30954" xr:uid="{4FA152D4-3885-4899-B0FF-621009F81139}"/>
    <cellStyle name="Normal 4 2 2 3 7 2 5" xfId="22507" xr:uid="{D926712A-88D9-4E6A-8EE4-613D927A889B}"/>
    <cellStyle name="Normal 4 2 2 3 7 2 6" xfId="13210" xr:uid="{FC1EE02F-35F7-41AE-BBF3-AC68B167340A}"/>
    <cellStyle name="Normal 4 2 2 3 7 3" xfId="5956" xr:uid="{00000000-0005-0000-0000-00008B120000}"/>
    <cellStyle name="Normal 4 2 2 3 7 3 2" xfId="41474" xr:uid="{099C10AE-80A3-4A7E-94E3-FB9023C80B1F}"/>
    <cellStyle name="Normal 4 2 2 3 7 3 3" xfId="33027" xr:uid="{7FEBC9D6-196E-4215-B235-86F8F84157E3}"/>
    <cellStyle name="Normal 4 2 2 3 7 3 4" xfId="24579" xr:uid="{DD84B869-58C4-4DCC-96C0-B50BD83305EE}"/>
    <cellStyle name="Normal 4 2 2 3 7 3 5" xfId="15282" xr:uid="{53FAA1E6-A9F2-4295-84DD-97FB3E45DF34}"/>
    <cellStyle name="Normal 4 2 2 3 7 4" xfId="37257" xr:uid="{73951198-A52A-4D39-9A83-6134AF66AF57}"/>
    <cellStyle name="Normal 4 2 2 3 7 5" xfId="28809" xr:uid="{0C18B4DB-E6A2-4401-BD83-FA9BBCD3DB52}"/>
    <cellStyle name="Normal 4 2 2 3 7 6" xfId="20362" xr:uid="{04175A7A-A0B5-415C-9A81-0E230DB34E28}"/>
    <cellStyle name="Normal 4 2 2 3 7 7" xfId="11065" xr:uid="{6A97EBFA-B459-4624-B380-300216850F2A}"/>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44032" xr:uid="{E6859905-73BB-4021-9C69-2537FC5C8BE4}"/>
    <cellStyle name="Normal 4 2 2 3 8 2 2 3" xfId="35585" xr:uid="{9422F8F5-4DEB-4255-BE36-B00D874C924E}"/>
    <cellStyle name="Normal 4 2 2 3 8 2 2 4" xfId="27137" xr:uid="{4E674EC6-8F57-466E-AB9F-2F92834110A3}"/>
    <cellStyle name="Normal 4 2 2 3 8 2 2 5" xfId="17840" xr:uid="{643B43EA-53DF-45CA-8A81-48A4CD9FE295}"/>
    <cellStyle name="Normal 4 2 2 3 8 2 3" xfId="39815" xr:uid="{8385D009-059B-4B27-8CF7-FC132A5BF4A6}"/>
    <cellStyle name="Normal 4 2 2 3 8 2 4" xfId="31367" xr:uid="{B9F0B71B-D297-4350-935C-6B6108CCE602}"/>
    <cellStyle name="Normal 4 2 2 3 8 2 5" xfId="22920" xr:uid="{897371CF-EFBB-47AF-9CB9-B4AC498D9938}"/>
    <cellStyle name="Normal 4 2 2 3 8 2 6" xfId="13623" xr:uid="{0540C3EB-FFDC-49E9-B6FD-D3BE27F2595B}"/>
    <cellStyle name="Normal 4 2 2 3 8 3" xfId="6369" xr:uid="{00000000-0005-0000-0000-00008F120000}"/>
    <cellStyle name="Normal 4 2 2 3 8 3 2" xfId="41887" xr:uid="{8078AF3E-48CF-47E1-865E-D8EA29C925BD}"/>
    <cellStyle name="Normal 4 2 2 3 8 3 3" xfId="33440" xr:uid="{F730AE69-98A2-490F-B03C-BF3CB88DDECC}"/>
    <cellStyle name="Normal 4 2 2 3 8 3 4" xfId="24992" xr:uid="{2BE14AC3-5F6E-4A89-925B-E9AAF9A1A539}"/>
    <cellStyle name="Normal 4 2 2 3 8 3 5" xfId="15695" xr:uid="{A776B6D5-023E-4D54-9594-C1C181C7E63E}"/>
    <cellStyle name="Normal 4 2 2 3 8 4" xfId="37670" xr:uid="{3BBF1129-FF3A-478A-A745-1CE49CD798F4}"/>
    <cellStyle name="Normal 4 2 2 3 8 5" xfId="29222" xr:uid="{13014E42-9333-4311-B3A6-03BBABE8C4BF}"/>
    <cellStyle name="Normal 4 2 2 3 8 6" xfId="20775" xr:uid="{841D8C35-8BDB-47B8-902B-ACB31E7F11F7}"/>
    <cellStyle name="Normal 4 2 2 3 8 7" xfId="11478" xr:uid="{B510368E-6129-4386-B9A1-B0D3570C9439}"/>
    <cellStyle name="Normal 4 2 2 3 9" xfId="2499" xr:uid="{00000000-0005-0000-0000-000090120000}"/>
    <cellStyle name="Normal 4 2 2 3 9 2" xfId="6782" xr:uid="{00000000-0005-0000-0000-000091120000}"/>
    <cellStyle name="Normal 4 2 2 3 9 2 2" xfId="42300" xr:uid="{B67E1B70-4A80-4C44-BCE3-239878967105}"/>
    <cellStyle name="Normal 4 2 2 3 9 2 3" xfId="33853" xr:uid="{02EDB275-8D7B-4BD3-A2EF-6AB7E364997E}"/>
    <cellStyle name="Normal 4 2 2 3 9 2 4" xfId="25405" xr:uid="{E84B324F-FE7B-4835-B0BB-2E887C85046C}"/>
    <cellStyle name="Normal 4 2 2 3 9 2 5" xfId="16108" xr:uid="{5E387085-DDB1-480C-B9F5-ADCBA0A14EF3}"/>
    <cellStyle name="Normal 4 2 2 3 9 3" xfId="38083" xr:uid="{251646FE-1101-4616-95E2-B6FACE770792}"/>
    <cellStyle name="Normal 4 2 2 3 9 4" xfId="29635" xr:uid="{23FED709-BD31-4960-B42D-7A7552E5E860}"/>
    <cellStyle name="Normal 4 2 2 3 9 5" xfId="21188" xr:uid="{6C68551E-E2C2-4B23-899E-96CB57A9AD34}"/>
    <cellStyle name="Normal 4 2 2 3 9 6" xfId="11891" xr:uid="{C7509FD7-921A-4A85-8227-27BF580F5DE1}"/>
    <cellStyle name="Normal 4 2 2 4" xfId="347" xr:uid="{00000000-0005-0000-0000-000092120000}"/>
    <cellStyle name="Normal 4 2 2 4 10" xfId="8818" xr:uid="{A73977A7-52C6-4368-9F59-166E1B99BBDE}"/>
    <cellStyle name="Normal 4 2 2 4 10 2" xfId="36026" xr:uid="{956F5E74-8BAB-4EAA-AC31-0D32CC5A0E1E}"/>
    <cellStyle name="Normal 4 2 2 4 10 3" xfId="18141" xr:uid="{8D741BD7-E051-4C20-8E67-5227E3E2855B}"/>
    <cellStyle name="Normal 4 2 2 4 11" xfId="27578" xr:uid="{482C27E8-5953-4BD9-A64D-CF74BEC98A78}"/>
    <cellStyle name="Normal 4 2 2 4 12" xfId="19131" xr:uid="{DBE88181-6EC2-4383-B9F3-46ADB1A56220}"/>
    <cellStyle name="Normal 4 2 2 4 13" xfId="9834" xr:uid="{E3ABE9B3-F9BE-4054-AAD7-E9BD25C28DFB}"/>
    <cellStyle name="Normal 4 2 2 4 2" xfId="348" xr:uid="{00000000-0005-0000-0000-000093120000}"/>
    <cellStyle name="Normal 4 2 2 4 2 10" xfId="27579" xr:uid="{99EC303A-CB6E-483D-AC04-2C0600891199}"/>
    <cellStyle name="Normal 4 2 2 4 2 11" xfId="19132" xr:uid="{9FFC6E9D-CF2E-4964-AABF-FF7870E435FB}"/>
    <cellStyle name="Normal 4 2 2 4 2 12" xfId="9835" xr:uid="{85295A43-DF33-4F81-8B56-81BADAD59499}"/>
    <cellStyle name="Normal 4 2 2 4 2 2" xfId="349" xr:uid="{00000000-0005-0000-0000-000094120000}"/>
    <cellStyle name="Normal 4 2 2 4 2 2 10" xfId="19133" xr:uid="{309E6AC3-5ADA-4185-AAB3-BF77281511CA}"/>
    <cellStyle name="Normal 4 2 2 4 2 2 11" xfId="9836" xr:uid="{B80C30C5-5D41-43DC-A6F2-D79F1E83889D}"/>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42803" xr:uid="{C81F04DC-F73C-41BD-A3A5-F9F1BAACA6D3}"/>
    <cellStyle name="Normal 4 2 2 4 2 2 2 2 2 3" xfId="34356" xr:uid="{43C00B15-D3C2-4F98-A629-1A313BEB92E1}"/>
    <cellStyle name="Normal 4 2 2 4 2 2 2 2 2 4" xfId="25908" xr:uid="{82AD3E32-9665-4039-B8D4-EC4946C91468}"/>
    <cellStyle name="Normal 4 2 2 4 2 2 2 2 2 5" xfId="16611" xr:uid="{679E4825-F66C-4A8C-8BDB-5FE30BFFAE77}"/>
    <cellStyle name="Normal 4 2 2 4 2 2 2 2 3" xfId="38586" xr:uid="{6636EDE2-0D22-4F0F-BD01-B3A2BAC6AD24}"/>
    <cellStyle name="Normal 4 2 2 4 2 2 2 2 4" xfId="30138" xr:uid="{F130832E-A6DA-4E7C-BA8F-1B303806CE37}"/>
    <cellStyle name="Normal 4 2 2 4 2 2 2 2 5" xfId="21691" xr:uid="{F3531758-B00F-4774-9AC9-B9026A5ABDC0}"/>
    <cellStyle name="Normal 4 2 2 4 2 2 2 2 6" xfId="12394" xr:uid="{6AC3577B-94F4-4F32-8E7E-5B02788A885D}"/>
    <cellStyle name="Normal 4 2 2 4 2 2 2 3" xfId="5140" xr:uid="{00000000-0005-0000-0000-000098120000}"/>
    <cellStyle name="Normal 4 2 2 4 2 2 2 3 2" xfId="40658" xr:uid="{DEBDC209-69B9-4604-9681-E529EF5E8537}"/>
    <cellStyle name="Normal 4 2 2 4 2 2 2 3 3" xfId="32211" xr:uid="{23B3E394-20E1-4934-B263-CF4DC46D019B}"/>
    <cellStyle name="Normal 4 2 2 4 2 2 2 3 4" xfId="23763" xr:uid="{8EE3EA51-EAF6-4EC3-9A62-785952D6238C}"/>
    <cellStyle name="Normal 4 2 2 4 2 2 2 3 5" xfId="14466" xr:uid="{6C6089CD-4916-47E8-988A-DBB032244224}"/>
    <cellStyle name="Normal 4 2 2 4 2 2 2 4" xfId="9553" xr:uid="{7FCAF883-2374-4470-BA95-AD8EB054639C}"/>
    <cellStyle name="Normal 4 2 2 4 2 2 2 4 2" xfId="36441" xr:uid="{E581F198-EEC9-483D-9C7D-31F8A2172114}"/>
    <cellStyle name="Normal 4 2 2 4 2 2 2 4 3" xfId="18866" xr:uid="{61E92B4A-4A7D-48EE-A31C-1FAB6C83BEB9}"/>
    <cellStyle name="Normal 4 2 2 4 2 2 2 5" xfId="27993" xr:uid="{A472768E-D77B-4AA5-AF61-1E5A4CBE11E2}"/>
    <cellStyle name="Normal 4 2 2 4 2 2 2 6" xfId="19546" xr:uid="{0E48591F-4C7F-40EB-8C9C-859C30231FB9}"/>
    <cellStyle name="Normal 4 2 2 4 2 2 2 7" xfId="10249" xr:uid="{9FB906EE-E0F8-4CC0-8D31-F7E28C5D5BC8}"/>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43216" xr:uid="{E2A32E7C-5EA5-47DE-B3EF-C20CE05C956C}"/>
    <cellStyle name="Normal 4 2 2 4 2 2 3 2 2 3" xfId="34769" xr:uid="{4333910F-4772-4827-9FF7-171C725C38F6}"/>
    <cellStyle name="Normal 4 2 2 4 2 2 3 2 2 4" xfId="26321" xr:uid="{5352D700-AC94-42B9-8ED0-63FC2C7E7846}"/>
    <cellStyle name="Normal 4 2 2 4 2 2 3 2 2 5" xfId="17024" xr:uid="{8B4CAF81-96A4-4C5D-B52E-8B2481909D6C}"/>
    <cellStyle name="Normal 4 2 2 4 2 2 3 2 3" xfId="38999" xr:uid="{7D122118-3BC1-4CC1-B800-4A9B98537B54}"/>
    <cellStyle name="Normal 4 2 2 4 2 2 3 2 4" xfId="30551" xr:uid="{F2364389-F57C-48D9-9251-FB765A07A8DB}"/>
    <cellStyle name="Normal 4 2 2 4 2 2 3 2 5" xfId="22104" xr:uid="{F62AF073-954C-4533-A68A-9A6B9853DAC1}"/>
    <cellStyle name="Normal 4 2 2 4 2 2 3 2 6" xfId="12807" xr:uid="{73669D40-CE48-498D-A489-902DA4761FA6}"/>
    <cellStyle name="Normal 4 2 2 4 2 2 3 3" xfId="5553" xr:uid="{00000000-0005-0000-0000-00009C120000}"/>
    <cellStyle name="Normal 4 2 2 4 2 2 3 3 2" xfId="41071" xr:uid="{380C05C5-DFC2-4ED1-BB19-61663347D178}"/>
    <cellStyle name="Normal 4 2 2 4 2 2 3 3 3" xfId="32624" xr:uid="{62FB4C42-66A9-4E48-8BDE-02CB62F636F6}"/>
    <cellStyle name="Normal 4 2 2 4 2 2 3 3 4" xfId="24176" xr:uid="{EA40C122-2684-4810-BBB0-41BA82F9F1ED}"/>
    <cellStyle name="Normal 4 2 2 4 2 2 3 3 5" xfId="14879" xr:uid="{BA3FFE16-52EA-476E-9270-ACACECDDF980}"/>
    <cellStyle name="Normal 4 2 2 4 2 2 3 4" xfId="36854" xr:uid="{837F22B9-C04C-4563-A55A-CD7E1F5021DF}"/>
    <cellStyle name="Normal 4 2 2 4 2 2 3 5" xfId="28406" xr:uid="{FE2C8B2D-F7D6-42F9-B083-B8814CEE2E30}"/>
    <cellStyle name="Normal 4 2 2 4 2 2 3 6" xfId="19959" xr:uid="{FEE9D8DE-0CB6-49D1-8459-2367186275FF}"/>
    <cellStyle name="Normal 4 2 2 4 2 2 3 7" xfId="10662" xr:uid="{B16CCFEC-2402-47AF-B2D0-0624928428BA}"/>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43629" xr:uid="{C6E4F166-B6E6-48FA-B8EF-F5E295478D20}"/>
    <cellStyle name="Normal 4 2 2 4 2 2 4 2 2 3" xfId="35182" xr:uid="{7B6786F8-A3C1-4115-88A0-5A533236FEF0}"/>
    <cellStyle name="Normal 4 2 2 4 2 2 4 2 2 4" xfId="26734" xr:uid="{4A3E86BB-F6E9-44B3-B8F5-E72432D2FFA1}"/>
    <cellStyle name="Normal 4 2 2 4 2 2 4 2 2 5" xfId="17437" xr:uid="{DB70737E-4268-4476-95EE-C023A4C527B8}"/>
    <cellStyle name="Normal 4 2 2 4 2 2 4 2 3" xfId="39412" xr:uid="{962CAF76-034A-484B-9A5B-B009A0928648}"/>
    <cellStyle name="Normal 4 2 2 4 2 2 4 2 4" xfId="30964" xr:uid="{A218D864-F1B3-4DD1-B9AA-1B6C035191C0}"/>
    <cellStyle name="Normal 4 2 2 4 2 2 4 2 5" xfId="22517" xr:uid="{C6FCC6C9-BCCA-4160-9A9D-093AA8A11702}"/>
    <cellStyle name="Normal 4 2 2 4 2 2 4 2 6" xfId="13220" xr:uid="{0A6FECCF-1E4E-4C2B-96A7-FD6F184E1D9F}"/>
    <cellStyle name="Normal 4 2 2 4 2 2 4 3" xfId="5966" xr:uid="{00000000-0005-0000-0000-0000A0120000}"/>
    <cellStyle name="Normal 4 2 2 4 2 2 4 3 2" xfId="41484" xr:uid="{1A7C4DB8-E0F3-4BC8-8C63-E9A19EBB3E5A}"/>
    <cellStyle name="Normal 4 2 2 4 2 2 4 3 3" xfId="33037" xr:uid="{45C18735-A32E-4038-B1BF-3209E78A1300}"/>
    <cellStyle name="Normal 4 2 2 4 2 2 4 3 4" xfId="24589" xr:uid="{93486ED5-3D1C-42D2-8F55-C1BF6C731A4D}"/>
    <cellStyle name="Normal 4 2 2 4 2 2 4 3 5" xfId="15292" xr:uid="{D9956628-A800-4421-B16D-02F9DA7A5E26}"/>
    <cellStyle name="Normal 4 2 2 4 2 2 4 4" xfId="37267" xr:uid="{32B996F6-875C-4676-9C56-1FC240EDCF95}"/>
    <cellStyle name="Normal 4 2 2 4 2 2 4 5" xfId="28819" xr:uid="{C557528A-24B4-440A-AFE5-6DC3A0913362}"/>
    <cellStyle name="Normal 4 2 2 4 2 2 4 6" xfId="20372" xr:uid="{62F27C53-BBBF-463F-9B55-157FB2578BA4}"/>
    <cellStyle name="Normal 4 2 2 4 2 2 4 7" xfId="11075" xr:uid="{D56F50DB-CE56-4772-ABEC-6EE86FEF2525}"/>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44042" xr:uid="{CCE8BC4B-6616-466B-9757-DF4B9EE84A1A}"/>
    <cellStyle name="Normal 4 2 2 4 2 2 5 2 2 3" xfId="35595" xr:uid="{517EB395-CD48-4E86-B075-327D725C1E5C}"/>
    <cellStyle name="Normal 4 2 2 4 2 2 5 2 2 4" xfId="27147" xr:uid="{7BCE0EF6-3092-4640-BA7A-A53DB65EEE58}"/>
    <cellStyle name="Normal 4 2 2 4 2 2 5 2 2 5" xfId="17850" xr:uid="{888D482F-B1A8-4942-9462-B5B70745DE3E}"/>
    <cellStyle name="Normal 4 2 2 4 2 2 5 2 3" xfId="39825" xr:uid="{F9A3B82C-30AC-47F8-8CD1-4D90ADF0785C}"/>
    <cellStyle name="Normal 4 2 2 4 2 2 5 2 4" xfId="31377" xr:uid="{53947D06-251C-43B6-84DD-16D497B91E62}"/>
    <cellStyle name="Normal 4 2 2 4 2 2 5 2 5" xfId="22930" xr:uid="{1FDFA478-CFA7-43AE-8AF4-746044B19C36}"/>
    <cellStyle name="Normal 4 2 2 4 2 2 5 2 6" xfId="13633" xr:uid="{2D02543E-8C0C-4767-A661-0EDDE258CA17}"/>
    <cellStyle name="Normal 4 2 2 4 2 2 5 3" xfId="6379" xr:uid="{00000000-0005-0000-0000-0000A4120000}"/>
    <cellStyle name="Normal 4 2 2 4 2 2 5 3 2" xfId="41897" xr:uid="{9C8B88D6-FFBF-45A9-AE47-0F5752D2B099}"/>
    <cellStyle name="Normal 4 2 2 4 2 2 5 3 3" xfId="33450" xr:uid="{4B221954-8006-459F-A498-D8AFF06F9BD3}"/>
    <cellStyle name="Normal 4 2 2 4 2 2 5 3 4" xfId="25002" xr:uid="{A76172CA-3D30-47F8-A9FA-064448BF46B6}"/>
    <cellStyle name="Normal 4 2 2 4 2 2 5 3 5" xfId="15705" xr:uid="{29919DAA-2F3C-486E-8AA1-F3012D0F4248}"/>
    <cellStyle name="Normal 4 2 2 4 2 2 5 4" xfId="37680" xr:uid="{5FB630DA-C1FB-4A2A-9105-CAD6C7FF1C71}"/>
    <cellStyle name="Normal 4 2 2 4 2 2 5 5" xfId="29232" xr:uid="{1B4C44AE-19CA-486E-8E3C-B707D96758AA}"/>
    <cellStyle name="Normal 4 2 2 4 2 2 5 6" xfId="20785" xr:uid="{54A535D8-948C-4252-B8DB-60D6649F126E}"/>
    <cellStyle name="Normal 4 2 2 4 2 2 5 7" xfId="11488" xr:uid="{2DACC40C-18A9-4DA6-8177-86950BB9A2B2}"/>
    <cellStyle name="Normal 4 2 2 4 2 2 6" xfId="2509" xr:uid="{00000000-0005-0000-0000-0000A5120000}"/>
    <cellStyle name="Normal 4 2 2 4 2 2 6 2" xfId="6792" xr:uid="{00000000-0005-0000-0000-0000A6120000}"/>
    <cellStyle name="Normal 4 2 2 4 2 2 6 2 2" xfId="42310" xr:uid="{40F09E6F-CAFF-47CA-9B96-CB5945E466EB}"/>
    <cellStyle name="Normal 4 2 2 4 2 2 6 2 3" xfId="33863" xr:uid="{2C67C073-523F-4CF3-856A-43A981AA97BC}"/>
    <cellStyle name="Normal 4 2 2 4 2 2 6 2 4" xfId="25415" xr:uid="{99CD29F7-1D6E-4ED9-8F14-073B5EDA2D67}"/>
    <cellStyle name="Normal 4 2 2 4 2 2 6 2 5" xfId="16118" xr:uid="{617D8F2D-1B6A-469F-9B02-FE4358D4BCD3}"/>
    <cellStyle name="Normal 4 2 2 4 2 2 6 3" xfId="38093" xr:uid="{9798D469-DF92-4AD7-9F75-C8BDD0A5CC75}"/>
    <cellStyle name="Normal 4 2 2 4 2 2 6 4" xfId="29645" xr:uid="{19D0DC67-B62E-4BF8-8F52-8863A12293B9}"/>
    <cellStyle name="Normal 4 2 2 4 2 2 6 5" xfId="21198" xr:uid="{6ADD7385-43ED-4E84-9970-018DE1D59808}"/>
    <cellStyle name="Normal 4 2 2 4 2 2 6 6" xfId="11901" xr:uid="{4912A559-AC21-4070-9D42-10C369C7C72A}"/>
    <cellStyle name="Normal 4 2 2 4 2 2 7" xfId="4727" xr:uid="{00000000-0005-0000-0000-0000A7120000}"/>
    <cellStyle name="Normal 4 2 2 4 2 2 7 2" xfId="40245" xr:uid="{C2490843-BFA8-4B01-A7C8-47B65EDB43F5}"/>
    <cellStyle name="Normal 4 2 2 4 2 2 7 3" xfId="31798" xr:uid="{B07A8224-C54C-49C2-AAEA-0548A7DAE25F}"/>
    <cellStyle name="Normal 4 2 2 4 2 2 7 4" xfId="23350" xr:uid="{E1C0D054-2DA8-4935-B01D-548CD455EB2A}"/>
    <cellStyle name="Normal 4 2 2 4 2 2 7 5" xfId="14053" xr:uid="{E4EFB7CD-049E-4CA5-B7F5-C1262BC25876}"/>
    <cellStyle name="Normal 4 2 2 4 2 2 8" xfId="9128" xr:uid="{3D9AD2A4-E3D1-4BAF-8F43-BFB1FE8E222D}"/>
    <cellStyle name="Normal 4 2 2 4 2 2 8 2" xfId="36028" xr:uid="{7E4120CD-F1E1-4219-8FE1-7F029D21E6D2}"/>
    <cellStyle name="Normal 4 2 2 4 2 2 8 3" xfId="18451" xr:uid="{AEEA7A0E-5E4B-4BA6-A425-F77966CBDA31}"/>
    <cellStyle name="Normal 4 2 2 4 2 2 9" xfId="27580" xr:uid="{29F26111-1F24-40D1-9FB4-778BDA41A29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42802" xr:uid="{E32A7DCA-3ECB-4E44-9DDD-C10D00E3D357}"/>
    <cellStyle name="Normal 4 2 2 4 2 3 2 2 3" xfId="34355" xr:uid="{0B12B1B2-5C55-4FC7-9978-2462949F87A9}"/>
    <cellStyle name="Normal 4 2 2 4 2 3 2 2 4" xfId="25907" xr:uid="{A749BEC3-CCE2-4CAD-8598-C5C79F3DDA9A}"/>
    <cellStyle name="Normal 4 2 2 4 2 3 2 2 5" xfId="16610" xr:uid="{71D86582-0278-4C67-A818-EC33245015E4}"/>
    <cellStyle name="Normal 4 2 2 4 2 3 2 3" xfId="38585" xr:uid="{2CBFCFDC-66E4-4A06-8E1D-7C88195E1651}"/>
    <cellStyle name="Normal 4 2 2 4 2 3 2 4" xfId="30137" xr:uid="{C81D22CF-D469-4949-97CE-3D9819FDFC77}"/>
    <cellStyle name="Normal 4 2 2 4 2 3 2 5" xfId="21690" xr:uid="{BF8F81B6-FB5E-4C48-848D-49F91FB21173}"/>
    <cellStyle name="Normal 4 2 2 4 2 3 2 6" xfId="12393" xr:uid="{39DE53F2-B4A8-48CF-8804-50A3F495FC40}"/>
    <cellStyle name="Normal 4 2 2 4 2 3 3" xfId="5139" xr:uid="{00000000-0005-0000-0000-0000AB120000}"/>
    <cellStyle name="Normal 4 2 2 4 2 3 3 2" xfId="40657" xr:uid="{3DF84BBA-5F3D-4328-8A87-845FCA699C01}"/>
    <cellStyle name="Normal 4 2 2 4 2 3 3 3" xfId="32210" xr:uid="{314CEAF3-8D3B-47FB-8EA0-D7B206877892}"/>
    <cellStyle name="Normal 4 2 2 4 2 3 3 4" xfId="23762" xr:uid="{9F969CD5-6E35-4303-BDFB-3F256717DA08}"/>
    <cellStyle name="Normal 4 2 2 4 2 3 3 5" xfId="14465" xr:uid="{FF4EDD24-B256-4B20-8862-B73F84897A0B}"/>
    <cellStyle name="Normal 4 2 2 4 2 3 4" xfId="9346" xr:uid="{11110DEC-01F5-467C-B0F9-3286FF7E57CB}"/>
    <cellStyle name="Normal 4 2 2 4 2 3 4 2" xfId="36440" xr:uid="{FE80EC08-F6A8-430D-A785-0C0145CF1990}"/>
    <cellStyle name="Normal 4 2 2 4 2 3 4 3" xfId="18659" xr:uid="{90256326-E0FF-4C3B-B405-2D5FA370AB28}"/>
    <cellStyle name="Normal 4 2 2 4 2 3 5" xfId="27992" xr:uid="{D4C77769-CE98-4CA1-99FA-21E8B0A7F008}"/>
    <cellStyle name="Normal 4 2 2 4 2 3 6" xfId="19545" xr:uid="{8D96617A-1FA2-487D-B4D1-5D73C7DE48F9}"/>
    <cellStyle name="Normal 4 2 2 4 2 3 7" xfId="10248" xr:uid="{62F98183-7DAF-40C0-896D-0C690D418CE3}"/>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43215" xr:uid="{EABF360B-423B-4A03-8471-B2A02A8AB8F0}"/>
    <cellStyle name="Normal 4 2 2 4 2 4 2 2 3" xfId="34768" xr:uid="{43AF183C-9049-408E-9825-BC8144E3F5B8}"/>
    <cellStyle name="Normal 4 2 2 4 2 4 2 2 4" xfId="26320" xr:uid="{51A2A131-E8E9-4F2D-A7C5-BA46C358504B}"/>
    <cellStyle name="Normal 4 2 2 4 2 4 2 2 5" xfId="17023" xr:uid="{CE7E1BC3-F017-4715-9ED4-B1940DF17CE5}"/>
    <cellStyle name="Normal 4 2 2 4 2 4 2 3" xfId="38998" xr:uid="{AF5631B7-4716-4FD9-B8A3-E320BFDC01C2}"/>
    <cellStyle name="Normal 4 2 2 4 2 4 2 4" xfId="30550" xr:uid="{81DFB19A-A693-4798-BCE1-595880979DFE}"/>
    <cellStyle name="Normal 4 2 2 4 2 4 2 5" xfId="22103" xr:uid="{1F7AA5D9-5987-4A5C-880E-58D577EC9330}"/>
    <cellStyle name="Normal 4 2 2 4 2 4 2 6" xfId="12806" xr:uid="{47A3B436-897C-4241-BF8D-806E4E5B47A0}"/>
    <cellStyle name="Normal 4 2 2 4 2 4 3" xfId="5552" xr:uid="{00000000-0005-0000-0000-0000AF120000}"/>
    <cellStyle name="Normal 4 2 2 4 2 4 3 2" xfId="41070" xr:uid="{9FFCF375-62A8-49BA-9397-C66D1DB99A25}"/>
    <cellStyle name="Normal 4 2 2 4 2 4 3 3" xfId="32623" xr:uid="{6B4B46D7-188D-452A-8FF0-119CA267797F}"/>
    <cellStyle name="Normal 4 2 2 4 2 4 3 4" xfId="24175" xr:uid="{5DB0F60D-C3B3-4F86-A851-167E9955DFF5}"/>
    <cellStyle name="Normal 4 2 2 4 2 4 3 5" xfId="14878" xr:uid="{37ADA37E-14C7-4473-A279-5FE9F631B544}"/>
    <cellStyle name="Normal 4 2 2 4 2 4 4" xfId="36853" xr:uid="{8D6D1A37-03D5-422E-9BAC-A03031D65819}"/>
    <cellStyle name="Normal 4 2 2 4 2 4 5" xfId="28405" xr:uid="{61BAAEA8-B613-4D3B-A5A2-7DCCB0F5CC92}"/>
    <cellStyle name="Normal 4 2 2 4 2 4 6" xfId="19958" xr:uid="{F21ADA2E-24BF-4A0D-88A1-13F440364675}"/>
    <cellStyle name="Normal 4 2 2 4 2 4 7" xfId="10661" xr:uid="{AC3A9D98-D70B-408B-85F1-8E02F572C46E}"/>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43628" xr:uid="{03390915-9291-4BFE-AD99-A421A4387480}"/>
    <cellStyle name="Normal 4 2 2 4 2 5 2 2 3" xfId="35181" xr:uid="{61EEAD25-54E2-49AB-99A6-2AD53089EE35}"/>
    <cellStyle name="Normal 4 2 2 4 2 5 2 2 4" xfId="26733" xr:uid="{8C734513-006A-4A96-881B-061C0D24B754}"/>
    <cellStyle name="Normal 4 2 2 4 2 5 2 2 5" xfId="17436" xr:uid="{E8315921-DE21-4B1B-8261-A984E4B81E11}"/>
    <cellStyle name="Normal 4 2 2 4 2 5 2 3" xfId="39411" xr:uid="{90D88F00-A229-4263-9422-36CA1269604B}"/>
    <cellStyle name="Normal 4 2 2 4 2 5 2 4" xfId="30963" xr:uid="{F20AA296-AD05-4C0B-90F1-521C59F13548}"/>
    <cellStyle name="Normal 4 2 2 4 2 5 2 5" xfId="22516" xr:uid="{5EDA65BE-A724-45B9-873F-FDC8B7F429E7}"/>
    <cellStyle name="Normal 4 2 2 4 2 5 2 6" xfId="13219" xr:uid="{8C4941E8-2F1D-41DB-9FFD-39E424319693}"/>
    <cellStyle name="Normal 4 2 2 4 2 5 3" xfId="5965" xr:uid="{00000000-0005-0000-0000-0000B3120000}"/>
    <cellStyle name="Normal 4 2 2 4 2 5 3 2" xfId="41483" xr:uid="{1FE33E1D-0662-48C3-AC59-4C69CC6C5DA3}"/>
    <cellStyle name="Normal 4 2 2 4 2 5 3 3" xfId="33036" xr:uid="{5203980A-1AAF-4549-9B2D-423CBD9C900F}"/>
    <cellStyle name="Normal 4 2 2 4 2 5 3 4" xfId="24588" xr:uid="{11B64452-2E59-4A56-BD37-F4B066D13D2A}"/>
    <cellStyle name="Normal 4 2 2 4 2 5 3 5" xfId="15291" xr:uid="{1A45703F-BECB-4A9B-A736-5F235D458300}"/>
    <cellStyle name="Normal 4 2 2 4 2 5 4" xfId="37266" xr:uid="{25195008-B00A-4251-B069-4028F2628ABB}"/>
    <cellStyle name="Normal 4 2 2 4 2 5 5" xfId="28818" xr:uid="{34C51649-A97E-45B7-BCD1-1F8B8E51C51E}"/>
    <cellStyle name="Normal 4 2 2 4 2 5 6" xfId="20371" xr:uid="{0971B692-A7EC-4FB5-B08B-AD0387FC547D}"/>
    <cellStyle name="Normal 4 2 2 4 2 5 7" xfId="11074" xr:uid="{1D2D52DD-870A-4B4F-9F21-E29A9854C4D7}"/>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44041" xr:uid="{B0E3D3C5-F8F1-4AC2-9B42-25592D1C099D}"/>
    <cellStyle name="Normal 4 2 2 4 2 6 2 2 3" xfId="35594" xr:uid="{FC44C318-D68B-404B-9BF6-912805707958}"/>
    <cellStyle name="Normal 4 2 2 4 2 6 2 2 4" xfId="27146" xr:uid="{76316C5F-DD48-4E46-B924-E461976CC85A}"/>
    <cellStyle name="Normal 4 2 2 4 2 6 2 2 5" xfId="17849" xr:uid="{A9C2A696-8A73-4373-87B9-2A6B8D574A29}"/>
    <cellStyle name="Normal 4 2 2 4 2 6 2 3" xfId="39824" xr:uid="{A39A32F9-7D9C-4054-86EE-44752586C184}"/>
    <cellStyle name="Normal 4 2 2 4 2 6 2 4" xfId="31376" xr:uid="{7244D114-5727-415E-B1C1-B2934730CF10}"/>
    <cellStyle name="Normal 4 2 2 4 2 6 2 5" xfId="22929" xr:uid="{90BBCC07-A9FF-4C7E-B1F9-7C40D03BCD59}"/>
    <cellStyle name="Normal 4 2 2 4 2 6 2 6" xfId="13632" xr:uid="{FAFA794D-828D-42B1-B249-1425B0A7A840}"/>
    <cellStyle name="Normal 4 2 2 4 2 6 3" xfId="6378" xr:uid="{00000000-0005-0000-0000-0000B7120000}"/>
    <cellStyle name="Normal 4 2 2 4 2 6 3 2" xfId="41896" xr:uid="{8E7D018E-CEC8-4064-8006-F3434D44EE6C}"/>
    <cellStyle name="Normal 4 2 2 4 2 6 3 3" xfId="33449" xr:uid="{C587793A-3CB6-47BB-9701-255E62705D1E}"/>
    <cellStyle name="Normal 4 2 2 4 2 6 3 4" xfId="25001" xr:uid="{AAB4B3A8-9D51-4287-AA3D-5BCCEAEBA69E}"/>
    <cellStyle name="Normal 4 2 2 4 2 6 3 5" xfId="15704" xr:uid="{968DBF68-A2C0-4A51-AE87-22E219713B1D}"/>
    <cellStyle name="Normal 4 2 2 4 2 6 4" xfId="37679" xr:uid="{9B1593DB-F255-4734-932A-3F46576E979B}"/>
    <cellStyle name="Normal 4 2 2 4 2 6 5" xfId="29231" xr:uid="{DBE58CBE-E2C8-4385-8DF9-82B9C4279064}"/>
    <cellStyle name="Normal 4 2 2 4 2 6 6" xfId="20784" xr:uid="{16030175-1DAF-4BCF-80C5-300189DC1D52}"/>
    <cellStyle name="Normal 4 2 2 4 2 6 7" xfId="11487" xr:uid="{22E599CD-CBC8-4E8C-915A-0B39C083FFE1}"/>
    <cellStyle name="Normal 4 2 2 4 2 7" xfId="2508" xr:uid="{00000000-0005-0000-0000-0000B8120000}"/>
    <cellStyle name="Normal 4 2 2 4 2 7 2" xfId="6791" xr:uid="{00000000-0005-0000-0000-0000B9120000}"/>
    <cellStyle name="Normal 4 2 2 4 2 7 2 2" xfId="42309" xr:uid="{656FC622-A14C-45CE-975B-E95E0B4C5A58}"/>
    <cellStyle name="Normal 4 2 2 4 2 7 2 3" xfId="33862" xr:uid="{591A3711-C337-419C-B21B-7ECE4A47014C}"/>
    <cellStyle name="Normal 4 2 2 4 2 7 2 4" xfId="25414" xr:uid="{6CF6865A-C7B8-40B0-AC8E-879E113C2BFF}"/>
    <cellStyle name="Normal 4 2 2 4 2 7 2 5" xfId="16117" xr:uid="{AB9F3360-E630-490E-872B-8A50F9286DC6}"/>
    <cellStyle name="Normal 4 2 2 4 2 7 3" xfId="38092" xr:uid="{E699E0C0-AAC8-419E-8B4E-EE3EF9C43663}"/>
    <cellStyle name="Normal 4 2 2 4 2 7 4" xfId="29644" xr:uid="{D9CF4200-A21B-4FD8-8B29-0F32090CD4E1}"/>
    <cellStyle name="Normal 4 2 2 4 2 7 5" xfId="21197" xr:uid="{63A49DED-0FA8-4C76-A46E-F7C7E250464D}"/>
    <cellStyle name="Normal 4 2 2 4 2 7 6" xfId="11900" xr:uid="{80E614B6-D2E2-4DD4-ACCE-9462050F1161}"/>
    <cellStyle name="Normal 4 2 2 4 2 8" xfId="4726" xr:uid="{00000000-0005-0000-0000-0000BA120000}"/>
    <cellStyle name="Normal 4 2 2 4 2 8 2" xfId="40244" xr:uid="{2137F4BE-EF30-4EDD-AE82-6D9B4E753292}"/>
    <cellStyle name="Normal 4 2 2 4 2 8 3" xfId="31797" xr:uid="{AE162724-A89B-448E-A95D-8521904942F9}"/>
    <cellStyle name="Normal 4 2 2 4 2 8 4" xfId="23349" xr:uid="{7265B0D0-9417-497B-9E99-A5C83C696AD8}"/>
    <cellStyle name="Normal 4 2 2 4 2 8 5" xfId="14052" xr:uid="{712728AB-35D9-4D45-84FF-0BC0A4BF0910}"/>
    <cellStyle name="Normal 4 2 2 4 2 9" xfId="8921" xr:uid="{43AA3CA1-A6D2-47CC-8276-CBFAB7238AA6}"/>
    <cellStyle name="Normal 4 2 2 4 2 9 2" xfId="36027" xr:uid="{EF681082-268F-4300-B5B3-FE3A16822E00}"/>
    <cellStyle name="Normal 4 2 2 4 2 9 3" xfId="18244" xr:uid="{FAFD0083-F9D3-4F1E-992C-75730ADEA87B}"/>
    <cellStyle name="Normal 4 2 2 4 3" xfId="350" xr:uid="{00000000-0005-0000-0000-0000BB120000}"/>
    <cellStyle name="Normal 4 2 2 4 3 10" xfId="19134" xr:uid="{B642034D-5266-43E4-A657-45ADB82D871C}"/>
    <cellStyle name="Normal 4 2 2 4 3 11" xfId="9837" xr:uid="{901F30E1-FCC2-48AA-86F9-6D3997A08DAE}"/>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42804" xr:uid="{F4236199-4B6E-4AF2-BACC-4CF9FDB36E30}"/>
    <cellStyle name="Normal 4 2 2 4 3 2 2 2 3" xfId="34357" xr:uid="{6BF03FE5-D257-4F4C-9629-196FE9154DF0}"/>
    <cellStyle name="Normal 4 2 2 4 3 2 2 2 4" xfId="25909" xr:uid="{1983184A-D58E-48C4-8A1A-07CFD29D84C7}"/>
    <cellStyle name="Normal 4 2 2 4 3 2 2 2 5" xfId="16612" xr:uid="{4DEFA902-6C65-4D8E-82A6-25DD060E9E6D}"/>
    <cellStyle name="Normal 4 2 2 4 3 2 2 3" xfId="38587" xr:uid="{1736FB75-9567-489D-B3EF-5EEA055DF21B}"/>
    <cellStyle name="Normal 4 2 2 4 3 2 2 4" xfId="30139" xr:uid="{035A356E-C055-4ED5-9482-9559578C4915}"/>
    <cellStyle name="Normal 4 2 2 4 3 2 2 5" xfId="21692" xr:uid="{550923A9-F97E-4A80-B576-211A9E5160AD}"/>
    <cellStyle name="Normal 4 2 2 4 3 2 2 6" xfId="12395" xr:uid="{3771288A-2E8D-4B73-972C-A560E53CC25E}"/>
    <cellStyle name="Normal 4 2 2 4 3 2 3" xfId="5141" xr:uid="{00000000-0005-0000-0000-0000BF120000}"/>
    <cellStyle name="Normal 4 2 2 4 3 2 3 2" xfId="40659" xr:uid="{2CDEEC74-FD26-45E8-BC6F-E0C6B72935D2}"/>
    <cellStyle name="Normal 4 2 2 4 3 2 3 3" xfId="32212" xr:uid="{AA5C310C-8B66-4B0A-A55D-9293C8938CE0}"/>
    <cellStyle name="Normal 4 2 2 4 3 2 3 4" xfId="23764" xr:uid="{A12DE853-1E11-480D-A521-8D76CCC8924A}"/>
    <cellStyle name="Normal 4 2 2 4 3 2 3 5" xfId="14467" xr:uid="{93A16020-368F-4010-A492-3A3A82762D9D}"/>
    <cellStyle name="Normal 4 2 2 4 3 2 4" xfId="9450" xr:uid="{0F54578A-5DA3-4B6E-9E36-71CC7CD6BFE8}"/>
    <cellStyle name="Normal 4 2 2 4 3 2 4 2" xfId="36442" xr:uid="{B2BC627C-684B-42DB-BBCC-FDC7D5897102}"/>
    <cellStyle name="Normal 4 2 2 4 3 2 4 3" xfId="18763" xr:uid="{B33B3B18-5A48-44D9-A7A2-544C72AE29FE}"/>
    <cellStyle name="Normal 4 2 2 4 3 2 5" xfId="27994" xr:uid="{DE2632C9-8BE6-4C33-B2CE-6AF9235F2750}"/>
    <cellStyle name="Normal 4 2 2 4 3 2 6" xfId="19547" xr:uid="{26C7802E-CB84-4B55-B10E-953014717061}"/>
    <cellStyle name="Normal 4 2 2 4 3 2 7" xfId="10250" xr:uid="{E5ECAC3E-FBCE-4354-9C18-376BC41BED6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43217" xr:uid="{A76D24B5-9F30-4926-97F8-A7B146ADF6E5}"/>
    <cellStyle name="Normal 4 2 2 4 3 3 2 2 3" xfId="34770" xr:uid="{9A619FEC-E5E1-45D5-AFBC-DDAF40861DE1}"/>
    <cellStyle name="Normal 4 2 2 4 3 3 2 2 4" xfId="26322" xr:uid="{BA8B188E-164C-479A-8F40-1CADF56B4B27}"/>
    <cellStyle name="Normal 4 2 2 4 3 3 2 2 5" xfId="17025" xr:uid="{143FC313-B249-4652-A67A-AB61CAAD2470}"/>
    <cellStyle name="Normal 4 2 2 4 3 3 2 3" xfId="39000" xr:uid="{278D57E8-2AD6-418B-8B84-340208C064E2}"/>
    <cellStyle name="Normal 4 2 2 4 3 3 2 4" xfId="30552" xr:uid="{173163F8-3E7A-429A-BA60-D03F962BFD14}"/>
    <cellStyle name="Normal 4 2 2 4 3 3 2 5" xfId="22105" xr:uid="{B0BC950F-66A9-4341-9F00-A8790187FE42}"/>
    <cellStyle name="Normal 4 2 2 4 3 3 2 6" xfId="12808" xr:uid="{563D7AB7-84C9-4340-BA13-D513E55C3D98}"/>
    <cellStyle name="Normal 4 2 2 4 3 3 3" xfId="5554" xr:uid="{00000000-0005-0000-0000-0000C3120000}"/>
    <cellStyle name="Normal 4 2 2 4 3 3 3 2" xfId="41072" xr:uid="{8E8C4085-27C0-487C-800F-DD37E8498C75}"/>
    <cellStyle name="Normal 4 2 2 4 3 3 3 3" xfId="32625" xr:uid="{2C7437F2-4C1A-4E61-8FB0-E4CFB61BA665}"/>
    <cellStyle name="Normal 4 2 2 4 3 3 3 4" xfId="24177" xr:uid="{94FC94D2-DA81-4300-BB29-59C4B80A7133}"/>
    <cellStyle name="Normal 4 2 2 4 3 3 3 5" xfId="14880" xr:uid="{E5690136-55A7-42ED-96CF-54302C391F51}"/>
    <cellStyle name="Normal 4 2 2 4 3 3 4" xfId="36855" xr:uid="{C6A517ED-0E64-49BB-B367-74026D1CFBD8}"/>
    <cellStyle name="Normal 4 2 2 4 3 3 5" xfId="28407" xr:uid="{CF941C73-E17A-454C-A9A2-A54017962BB5}"/>
    <cellStyle name="Normal 4 2 2 4 3 3 6" xfId="19960" xr:uid="{F6D4314F-CCBF-42DB-9970-49793F80B499}"/>
    <cellStyle name="Normal 4 2 2 4 3 3 7" xfId="10663" xr:uid="{4F988D09-53BF-4C7D-A6B3-8D4F7E59C041}"/>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43630" xr:uid="{C5E183BA-C497-46B7-A746-EE5A3C8FF0B4}"/>
    <cellStyle name="Normal 4 2 2 4 3 4 2 2 3" xfId="35183" xr:uid="{3ABBE6D0-E5F0-4276-9510-DA5FAA3B197E}"/>
    <cellStyle name="Normal 4 2 2 4 3 4 2 2 4" xfId="26735" xr:uid="{07F4B5B7-EC30-494F-A5FB-3277A1D4F91C}"/>
    <cellStyle name="Normal 4 2 2 4 3 4 2 2 5" xfId="17438" xr:uid="{1AA8DD25-3BF2-40E1-999E-620641AA530E}"/>
    <cellStyle name="Normal 4 2 2 4 3 4 2 3" xfId="39413" xr:uid="{1E69D8AA-D04D-4572-BCB6-658CFD6796F0}"/>
    <cellStyle name="Normal 4 2 2 4 3 4 2 4" xfId="30965" xr:uid="{AE070CB1-6262-4C0A-8A55-40598C293533}"/>
    <cellStyle name="Normal 4 2 2 4 3 4 2 5" xfId="22518" xr:uid="{9B8EAE82-3688-4E21-9200-B626C9334146}"/>
    <cellStyle name="Normal 4 2 2 4 3 4 2 6" xfId="13221" xr:uid="{5F6751B3-7E51-49FF-B4A5-130D6AC76F97}"/>
    <cellStyle name="Normal 4 2 2 4 3 4 3" xfId="5967" xr:uid="{00000000-0005-0000-0000-0000C7120000}"/>
    <cellStyle name="Normal 4 2 2 4 3 4 3 2" xfId="41485" xr:uid="{41DE1711-F1AD-4E8B-81A2-C8218E469A77}"/>
    <cellStyle name="Normal 4 2 2 4 3 4 3 3" xfId="33038" xr:uid="{1A475CFF-095C-4C7B-9095-51675EDC2CED}"/>
    <cellStyle name="Normal 4 2 2 4 3 4 3 4" xfId="24590" xr:uid="{A5794D98-E89B-4E90-A928-BDE69111CAA0}"/>
    <cellStyle name="Normal 4 2 2 4 3 4 3 5" xfId="15293" xr:uid="{DFE99857-B66A-438F-916F-A58E552F7661}"/>
    <cellStyle name="Normal 4 2 2 4 3 4 4" xfId="37268" xr:uid="{02F1197E-B78D-4FCB-8EBA-67016798915F}"/>
    <cellStyle name="Normal 4 2 2 4 3 4 5" xfId="28820" xr:uid="{8609BA5C-2CC0-4B4C-BDFA-D82B0AC8A0D4}"/>
    <cellStyle name="Normal 4 2 2 4 3 4 6" xfId="20373" xr:uid="{ED2C533A-8BF5-498F-AEDB-F9D39E0C1356}"/>
    <cellStyle name="Normal 4 2 2 4 3 4 7" xfId="11076" xr:uid="{3C0EC68A-213D-4CFF-BA0A-6E0143A4AA09}"/>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44043" xr:uid="{05294EC8-3E5F-416D-87A1-170D8EB73FED}"/>
    <cellStyle name="Normal 4 2 2 4 3 5 2 2 3" xfId="35596" xr:uid="{3E7C45F7-6FAC-4F52-9477-6B6E74D2A134}"/>
    <cellStyle name="Normal 4 2 2 4 3 5 2 2 4" xfId="27148" xr:uid="{8861FF50-D822-41F8-84BE-5E1A9AC11DDD}"/>
    <cellStyle name="Normal 4 2 2 4 3 5 2 2 5" xfId="17851" xr:uid="{BFA800AB-A8AD-4B3A-B4D0-B370E96D85F1}"/>
    <cellStyle name="Normal 4 2 2 4 3 5 2 3" xfId="39826" xr:uid="{3C73B6A9-F6D1-44B8-AB92-0858D5410B74}"/>
    <cellStyle name="Normal 4 2 2 4 3 5 2 4" xfId="31378" xr:uid="{9B8F71A4-2754-4C60-ACDF-F87FE3F85422}"/>
    <cellStyle name="Normal 4 2 2 4 3 5 2 5" xfId="22931" xr:uid="{4BDB2E31-087D-4D46-ABB2-821AF3506A44}"/>
    <cellStyle name="Normal 4 2 2 4 3 5 2 6" xfId="13634" xr:uid="{7232156E-CA05-4CDC-83B8-281036429258}"/>
    <cellStyle name="Normal 4 2 2 4 3 5 3" xfId="6380" xr:uid="{00000000-0005-0000-0000-0000CB120000}"/>
    <cellStyle name="Normal 4 2 2 4 3 5 3 2" xfId="41898" xr:uid="{4F3CFE01-BE90-415B-BBE4-74525DAA3EC9}"/>
    <cellStyle name="Normal 4 2 2 4 3 5 3 3" xfId="33451" xr:uid="{BF0750B3-E9CE-489D-96DE-592EAD98612D}"/>
    <cellStyle name="Normal 4 2 2 4 3 5 3 4" xfId="25003" xr:uid="{1FF3F753-963F-4F37-995C-08AB0C0E1797}"/>
    <cellStyle name="Normal 4 2 2 4 3 5 3 5" xfId="15706" xr:uid="{AF57F72B-0481-417C-A393-860D5D5D0B26}"/>
    <cellStyle name="Normal 4 2 2 4 3 5 4" xfId="37681" xr:uid="{A380C789-CAB5-46B9-96A1-BC9C274AB531}"/>
    <cellStyle name="Normal 4 2 2 4 3 5 5" xfId="29233" xr:uid="{0A15102E-D815-4674-A7DE-F063313027E5}"/>
    <cellStyle name="Normal 4 2 2 4 3 5 6" xfId="20786" xr:uid="{8514C7DD-0077-40A4-802B-30B93D7C2247}"/>
    <cellStyle name="Normal 4 2 2 4 3 5 7" xfId="11489" xr:uid="{9D8DDB12-98DD-4856-9C05-7CF7D44F4D65}"/>
    <cellStyle name="Normal 4 2 2 4 3 6" xfId="2510" xr:uid="{00000000-0005-0000-0000-0000CC120000}"/>
    <cellStyle name="Normal 4 2 2 4 3 6 2" xfId="6793" xr:uid="{00000000-0005-0000-0000-0000CD120000}"/>
    <cellStyle name="Normal 4 2 2 4 3 6 2 2" xfId="42311" xr:uid="{F9333523-0F21-4461-A77E-A6516CFDFB14}"/>
    <cellStyle name="Normal 4 2 2 4 3 6 2 3" xfId="33864" xr:uid="{BA47B503-0954-4029-A1D8-F1606A627D4C}"/>
    <cellStyle name="Normal 4 2 2 4 3 6 2 4" xfId="25416" xr:uid="{C90CB42A-0EC5-441D-A63B-6AB800078B3A}"/>
    <cellStyle name="Normal 4 2 2 4 3 6 2 5" xfId="16119" xr:uid="{D0825272-6D15-42FE-B92C-8AB7F7603113}"/>
    <cellStyle name="Normal 4 2 2 4 3 6 3" xfId="38094" xr:uid="{7EFD2DF6-C31B-4251-8D87-2F215E2A96A4}"/>
    <cellStyle name="Normal 4 2 2 4 3 6 4" xfId="29646" xr:uid="{0E5AA960-EBD6-4EF4-A967-3135492FD2CE}"/>
    <cellStyle name="Normal 4 2 2 4 3 6 5" xfId="21199" xr:uid="{776EF78F-C6E3-424B-B9BE-9295832CB74A}"/>
    <cellStyle name="Normal 4 2 2 4 3 6 6" xfId="11902" xr:uid="{2469438C-8F6D-4DF8-84CE-2F38421B27C7}"/>
    <cellStyle name="Normal 4 2 2 4 3 7" xfId="4728" xr:uid="{00000000-0005-0000-0000-0000CE120000}"/>
    <cellStyle name="Normal 4 2 2 4 3 7 2" xfId="40246" xr:uid="{9854811D-6D8E-46A1-9F9E-7E137D3C4D97}"/>
    <cellStyle name="Normal 4 2 2 4 3 7 3" xfId="31799" xr:uid="{6A324FC7-954E-48E8-ABF5-F1801BDE8C0B}"/>
    <cellStyle name="Normal 4 2 2 4 3 7 4" xfId="23351" xr:uid="{B0CCCAB0-4590-40A1-AAE5-A0BF589BEB07}"/>
    <cellStyle name="Normal 4 2 2 4 3 7 5" xfId="14054" xr:uid="{808C582D-4EF7-464C-9ED7-A71D5A9E63D5}"/>
    <cellStyle name="Normal 4 2 2 4 3 8" xfId="9025" xr:uid="{436CB353-A916-4AB2-B5E2-8C1BDAEA1182}"/>
    <cellStyle name="Normal 4 2 2 4 3 8 2" xfId="36029" xr:uid="{C5097DBB-D4AF-458B-A1BB-F33ED0F17916}"/>
    <cellStyle name="Normal 4 2 2 4 3 8 3" xfId="18348" xr:uid="{96B05BBB-41D6-47DF-9277-72520B013DBA}"/>
    <cellStyle name="Normal 4 2 2 4 3 9" xfId="27581" xr:uid="{BC9D12F6-5FDF-4FD8-B10E-0F37E51E05D0}"/>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42801" xr:uid="{3C24E147-3E9E-48B8-939A-8710DA80331C}"/>
    <cellStyle name="Normal 4 2 2 4 4 2 2 3" xfId="34354" xr:uid="{D2DAE7AE-32AD-476E-9D1A-941C90121E75}"/>
    <cellStyle name="Normal 4 2 2 4 4 2 2 4" xfId="25906" xr:uid="{39EF6588-45A9-45E5-BA83-15545D8A2998}"/>
    <cellStyle name="Normal 4 2 2 4 4 2 2 5" xfId="16609" xr:uid="{B0966177-B67C-44E6-BE81-BC2501A4B531}"/>
    <cellStyle name="Normal 4 2 2 4 4 2 3" xfId="38584" xr:uid="{B9C5C5B6-24F7-4D4F-8F89-B08630255930}"/>
    <cellStyle name="Normal 4 2 2 4 4 2 4" xfId="30136" xr:uid="{D17DC0DD-0B9B-4CB8-9A88-957EDECC1ECC}"/>
    <cellStyle name="Normal 4 2 2 4 4 2 5" xfId="21689" xr:uid="{AFA0D31F-3F21-4737-8259-985D08602108}"/>
    <cellStyle name="Normal 4 2 2 4 4 2 6" xfId="12392" xr:uid="{EBD69455-5BA9-4D46-B2EB-76081F6CB661}"/>
    <cellStyle name="Normal 4 2 2 4 4 3" xfId="5138" xr:uid="{00000000-0005-0000-0000-0000D2120000}"/>
    <cellStyle name="Normal 4 2 2 4 4 3 2" xfId="40656" xr:uid="{E6BD7EF4-CA92-4717-A205-79E85307FBA0}"/>
    <cellStyle name="Normal 4 2 2 4 4 3 3" xfId="32209" xr:uid="{A7E8E2C5-83C2-46BC-B530-1C2E18A4FC56}"/>
    <cellStyle name="Normal 4 2 2 4 4 3 4" xfId="23761" xr:uid="{D8D0F23B-0CFC-4825-A99B-43DBC9150746}"/>
    <cellStyle name="Normal 4 2 2 4 4 3 5" xfId="14464" xr:uid="{BD629C43-D698-4EF6-8895-74EC552D5C32}"/>
    <cellStyle name="Normal 4 2 2 4 4 4" xfId="9243" xr:uid="{FD46A281-F5BE-478B-950E-209D1D56FC0E}"/>
    <cellStyle name="Normal 4 2 2 4 4 4 2" xfId="36439" xr:uid="{DE094E88-9701-4FE9-8EF4-64F72EEC15ED}"/>
    <cellStyle name="Normal 4 2 2 4 4 4 3" xfId="18556" xr:uid="{B8D637A4-6FCE-405B-B829-61716502B60B}"/>
    <cellStyle name="Normal 4 2 2 4 4 5" xfId="27991" xr:uid="{44532876-7DBD-4EEC-B0A2-C8DDCCD86399}"/>
    <cellStyle name="Normal 4 2 2 4 4 6" xfId="19544" xr:uid="{03DA86AC-3C32-464E-9F7F-1F1078E9204E}"/>
    <cellStyle name="Normal 4 2 2 4 4 7" xfId="10247" xr:uid="{1CDA3199-B296-4394-8E0E-5026DFBA6ECB}"/>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43214" xr:uid="{E09D5DAB-41F7-4C1E-909B-AD1F796BA160}"/>
    <cellStyle name="Normal 4 2 2 4 5 2 2 3" xfId="34767" xr:uid="{0A150DA8-DD84-4BA6-8DC5-25E1B0CE7828}"/>
    <cellStyle name="Normal 4 2 2 4 5 2 2 4" xfId="26319" xr:uid="{5DFB8650-8794-4ED1-8112-F16D815B107B}"/>
    <cellStyle name="Normal 4 2 2 4 5 2 2 5" xfId="17022" xr:uid="{7DE295BF-79C9-4A17-A305-F4B310ADFC88}"/>
    <cellStyle name="Normal 4 2 2 4 5 2 3" xfId="38997" xr:uid="{1A463B6D-A18C-488E-BDBA-B2861D8C25CE}"/>
    <cellStyle name="Normal 4 2 2 4 5 2 4" xfId="30549" xr:uid="{CD70B351-10E5-4049-883D-182B1FEE0CCB}"/>
    <cellStyle name="Normal 4 2 2 4 5 2 5" xfId="22102" xr:uid="{A9AA2E2E-5A6F-4FBF-8D11-9015777212C4}"/>
    <cellStyle name="Normal 4 2 2 4 5 2 6" xfId="12805" xr:uid="{02A2970D-144F-45C5-9CFC-B2E687244E22}"/>
    <cellStyle name="Normal 4 2 2 4 5 3" xfId="5551" xr:uid="{00000000-0005-0000-0000-0000D6120000}"/>
    <cellStyle name="Normal 4 2 2 4 5 3 2" xfId="41069" xr:uid="{8F5B83EA-E348-475F-89DB-1D67D65A695B}"/>
    <cellStyle name="Normal 4 2 2 4 5 3 3" xfId="32622" xr:uid="{5A79CD91-E8F9-4846-AFF6-077C391D35F2}"/>
    <cellStyle name="Normal 4 2 2 4 5 3 4" xfId="24174" xr:uid="{7C04FD90-85FC-4A7A-9AD6-0A1675D61516}"/>
    <cellStyle name="Normal 4 2 2 4 5 3 5" xfId="14877" xr:uid="{C3F97F57-27C4-4CB2-B5AB-E49D740B8510}"/>
    <cellStyle name="Normal 4 2 2 4 5 4" xfId="36852" xr:uid="{C177CF8C-6EA6-4F5F-9800-0D59C589CF1C}"/>
    <cellStyle name="Normal 4 2 2 4 5 5" xfId="28404" xr:uid="{E3B0C1DF-E0A6-4D2F-80FC-9072B461DE6D}"/>
    <cellStyle name="Normal 4 2 2 4 5 6" xfId="19957" xr:uid="{F55BD13B-2630-45EA-B277-E10A4EE2AD49}"/>
    <cellStyle name="Normal 4 2 2 4 5 7" xfId="10660" xr:uid="{A0CE3928-9128-4ED7-A68B-8D023E2CB1C6}"/>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43627" xr:uid="{16573C74-1A58-483F-8BB4-137D2ED5CF05}"/>
    <cellStyle name="Normal 4 2 2 4 6 2 2 3" xfId="35180" xr:uid="{98B271A7-E53C-4996-A3A5-58E73DF65649}"/>
    <cellStyle name="Normal 4 2 2 4 6 2 2 4" xfId="26732" xr:uid="{E5471806-4B44-4656-95BE-FC869FAE3BCD}"/>
    <cellStyle name="Normal 4 2 2 4 6 2 2 5" xfId="17435" xr:uid="{A09B5980-AD30-4DC5-AFF0-8CC825FF0F13}"/>
    <cellStyle name="Normal 4 2 2 4 6 2 3" xfId="39410" xr:uid="{76AF5E47-69E5-4529-B1BB-6A84BE58D262}"/>
    <cellStyle name="Normal 4 2 2 4 6 2 4" xfId="30962" xr:uid="{C5C62BDE-5B9F-4AF9-AB5E-AA6CEC0E0AB9}"/>
    <cellStyle name="Normal 4 2 2 4 6 2 5" xfId="22515" xr:uid="{9B5077F1-D866-4CDA-BF5C-C8D6F92B849F}"/>
    <cellStyle name="Normal 4 2 2 4 6 2 6" xfId="13218" xr:uid="{007A7972-2EAD-45B2-BF9D-D1AC73CF6F1D}"/>
    <cellStyle name="Normal 4 2 2 4 6 3" xfId="5964" xr:uid="{00000000-0005-0000-0000-0000DA120000}"/>
    <cellStyle name="Normal 4 2 2 4 6 3 2" xfId="41482" xr:uid="{42547CB3-A994-4090-A859-09DCB9DFC486}"/>
    <cellStyle name="Normal 4 2 2 4 6 3 3" xfId="33035" xr:uid="{B1710B41-2AF0-47D7-88FF-807947506D8D}"/>
    <cellStyle name="Normal 4 2 2 4 6 3 4" xfId="24587" xr:uid="{66636585-F7F2-4F03-A930-258303D685BC}"/>
    <cellStyle name="Normal 4 2 2 4 6 3 5" xfId="15290" xr:uid="{796DFF37-3240-448A-ADEE-0F50F8A57938}"/>
    <cellStyle name="Normal 4 2 2 4 6 4" xfId="37265" xr:uid="{8ECF3516-5609-4222-8C3A-1C2F8B2161AF}"/>
    <cellStyle name="Normal 4 2 2 4 6 5" xfId="28817" xr:uid="{B5D16CDE-883C-4A52-B582-BDB74B634A18}"/>
    <cellStyle name="Normal 4 2 2 4 6 6" xfId="20370" xr:uid="{A1EA0887-F0DD-41F0-B79B-AE6D6E1803A4}"/>
    <cellStyle name="Normal 4 2 2 4 6 7" xfId="11073" xr:uid="{486E2217-7C91-4FC2-B887-ECE950F03E7F}"/>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44040" xr:uid="{685F4ABC-8CD2-477D-AD7B-F73ED9604DF5}"/>
    <cellStyle name="Normal 4 2 2 4 7 2 2 3" xfId="35593" xr:uid="{6BE87870-BAC0-48CB-881E-E9174D0BD992}"/>
    <cellStyle name="Normal 4 2 2 4 7 2 2 4" xfId="27145" xr:uid="{C6653BB0-A427-4CB1-93B7-1AD7FD524448}"/>
    <cellStyle name="Normal 4 2 2 4 7 2 2 5" xfId="17848" xr:uid="{A71E137C-DC17-4B4B-9715-AD17BC912BF2}"/>
    <cellStyle name="Normal 4 2 2 4 7 2 3" xfId="39823" xr:uid="{907914F2-E639-42C3-8A03-23B244271CBE}"/>
    <cellStyle name="Normal 4 2 2 4 7 2 4" xfId="31375" xr:uid="{CD0E3F01-7B29-49A7-B193-4B9A9894E2DB}"/>
    <cellStyle name="Normal 4 2 2 4 7 2 5" xfId="22928" xr:uid="{30EBF806-0B63-4F84-A824-409B78A9011C}"/>
    <cellStyle name="Normal 4 2 2 4 7 2 6" xfId="13631" xr:uid="{C7F633BF-062C-40A2-838A-3F58474B2E16}"/>
    <cellStyle name="Normal 4 2 2 4 7 3" xfId="6377" xr:uid="{00000000-0005-0000-0000-0000DE120000}"/>
    <cellStyle name="Normal 4 2 2 4 7 3 2" xfId="41895" xr:uid="{07F95AB7-EA2F-4EDA-917A-E348F452A20C}"/>
    <cellStyle name="Normal 4 2 2 4 7 3 3" xfId="33448" xr:uid="{5E3DA355-7AAC-416E-BA48-161957E16793}"/>
    <cellStyle name="Normal 4 2 2 4 7 3 4" xfId="25000" xr:uid="{95792A72-4F9F-4B7E-A85B-DD1577FAABB1}"/>
    <cellStyle name="Normal 4 2 2 4 7 3 5" xfId="15703" xr:uid="{3C52C96B-E012-4D9F-B7F8-E38F8C3E2515}"/>
    <cellStyle name="Normal 4 2 2 4 7 4" xfId="37678" xr:uid="{CF22F4B0-A512-4729-8464-F4D2973DDFE0}"/>
    <cellStyle name="Normal 4 2 2 4 7 5" xfId="29230" xr:uid="{D767B240-0D10-42A6-B794-82A5DEC42DB6}"/>
    <cellStyle name="Normal 4 2 2 4 7 6" xfId="20783" xr:uid="{3BF4A264-AEAE-42D3-BE4E-41842D1480C6}"/>
    <cellStyle name="Normal 4 2 2 4 7 7" xfId="11486" xr:uid="{1583D5A5-495B-475F-B076-42409844610F}"/>
    <cellStyle name="Normal 4 2 2 4 8" xfId="2507" xr:uid="{00000000-0005-0000-0000-0000DF120000}"/>
    <cellStyle name="Normal 4 2 2 4 8 2" xfId="6790" xr:uid="{00000000-0005-0000-0000-0000E0120000}"/>
    <cellStyle name="Normal 4 2 2 4 8 2 2" xfId="42308" xr:uid="{55011A1E-AF9C-48A9-8FDD-4CEBBDCEDDBB}"/>
    <cellStyle name="Normal 4 2 2 4 8 2 3" xfId="33861" xr:uid="{AF4B95A3-EEA5-4A18-A2E1-FC7A6B050CE0}"/>
    <cellStyle name="Normal 4 2 2 4 8 2 4" xfId="25413" xr:uid="{F10F443F-7371-4997-A521-1EDE650AB95E}"/>
    <cellStyle name="Normal 4 2 2 4 8 2 5" xfId="16116" xr:uid="{4A90A309-22ED-4D10-BC9C-701C8B2F2DF3}"/>
    <cellStyle name="Normal 4 2 2 4 8 3" xfId="38091" xr:uid="{F8ACF4C6-1FAE-4425-969B-41DBE845E452}"/>
    <cellStyle name="Normal 4 2 2 4 8 4" xfId="29643" xr:uid="{0E04D732-2489-44B4-A71C-725CA1DAA1CD}"/>
    <cellStyle name="Normal 4 2 2 4 8 5" xfId="21196" xr:uid="{3F8371BB-589B-4789-9F96-4C056BC8DE84}"/>
    <cellStyle name="Normal 4 2 2 4 8 6" xfId="11899" xr:uid="{1A5DFF28-6B18-4CFD-9A01-AACB16945A60}"/>
    <cellStyle name="Normal 4 2 2 4 9" xfId="4725" xr:uid="{00000000-0005-0000-0000-0000E1120000}"/>
    <cellStyle name="Normal 4 2 2 4 9 2" xfId="40243" xr:uid="{E48AF93B-07DE-48E2-934F-5D80BA5D980F}"/>
    <cellStyle name="Normal 4 2 2 4 9 3" xfId="31796" xr:uid="{69770957-ECA2-46FD-8682-18BF452ED675}"/>
    <cellStyle name="Normal 4 2 2 4 9 4" xfId="23348" xr:uid="{D43538BF-0339-44C8-9F98-CD52F4424EEF}"/>
    <cellStyle name="Normal 4 2 2 4 9 5" xfId="14051" xr:uid="{7C338286-C936-4C29-89CD-1A1F58F44282}"/>
    <cellStyle name="Normal 4 2 2 5" xfId="351" xr:uid="{00000000-0005-0000-0000-0000E2120000}"/>
    <cellStyle name="Normal 4 2 2 5 10" xfId="27582" xr:uid="{9180F759-3DDA-4595-B0AD-F29488871B48}"/>
    <cellStyle name="Normal 4 2 2 5 11" xfId="19135" xr:uid="{817182B8-54DA-4112-AF3F-EE2847093B08}"/>
    <cellStyle name="Normal 4 2 2 5 12" xfId="9838" xr:uid="{483289DF-1881-453C-A19D-2F2F9144CD84}"/>
    <cellStyle name="Normal 4 2 2 5 2" xfId="352" xr:uid="{00000000-0005-0000-0000-0000E3120000}"/>
    <cellStyle name="Normal 4 2 2 5 2 10" xfId="19136" xr:uid="{09EE6749-FEA7-49BC-A2D7-9C1DF2D8852E}"/>
    <cellStyle name="Normal 4 2 2 5 2 11" xfId="9839" xr:uid="{5A7F62BE-9141-43D8-9535-F031E9AB919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42806" xr:uid="{969C6FF0-38DC-4D6A-A618-9FEDDEB8DC61}"/>
    <cellStyle name="Normal 4 2 2 5 2 2 2 2 3" xfId="34359" xr:uid="{FC9D2BF3-2AD4-438D-B83F-D4E0EC6EAA84}"/>
    <cellStyle name="Normal 4 2 2 5 2 2 2 2 4" xfId="25911" xr:uid="{6187E6CB-F435-424C-B397-36AD68D5C32E}"/>
    <cellStyle name="Normal 4 2 2 5 2 2 2 2 5" xfId="16614" xr:uid="{73BE771E-DD55-4DB1-A61B-FB7FE3124BCF}"/>
    <cellStyle name="Normal 4 2 2 5 2 2 2 3" xfId="38589" xr:uid="{043A4208-23B5-4705-9B2C-1E94CBE4FC95}"/>
    <cellStyle name="Normal 4 2 2 5 2 2 2 4" xfId="30141" xr:uid="{59DBB106-71B2-4BE0-953D-2ECDD12334D9}"/>
    <cellStyle name="Normal 4 2 2 5 2 2 2 5" xfId="21694" xr:uid="{1F305F84-7592-46C9-AE2D-7F7F18FDF94D}"/>
    <cellStyle name="Normal 4 2 2 5 2 2 2 6" xfId="12397" xr:uid="{A2D009DB-196C-410D-BFF6-DAED0D11D866}"/>
    <cellStyle name="Normal 4 2 2 5 2 2 3" xfId="5143" xr:uid="{00000000-0005-0000-0000-0000E7120000}"/>
    <cellStyle name="Normal 4 2 2 5 2 2 3 2" xfId="40661" xr:uid="{BF081E41-3F39-4849-AD32-BD01D853BD87}"/>
    <cellStyle name="Normal 4 2 2 5 2 2 3 3" xfId="32214" xr:uid="{7389AA48-9717-4173-98CC-5134A62E8173}"/>
    <cellStyle name="Normal 4 2 2 5 2 2 3 4" xfId="23766" xr:uid="{F23146B9-8C6E-46EB-87C7-627AD5539C96}"/>
    <cellStyle name="Normal 4 2 2 5 2 2 3 5" xfId="14469" xr:uid="{1E069223-4CA4-433E-BE07-961D251E627C}"/>
    <cellStyle name="Normal 4 2 2 5 2 2 4" xfId="9487" xr:uid="{83D2756E-B983-4EA9-AB48-FF4D3E821CE4}"/>
    <cellStyle name="Normal 4 2 2 5 2 2 4 2" xfId="36444" xr:uid="{D47726FE-27FA-4933-B3BC-9550BAE2FDDE}"/>
    <cellStyle name="Normal 4 2 2 5 2 2 4 3" xfId="18800" xr:uid="{7D95E3E8-F216-47CF-B82A-37BA7939C146}"/>
    <cellStyle name="Normal 4 2 2 5 2 2 5" xfId="27996" xr:uid="{8A6BD80B-503A-4901-BDBE-68CCB041F840}"/>
    <cellStyle name="Normal 4 2 2 5 2 2 6" xfId="19549" xr:uid="{DC822AC8-23B4-48D2-A866-E87614F8E58D}"/>
    <cellStyle name="Normal 4 2 2 5 2 2 7" xfId="10252" xr:uid="{93087A76-637C-4669-AD0B-0DAECDE1044D}"/>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43219" xr:uid="{C96BE6AE-B5B2-41CA-870D-5E54AEEE63CE}"/>
    <cellStyle name="Normal 4 2 2 5 2 3 2 2 3" xfId="34772" xr:uid="{D2B7736E-099B-4DF4-A872-B657046D8AFD}"/>
    <cellStyle name="Normal 4 2 2 5 2 3 2 2 4" xfId="26324" xr:uid="{8CB27113-FDC5-4418-8B59-D44F3A7321C2}"/>
    <cellStyle name="Normal 4 2 2 5 2 3 2 2 5" xfId="17027" xr:uid="{B6FE94A5-B876-4767-8A2D-4D88C327B1F8}"/>
    <cellStyle name="Normal 4 2 2 5 2 3 2 3" xfId="39002" xr:uid="{7C2DA3D4-C3CA-4723-B40C-EDB36E62FF84}"/>
    <cellStyle name="Normal 4 2 2 5 2 3 2 4" xfId="30554" xr:uid="{C86AB417-9EF2-4B95-B4AD-AFE15FEB977E}"/>
    <cellStyle name="Normal 4 2 2 5 2 3 2 5" xfId="22107" xr:uid="{A5550628-8D21-42BC-86E8-1135119AD70F}"/>
    <cellStyle name="Normal 4 2 2 5 2 3 2 6" xfId="12810" xr:uid="{3F235E8C-A745-4455-976B-F4FE6890D64C}"/>
    <cellStyle name="Normal 4 2 2 5 2 3 3" xfId="5556" xr:uid="{00000000-0005-0000-0000-0000EB120000}"/>
    <cellStyle name="Normal 4 2 2 5 2 3 3 2" xfId="41074" xr:uid="{266B5C1B-6F50-49FA-AA52-54749AA04FE9}"/>
    <cellStyle name="Normal 4 2 2 5 2 3 3 3" xfId="32627" xr:uid="{1E10E75A-01B1-4D5C-A252-7EB1F1E8901E}"/>
    <cellStyle name="Normal 4 2 2 5 2 3 3 4" xfId="24179" xr:uid="{6A52938D-308B-4540-A2E0-3936AE552798}"/>
    <cellStyle name="Normal 4 2 2 5 2 3 3 5" xfId="14882" xr:uid="{C6734F96-12E2-428A-9226-A2375AA29161}"/>
    <cellStyle name="Normal 4 2 2 5 2 3 4" xfId="36857" xr:uid="{9FD5AD61-B1CE-4A88-8562-925E1B108250}"/>
    <cellStyle name="Normal 4 2 2 5 2 3 5" xfId="28409" xr:uid="{C4350F57-92EE-439D-8209-902C985293DF}"/>
    <cellStyle name="Normal 4 2 2 5 2 3 6" xfId="19962" xr:uid="{E932D6CD-DF11-4F45-B4F4-D52113A9282E}"/>
    <cellStyle name="Normal 4 2 2 5 2 3 7" xfId="10665" xr:uid="{84AFFD40-D048-4300-8DA8-3AC9C27358DC}"/>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43632" xr:uid="{DEF1FDA1-8C3E-4402-B90C-7D51052A9171}"/>
    <cellStyle name="Normal 4 2 2 5 2 4 2 2 3" xfId="35185" xr:uid="{3F635CC6-9893-45F6-85DE-F86680FC54A0}"/>
    <cellStyle name="Normal 4 2 2 5 2 4 2 2 4" xfId="26737" xr:uid="{2F4A8768-3867-4633-84F9-2DD22B2096CC}"/>
    <cellStyle name="Normal 4 2 2 5 2 4 2 2 5" xfId="17440" xr:uid="{16B52D21-9683-4B1D-902E-1E66FB9A9BA5}"/>
    <cellStyle name="Normal 4 2 2 5 2 4 2 3" xfId="39415" xr:uid="{D825C2BF-2415-49F1-81D4-76A7C7872B37}"/>
    <cellStyle name="Normal 4 2 2 5 2 4 2 4" xfId="30967" xr:uid="{CB76AB03-8097-4261-AF81-8A666AC859E2}"/>
    <cellStyle name="Normal 4 2 2 5 2 4 2 5" xfId="22520" xr:uid="{DEA3AF11-19B5-47FF-B65D-818C71E2C4A9}"/>
    <cellStyle name="Normal 4 2 2 5 2 4 2 6" xfId="13223" xr:uid="{864725ED-D924-4430-B798-033D59C944E6}"/>
    <cellStyle name="Normal 4 2 2 5 2 4 3" xfId="5969" xr:uid="{00000000-0005-0000-0000-0000EF120000}"/>
    <cellStyle name="Normal 4 2 2 5 2 4 3 2" xfId="41487" xr:uid="{E1F5A999-D307-45FE-A553-0E11399428B4}"/>
    <cellStyle name="Normal 4 2 2 5 2 4 3 3" xfId="33040" xr:uid="{1453F71D-0643-4FD2-BBBA-C1F001011042}"/>
    <cellStyle name="Normal 4 2 2 5 2 4 3 4" xfId="24592" xr:uid="{1553700B-5973-4224-A812-9C1FBE3652A1}"/>
    <cellStyle name="Normal 4 2 2 5 2 4 3 5" xfId="15295" xr:uid="{B5B35A53-64D1-4349-A352-1C1395E709BF}"/>
    <cellStyle name="Normal 4 2 2 5 2 4 4" xfId="37270" xr:uid="{0694747C-70B5-4939-AD70-37629E5B7BF4}"/>
    <cellStyle name="Normal 4 2 2 5 2 4 5" xfId="28822" xr:uid="{E49B1293-4F19-4FB8-A247-83A924E236C2}"/>
    <cellStyle name="Normal 4 2 2 5 2 4 6" xfId="20375" xr:uid="{2D0EE0CE-43EE-4567-B822-035254B5C6BD}"/>
    <cellStyle name="Normal 4 2 2 5 2 4 7" xfId="11078" xr:uid="{42D50044-A162-456E-A79F-C5D4AE48BFC3}"/>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44045" xr:uid="{89AB5755-1671-4BAD-9C97-2130101C2F2A}"/>
    <cellStyle name="Normal 4 2 2 5 2 5 2 2 3" xfId="35598" xr:uid="{CA2F9F4A-977E-4965-A51A-ABF5E26F7A0A}"/>
    <cellStyle name="Normal 4 2 2 5 2 5 2 2 4" xfId="27150" xr:uid="{BD13FD6F-3CAE-45F0-8CD2-08D654F032F8}"/>
    <cellStyle name="Normal 4 2 2 5 2 5 2 2 5" xfId="17853" xr:uid="{6377D1D5-7CE6-4E27-AAB0-C25AB4283FF6}"/>
    <cellStyle name="Normal 4 2 2 5 2 5 2 3" xfId="39828" xr:uid="{37593C92-33E6-4A1B-AE64-CB3BF889A29A}"/>
    <cellStyle name="Normal 4 2 2 5 2 5 2 4" xfId="31380" xr:uid="{6756EEB8-77CE-4B3F-B515-05AC10201CCB}"/>
    <cellStyle name="Normal 4 2 2 5 2 5 2 5" xfId="22933" xr:uid="{903A8A59-C0C4-415D-977D-288D4862782B}"/>
    <cellStyle name="Normal 4 2 2 5 2 5 2 6" xfId="13636" xr:uid="{2DF91688-C82C-4E24-9B62-D67B1A6B6D3A}"/>
    <cellStyle name="Normal 4 2 2 5 2 5 3" xfId="6382" xr:uid="{00000000-0005-0000-0000-0000F3120000}"/>
    <cellStyle name="Normal 4 2 2 5 2 5 3 2" xfId="41900" xr:uid="{5EC38203-2D6B-4E45-A64E-082C035B0141}"/>
    <cellStyle name="Normal 4 2 2 5 2 5 3 3" xfId="33453" xr:uid="{B317E263-410A-4107-B999-A340BAC55C02}"/>
    <cellStyle name="Normal 4 2 2 5 2 5 3 4" xfId="25005" xr:uid="{8009D0CF-298F-4AB9-8A93-42019F256E9F}"/>
    <cellStyle name="Normal 4 2 2 5 2 5 3 5" xfId="15708" xr:uid="{2B2CE4B3-6B6B-4DD9-97CE-403C2D1E7CA6}"/>
    <cellStyle name="Normal 4 2 2 5 2 5 4" xfId="37683" xr:uid="{1770F292-CCD7-46AD-BBB2-8DBDA0494D17}"/>
    <cellStyle name="Normal 4 2 2 5 2 5 5" xfId="29235" xr:uid="{0D4F1BBE-2AE5-4BA1-B31A-0B1C2D5D766E}"/>
    <cellStyle name="Normal 4 2 2 5 2 5 6" xfId="20788" xr:uid="{DDEE8C3D-09D2-4D58-BEE8-D75D4FE8E433}"/>
    <cellStyle name="Normal 4 2 2 5 2 5 7" xfId="11491" xr:uid="{5FC6FE25-CEA6-4388-A4BC-BF648E8B24DD}"/>
    <cellStyle name="Normal 4 2 2 5 2 6" xfId="2512" xr:uid="{00000000-0005-0000-0000-0000F4120000}"/>
    <cellStyle name="Normal 4 2 2 5 2 6 2" xfId="6795" xr:uid="{00000000-0005-0000-0000-0000F5120000}"/>
    <cellStyle name="Normal 4 2 2 5 2 6 2 2" xfId="42313" xr:uid="{E7604534-16B1-40AC-86F5-C41BD05184FA}"/>
    <cellStyle name="Normal 4 2 2 5 2 6 2 3" xfId="33866" xr:uid="{957D2B21-709F-43CF-954B-E2FCD74E56CF}"/>
    <cellStyle name="Normal 4 2 2 5 2 6 2 4" xfId="25418" xr:uid="{7EF0DDF6-C4D4-4E7B-85D1-0E37E5C53A51}"/>
    <cellStyle name="Normal 4 2 2 5 2 6 2 5" xfId="16121" xr:uid="{E5428B55-626B-4BDE-8954-E133AF03B542}"/>
    <cellStyle name="Normal 4 2 2 5 2 6 3" xfId="38096" xr:uid="{4E8A5E29-6B38-4D24-A29D-7DB38712B97D}"/>
    <cellStyle name="Normal 4 2 2 5 2 6 4" xfId="29648" xr:uid="{58E6DD62-5247-4A3B-9402-43D8F40FC92D}"/>
    <cellStyle name="Normal 4 2 2 5 2 6 5" xfId="21201" xr:uid="{A5171304-799F-4D13-8B90-8C86C76C36AF}"/>
    <cellStyle name="Normal 4 2 2 5 2 6 6" xfId="11904" xr:uid="{BC6F91E8-A0F1-4480-92D8-5E4D6521973B}"/>
    <cellStyle name="Normal 4 2 2 5 2 7" xfId="4730" xr:uid="{00000000-0005-0000-0000-0000F6120000}"/>
    <cellStyle name="Normal 4 2 2 5 2 7 2" xfId="40248" xr:uid="{735FF382-423A-4742-823B-9F9440FB5E5E}"/>
    <cellStyle name="Normal 4 2 2 5 2 7 3" xfId="31801" xr:uid="{AA55FCFD-312B-409A-A3EC-12B9991B6698}"/>
    <cellStyle name="Normal 4 2 2 5 2 7 4" xfId="23353" xr:uid="{ADFBF2B0-1024-46D2-984E-006E4BCD4C5D}"/>
    <cellStyle name="Normal 4 2 2 5 2 7 5" xfId="14056" xr:uid="{1EA5C35D-33BC-4AB2-8B02-672E7882CD6E}"/>
    <cellStyle name="Normal 4 2 2 5 2 8" xfId="9062" xr:uid="{FED54422-C2E5-44B3-AA7C-C6088F47A385}"/>
    <cellStyle name="Normal 4 2 2 5 2 8 2" xfId="36031" xr:uid="{8049BEC2-0481-4413-9E2D-B21CE1384D8B}"/>
    <cellStyle name="Normal 4 2 2 5 2 8 3" xfId="18385" xr:uid="{BF4EC755-DF7E-4860-B5A4-88B385ED1BB6}"/>
    <cellStyle name="Normal 4 2 2 5 2 9" xfId="27583" xr:uid="{05E13861-8426-4E0C-B8F7-269AF8E12507}"/>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42805" xr:uid="{EDE88321-274B-4591-B899-C49B67A526C6}"/>
    <cellStyle name="Normal 4 2 2 5 3 2 2 3" xfId="34358" xr:uid="{A75A0AE6-E6AC-4BBD-8240-34E452953AEF}"/>
    <cellStyle name="Normal 4 2 2 5 3 2 2 4" xfId="25910" xr:uid="{423F7F99-493C-4D9D-92D8-F88AC3ACCF5F}"/>
    <cellStyle name="Normal 4 2 2 5 3 2 2 5" xfId="16613" xr:uid="{67CDA323-E01E-4F30-9199-89C41F4471F7}"/>
    <cellStyle name="Normal 4 2 2 5 3 2 3" xfId="38588" xr:uid="{835FA03C-0AEE-40DF-BC08-889101E4AF99}"/>
    <cellStyle name="Normal 4 2 2 5 3 2 4" xfId="30140" xr:uid="{E0B1ADFB-C383-4CAB-8054-62290C469524}"/>
    <cellStyle name="Normal 4 2 2 5 3 2 5" xfId="21693" xr:uid="{33F7D408-58BA-4D0B-A211-3E64C032739D}"/>
    <cellStyle name="Normal 4 2 2 5 3 2 6" xfId="12396" xr:uid="{66C58784-85D8-4499-8C60-1D386709D00D}"/>
    <cellStyle name="Normal 4 2 2 5 3 3" xfId="5142" xr:uid="{00000000-0005-0000-0000-0000FA120000}"/>
    <cellStyle name="Normal 4 2 2 5 3 3 2" xfId="40660" xr:uid="{33654F77-A36F-4E47-9612-91F974F62CCA}"/>
    <cellStyle name="Normal 4 2 2 5 3 3 3" xfId="32213" xr:uid="{A54FC9C2-BEE7-4300-845F-3D9E5496F3C1}"/>
    <cellStyle name="Normal 4 2 2 5 3 3 4" xfId="23765" xr:uid="{085CB56B-C6E4-4084-B6BC-8C635A0F8704}"/>
    <cellStyle name="Normal 4 2 2 5 3 3 5" xfId="14468" xr:uid="{83AD4895-BD0E-4EA8-B343-C15E3D30CBAB}"/>
    <cellStyle name="Normal 4 2 2 5 3 4" xfId="9280" xr:uid="{C70B18D8-E279-4D37-82EF-3177E9FA554F}"/>
    <cellStyle name="Normal 4 2 2 5 3 4 2" xfId="36443" xr:uid="{BB389325-7279-4460-AA0A-01A3C3CD8E0E}"/>
    <cellStyle name="Normal 4 2 2 5 3 4 3" xfId="18593" xr:uid="{B30E75F1-5F17-49C9-B370-036568D6EA75}"/>
    <cellStyle name="Normal 4 2 2 5 3 5" xfId="27995" xr:uid="{7C2606DE-18BD-4D98-BD42-AC84A828CA8B}"/>
    <cellStyle name="Normal 4 2 2 5 3 6" xfId="19548" xr:uid="{427E6D8E-D98B-407E-8A42-968AB1409691}"/>
    <cellStyle name="Normal 4 2 2 5 3 7" xfId="10251" xr:uid="{5A068554-F5D2-4D70-B859-D5D42C4F037C}"/>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43218" xr:uid="{33991F42-A4F6-444D-A812-D8B81EEFA535}"/>
    <cellStyle name="Normal 4 2 2 5 4 2 2 3" xfId="34771" xr:uid="{7D7D222C-EF6C-4FE9-A12D-ABDB9DFF3F6C}"/>
    <cellStyle name="Normal 4 2 2 5 4 2 2 4" xfId="26323" xr:uid="{0BAE0DF5-A66E-4803-B39D-8A6A6F95956E}"/>
    <cellStyle name="Normal 4 2 2 5 4 2 2 5" xfId="17026" xr:uid="{F3AD33F8-52EC-44D9-A43C-3F3A61FD91D3}"/>
    <cellStyle name="Normal 4 2 2 5 4 2 3" xfId="39001" xr:uid="{9EE6BA57-0594-4922-ABE7-E4D9EB29F3A9}"/>
    <cellStyle name="Normal 4 2 2 5 4 2 4" xfId="30553" xr:uid="{6AE908DA-FC43-4379-B9F1-6CB914C49B4D}"/>
    <cellStyle name="Normal 4 2 2 5 4 2 5" xfId="22106" xr:uid="{D7DB80B3-6228-4689-B3EB-F90453DE2F9D}"/>
    <cellStyle name="Normal 4 2 2 5 4 2 6" xfId="12809" xr:uid="{0B7E6241-547E-4C65-A517-7EB314EC23C8}"/>
    <cellStyle name="Normal 4 2 2 5 4 3" xfId="5555" xr:uid="{00000000-0005-0000-0000-0000FE120000}"/>
    <cellStyle name="Normal 4 2 2 5 4 3 2" xfId="41073" xr:uid="{4CBB88DA-CDA3-4F18-BAB6-800051CCC7ED}"/>
    <cellStyle name="Normal 4 2 2 5 4 3 3" xfId="32626" xr:uid="{A2869F2D-D4E5-4BAA-B6A2-A0A335F09A46}"/>
    <cellStyle name="Normal 4 2 2 5 4 3 4" xfId="24178" xr:uid="{B5CCB514-B045-40F5-A03F-0FA7F029B904}"/>
    <cellStyle name="Normal 4 2 2 5 4 3 5" xfId="14881" xr:uid="{5C8FCAD8-D4FD-4C62-99BB-3FEDADB07178}"/>
    <cellStyle name="Normal 4 2 2 5 4 4" xfId="36856" xr:uid="{3CF8CC2D-8DFB-401E-B8BA-E9EFEADF37A1}"/>
    <cellStyle name="Normal 4 2 2 5 4 5" xfId="28408" xr:uid="{7DAFB5DD-91BB-4DEE-8F7F-87B3FA45A7FA}"/>
    <cellStyle name="Normal 4 2 2 5 4 6" xfId="19961" xr:uid="{321E4052-6493-4E6D-90CF-9D7C07BA7DFF}"/>
    <cellStyle name="Normal 4 2 2 5 4 7" xfId="10664" xr:uid="{1BF2F189-1F32-4395-91DC-1193560E3C5C}"/>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43631" xr:uid="{3989443A-6620-4F40-85CE-D39BFD6AC678}"/>
    <cellStyle name="Normal 4 2 2 5 5 2 2 3" xfId="35184" xr:uid="{7D948975-A8AF-4261-B65B-217591C3F823}"/>
    <cellStyle name="Normal 4 2 2 5 5 2 2 4" xfId="26736" xr:uid="{DFB3F6E0-37AB-4C91-9A81-CB11826567F9}"/>
    <cellStyle name="Normal 4 2 2 5 5 2 2 5" xfId="17439" xr:uid="{A5B72F55-1B9B-45DE-8B2A-7A18A84E47F5}"/>
    <cellStyle name="Normal 4 2 2 5 5 2 3" xfId="39414" xr:uid="{6208FB80-373D-485C-81BF-7E35232CE2C8}"/>
    <cellStyle name="Normal 4 2 2 5 5 2 4" xfId="30966" xr:uid="{D11CA3E9-06FA-4C99-9B56-45140CA8E553}"/>
    <cellStyle name="Normal 4 2 2 5 5 2 5" xfId="22519" xr:uid="{6528127D-49F3-4519-835D-5EBFF7759E23}"/>
    <cellStyle name="Normal 4 2 2 5 5 2 6" xfId="13222" xr:uid="{A72AA021-CC96-4411-9630-511AF6A7B146}"/>
    <cellStyle name="Normal 4 2 2 5 5 3" xfId="5968" xr:uid="{00000000-0005-0000-0000-000002130000}"/>
    <cellStyle name="Normal 4 2 2 5 5 3 2" xfId="41486" xr:uid="{7788E3B9-E91E-4174-9E9D-56B701C473A0}"/>
    <cellStyle name="Normal 4 2 2 5 5 3 3" xfId="33039" xr:uid="{39EBFF4E-48EF-44A0-ADCC-D6C4A18EF834}"/>
    <cellStyle name="Normal 4 2 2 5 5 3 4" xfId="24591" xr:uid="{CD55012C-35A3-465E-801E-A11206F270D1}"/>
    <cellStyle name="Normal 4 2 2 5 5 3 5" xfId="15294" xr:uid="{405E1FA6-9D2C-4E99-A9FE-E40994D51873}"/>
    <cellStyle name="Normal 4 2 2 5 5 4" xfId="37269" xr:uid="{B38E4859-997A-4DC3-B0A5-AD857E1F3485}"/>
    <cellStyle name="Normal 4 2 2 5 5 5" xfId="28821" xr:uid="{3274B3BA-23C7-4D13-B8A3-016CDB8CB08D}"/>
    <cellStyle name="Normal 4 2 2 5 5 6" xfId="20374" xr:uid="{F23D1591-7838-45B4-915B-5B828D39C3E1}"/>
    <cellStyle name="Normal 4 2 2 5 5 7" xfId="11077" xr:uid="{F59D4D0D-58B4-4166-96D9-073233EA05DA}"/>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44044" xr:uid="{D4D6B1D7-2DA5-45E5-90DC-97F94EE7B669}"/>
    <cellStyle name="Normal 4 2 2 5 6 2 2 3" xfId="35597" xr:uid="{B1837B6B-CE86-475C-BFB2-8ACC80C1E881}"/>
    <cellStyle name="Normal 4 2 2 5 6 2 2 4" xfId="27149" xr:uid="{C5EEC868-3077-41FC-A252-AC5BD1125A0E}"/>
    <cellStyle name="Normal 4 2 2 5 6 2 2 5" xfId="17852" xr:uid="{18B23341-A8A8-4152-B201-1513CD4D9DF7}"/>
    <cellStyle name="Normal 4 2 2 5 6 2 3" xfId="39827" xr:uid="{257CE732-C9D9-431C-8C70-F4958B634CB5}"/>
    <cellStyle name="Normal 4 2 2 5 6 2 4" xfId="31379" xr:uid="{AF8CAE1C-6E60-4580-B191-F90265AF8F1C}"/>
    <cellStyle name="Normal 4 2 2 5 6 2 5" xfId="22932" xr:uid="{BD061196-73D7-451A-8301-9370C7FC06DF}"/>
    <cellStyle name="Normal 4 2 2 5 6 2 6" xfId="13635" xr:uid="{86FEDE3F-14BD-466F-B2EB-89252D09FCBD}"/>
    <cellStyle name="Normal 4 2 2 5 6 3" xfId="6381" xr:uid="{00000000-0005-0000-0000-000006130000}"/>
    <cellStyle name="Normal 4 2 2 5 6 3 2" xfId="41899" xr:uid="{4D2E249A-6732-48E7-9F83-11D5AAC1DA63}"/>
    <cellStyle name="Normal 4 2 2 5 6 3 3" xfId="33452" xr:uid="{FC6E2665-F745-4359-A525-3449520274EC}"/>
    <cellStyle name="Normal 4 2 2 5 6 3 4" xfId="25004" xr:uid="{C5D08F0A-6BA1-4A7F-A505-A64442DCBDFD}"/>
    <cellStyle name="Normal 4 2 2 5 6 3 5" xfId="15707" xr:uid="{BE5FCB4A-9623-41FE-B5C6-618CAC187593}"/>
    <cellStyle name="Normal 4 2 2 5 6 4" xfId="37682" xr:uid="{F74C796D-E8C8-4F82-9A58-80A8934AE9CE}"/>
    <cellStyle name="Normal 4 2 2 5 6 5" xfId="29234" xr:uid="{AE91430F-CBCD-4FF8-8BEA-53327C6794A2}"/>
    <cellStyle name="Normal 4 2 2 5 6 6" xfId="20787" xr:uid="{C4409BE7-9E9A-4D74-B0D2-EF13CACE0BDE}"/>
    <cellStyle name="Normal 4 2 2 5 6 7" xfId="11490" xr:uid="{DB9B5964-9040-48B7-A269-DB492D6B2655}"/>
    <cellStyle name="Normal 4 2 2 5 7" xfId="2511" xr:uid="{00000000-0005-0000-0000-000007130000}"/>
    <cellStyle name="Normal 4 2 2 5 7 2" xfId="6794" xr:uid="{00000000-0005-0000-0000-000008130000}"/>
    <cellStyle name="Normal 4 2 2 5 7 2 2" xfId="42312" xr:uid="{A67EB69B-722C-476B-AB92-FF70B322F23D}"/>
    <cellStyle name="Normal 4 2 2 5 7 2 3" xfId="33865" xr:uid="{8ACA95F6-E7F6-4887-B992-F7A82934E954}"/>
    <cellStyle name="Normal 4 2 2 5 7 2 4" xfId="25417" xr:uid="{0CC87B87-CA19-4A9E-B6C0-8F019ACB3079}"/>
    <cellStyle name="Normal 4 2 2 5 7 2 5" xfId="16120" xr:uid="{B614616C-2485-4541-A462-5346ECB6E15F}"/>
    <cellStyle name="Normal 4 2 2 5 7 3" xfId="38095" xr:uid="{884E657B-30F6-4A86-A0AA-F085ED007FE4}"/>
    <cellStyle name="Normal 4 2 2 5 7 4" xfId="29647" xr:uid="{303FED63-AE0A-4D02-8124-FA3BCDA93D89}"/>
    <cellStyle name="Normal 4 2 2 5 7 5" xfId="21200" xr:uid="{B3C1E00C-EC52-4A61-A994-8523CA36E841}"/>
    <cellStyle name="Normal 4 2 2 5 7 6" xfId="11903" xr:uid="{F64FB6B1-6F68-4519-83F3-F169076405CC}"/>
    <cellStyle name="Normal 4 2 2 5 8" xfId="4729" xr:uid="{00000000-0005-0000-0000-000009130000}"/>
    <cellStyle name="Normal 4 2 2 5 8 2" xfId="40247" xr:uid="{70E67DEB-3569-496F-9E4E-62012E6F4342}"/>
    <cellStyle name="Normal 4 2 2 5 8 3" xfId="31800" xr:uid="{86F1A57A-C2F9-4310-A708-26A4020EDCC0}"/>
    <cellStyle name="Normal 4 2 2 5 8 4" xfId="23352" xr:uid="{97DD56E2-E44D-4098-85FA-3ED341B16006}"/>
    <cellStyle name="Normal 4 2 2 5 8 5" xfId="14055" xr:uid="{89BB1928-EAA6-49F2-A728-AED3E5577DD1}"/>
    <cellStyle name="Normal 4 2 2 5 9" xfId="8855" xr:uid="{894DEE8B-A5CD-4C4E-B41D-DCEB92717109}"/>
    <cellStyle name="Normal 4 2 2 5 9 2" xfId="36030" xr:uid="{49C1A21D-2557-417C-ABD3-5C2034F17A1B}"/>
    <cellStyle name="Normal 4 2 2 5 9 3" xfId="18178" xr:uid="{50021DA1-AFB9-4CE5-B129-25B17CD9F3D5}"/>
    <cellStyle name="Normal 4 2 2 6" xfId="353" xr:uid="{00000000-0005-0000-0000-00000A130000}"/>
    <cellStyle name="Normal 4 2 2 6 10" xfId="19137" xr:uid="{27CFE01B-4C12-4E1D-BB6D-C2CA6163F26A}"/>
    <cellStyle name="Normal 4 2 2 6 11" xfId="9840" xr:uid="{CB4974E3-9559-4323-84AC-B4E6D206BA16}"/>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42807" xr:uid="{9947B829-63E6-4D59-BC46-43AE7D165E25}"/>
    <cellStyle name="Normal 4 2 2 6 2 2 2 3" xfId="34360" xr:uid="{94D3763C-140C-4A16-829F-E4B471EF19DC}"/>
    <cellStyle name="Normal 4 2 2 6 2 2 2 4" xfId="25912" xr:uid="{1E44280A-7DE4-4EA7-A1B2-86BBCB2C0C71}"/>
    <cellStyle name="Normal 4 2 2 6 2 2 2 5" xfId="16615" xr:uid="{329E91A4-32DD-4588-A1FA-538A8A6F1351}"/>
    <cellStyle name="Normal 4 2 2 6 2 2 3" xfId="38590" xr:uid="{8ED92B93-4A96-4823-8D2E-5796C642079A}"/>
    <cellStyle name="Normal 4 2 2 6 2 2 4" xfId="30142" xr:uid="{ADF519CB-684A-4D01-9930-FE5EF0983DB2}"/>
    <cellStyle name="Normal 4 2 2 6 2 2 5" xfId="21695" xr:uid="{58F4CA1B-DECF-49A9-9399-88DF2E1F6611}"/>
    <cellStyle name="Normal 4 2 2 6 2 2 6" xfId="12398" xr:uid="{FE2FE3A1-E236-4395-B06A-8098DE716D4F}"/>
    <cellStyle name="Normal 4 2 2 6 2 3" xfId="5144" xr:uid="{00000000-0005-0000-0000-00000E130000}"/>
    <cellStyle name="Normal 4 2 2 6 2 3 2" xfId="40662" xr:uid="{C336D239-FAE2-4CA5-B64B-66A752DAD178}"/>
    <cellStyle name="Normal 4 2 2 6 2 3 3" xfId="32215" xr:uid="{B6531706-A291-4E14-B4E2-BB21C94D0D24}"/>
    <cellStyle name="Normal 4 2 2 6 2 3 4" xfId="23767" xr:uid="{9790F240-EF51-4406-BFA5-EC72E3A15E7B}"/>
    <cellStyle name="Normal 4 2 2 6 2 3 5" xfId="14470" xr:uid="{C3D3B98C-F9A5-4CC2-854F-26424EDE1639}"/>
    <cellStyle name="Normal 4 2 2 6 2 4" xfId="9396" xr:uid="{5B10E6C6-987A-4149-BB81-321A07C7666F}"/>
    <cellStyle name="Normal 4 2 2 6 2 4 2" xfId="36445" xr:uid="{243BBFE8-A3F7-42E9-9C57-E60DA1BE9A89}"/>
    <cellStyle name="Normal 4 2 2 6 2 4 3" xfId="18709" xr:uid="{B125CCAF-8509-422B-898E-A8E67371FD18}"/>
    <cellStyle name="Normal 4 2 2 6 2 5" xfId="27997" xr:uid="{CD06CD28-2BE8-4E61-BD99-889629B587C8}"/>
    <cellStyle name="Normal 4 2 2 6 2 6" xfId="19550" xr:uid="{5EFCE887-049E-4EF8-B863-5D49F21C3B2C}"/>
    <cellStyle name="Normal 4 2 2 6 2 7" xfId="10253" xr:uid="{305BFEBE-556C-4D4A-9189-EA7E42814285}"/>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43220" xr:uid="{5782DD7C-C267-430D-8D25-754135F9FD6C}"/>
    <cellStyle name="Normal 4 2 2 6 3 2 2 3" xfId="34773" xr:uid="{442FB477-FFD2-40F0-ADC2-B1BE0FFF755D}"/>
    <cellStyle name="Normal 4 2 2 6 3 2 2 4" xfId="26325" xr:uid="{E638F8CD-D89E-4775-BFF1-52B611CAF50B}"/>
    <cellStyle name="Normal 4 2 2 6 3 2 2 5" xfId="17028" xr:uid="{4B223470-4786-4943-B98B-948F8FBD921D}"/>
    <cellStyle name="Normal 4 2 2 6 3 2 3" xfId="39003" xr:uid="{B9BE2097-BDFA-46E7-848C-246ED0624941}"/>
    <cellStyle name="Normal 4 2 2 6 3 2 4" xfId="30555" xr:uid="{4357FBD8-C33E-4EDF-9256-0CEC81DD0A9F}"/>
    <cellStyle name="Normal 4 2 2 6 3 2 5" xfId="22108" xr:uid="{7544A0C0-E079-4A67-8815-B56D226AA60A}"/>
    <cellStyle name="Normal 4 2 2 6 3 2 6" xfId="12811" xr:uid="{93931147-5B87-4A5B-B30A-03D1E06C11FE}"/>
    <cellStyle name="Normal 4 2 2 6 3 3" xfId="5557" xr:uid="{00000000-0005-0000-0000-000012130000}"/>
    <cellStyle name="Normal 4 2 2 6 3 3 2" xfId="41075" xr:uid="{3092267A-C4A2-4005-872F-71F92944D84E}"/>
    <cellStyle name="Normal 4 2 2 6 3 3 3" xfId="32628" xr:uid="{A93263AB-EF99-4281-BB66-3ADDE2012A46}"/>
    <cellStyle name="Normal 4 2 2 6 3 3 4" xfId="24180" xr:uid="{26DDE534-1D75-4523-979B-892E85DCAD3C}"/>
    <cellStyle name="Normal 4 2 2 6 3 3 5" xfId="14883" xr:uid="{F8DB7AE7-7E26-4BBC-BC1B-BD91C873459C}"/>
    <cellStyle name="Normal 4 2 2 6 3 4" xfId="36858" xr:uid="{2A330C6F-09C4-4540-A053-DC99A019B93D}"/>
    <cellStyle name="Normal 4 2 2 6 3 5" xfId="28410" xr:uid="{759F6C60-1718-4A61-8640-8737D83405EC}"/>
    <cellStyle name="Normal 4 2 2 6 3 6" xfId="19963" xr:uid="{8E353BA7-DAD2-41EE-8A92-AD44B9A96519}"/>
    <cellStyle name="Normal 4 2 2 6 3 7" xfId="10666" xr:uid="{804DC954-AC61-48FA-A904-177A32588BB6}"/>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43633" xr:uid="{C1CBA920-1422-4242-A6BF-0C597568A9CE}"/>
    <cellStyle name="Normal 4 2 2 6 4 2 2 3" xfId="35186" xr:uid="{722E7E63-878F-4EB0-9E3A-A522C8A2154B}"/>
    <cellStyle name="Normal 4 2 2 6 4 2 2 4" xfId="26738" xr:uid="{E02FF95F-827D-4EDD-8E50-16CCD0F21F69}"/>
    <cellStyle name="Normal 4 2 2 6 4 2 2 5" xfId="17441" xr:uid="{C82260C7-E781-4E32-85A8-BAC08C83CB27}"/>
    <cellStyle name="Normal 4 2 2 6 4 2 3" xfId="39416" xr:uid="{62460EB3-F3CA-40AE-8758-ABB91293953B}"/>
    <cellStyle name="Normal 4 2 2 6 4 2 4" xfId="30968" xr:uid="{B0B0F581-B535-424D-92B5-4BD365871F27}"/>
    <cellStyle name="Normal 4 2 2 6 4 2 5" xfId="22521" xr:uid="{A136947D-8724-42F0-BA0D-8E87D9DA7BAE}"/>
    <cellStyle name="Normal 4 2 2 6 4 2 6" xfId="13224" xr:uid="{08F08B0B-F943-4F32-B9D3-748A495F1C5D}"/>
    <cellStyle name="Normal 4 2 2 6 4 3" xfId="5970" xr:uid="{00000000-0005-0000-0000-000016130000}"/>
    <cellStyle name="Normal 4 2 2 6 4 3 2" xfId="41488" xr:uid="{F23704EC-9AA6-4F94-8206-A56EAA042DD9}"/>
    <cellStyle name="Normal 4 2 2 6 4 3 3" xfId="33041" xr:uid="{7C7A43C3-C01E-4E91-893F-2B893BFBF52A}"/>
    <cellStyle name="Normal 4 2 2 6 4 3 4" xfId="24593" xr:uid="{BC2826AB-1C2E-4C10-BDE6-D12BBD051349}"/>
    <cellStyle name="Normal 4 2 2 6 4 3 5" xfId="15296" xr:uid="{9A356C7E-CBC4-47C5-A0D8-A1F0CA37AB6F}"/>
    <cellStyle name="Normal 4 2 2 6 4 4" xfId="37271" xr:uid="{7F5BECD1-6B4F-4DE6-B47B-DA07A767ED1C}"/>
    <cellStyle name="Normal 4 2 2 6 4 5" xfId="28823" xr:uid="{693CADEE-6410-4AEA-8037-505731ADC2FF}"/>
    <cellStyle name="Normal 4 2 2 6 4 6" xfId="20376" xr:uid="{3EA69CA2-7B81-4A43-98A7-67D2C523C7DD}"/>
    <cellStyle name="Normal 4 2 2 6 4 7" xfId="11079" xr:uid="{AA159CFC-4A74-4B12-B3BB-19DB66949910}"/>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44046" xr:uid="{CC86E705-6ED4-4548-AE08-BFEC8FACD115}"/>
    <cellStyle name="Normal 4 2 2 6 5 2 2 3" xfId="35599" xr:uid="{E4F002DE-01B0-4901-9EBC-7B01D0E96C44}"/>
    <cellStyle name="Normal 4 2 2 6 5 2 2 4" xfId="27151" xr:uid="{AD903AFB-11F8-4E1B-BB6D-24D6C771162A}"/>
    <cellStyle name="Normal 4 2 2 6 5 2 2 5" xfId="17854" xr:uid="{AECB50ED-A054-4BCF-B794-BAA672650EFA}"/>
    <cellStyle name="Normal 4 2 2 6 5 2 3" xfId="39829" xr:uid="{FDC28071-CE61-4E22-9D5E-0AC65D1CF880}"/>
    <cellStyle name="Normal 4 2 2 6 5 2 4" xfId="31381" xr:uid="{01ABB010-E1D8-40CA-9B6D-B4AA01929ADF}"/>
    <cellStyle name="Normal 4 2 2 6 5 2 5" xfId="22934" xr:uid="{1986345B-8D17-4F0B-A572-98F870A650C1}"/>
    <cellStyle name="Normal 4 2 2 6 5 2 6" xfId="13637" xr:uid="{4AC16267-B857-4F75-89B2-E3565D4E5B92}"/>
    <cellStyle name="Normal 4 2 2 6 5 3" xfId="6383" xr:uid="{00000000-0005-0000-0000-00001A130000}"/>
    <cellStyle name="Normal 4 2 2 6 5 3 2" xfId="41901" xr:uid="{20E789FC-293A-4317-87F6-071B1C638D60}"/>
    <cellStyle name="Normal 4 2 2 6 5 3 3" xfId="33454" xr:uid="{B3A5748F-ECD3-424A-8A5C-EB4F93D61CA1}"/>
    <cellStyle name="Normal 4 2 2 6 5 3 4" xfId="25006" xr:uid="{3E31458D-02D2-4CF8-99FA-5971925B3969}"/>
    <cellStyle name="Normal 4 2 2 6 5 3 5" xfId="15709" xr:uid="{534746E6-6E43-405D-9F0D-FE904CABA292}"/>
    <cellStyle name="Normal 4 2 2 6 5 4" xfId="37684" xr:uid="{805FA106-4ADB-433C-A718-A3B025F1A136}"/>
    <cellStyle name="Normal 4 2 2 6 5 5" xfId="29236" xr:uid="{9E7EFA65-9126-476C-BE87-BD9E33714CD7}"/>
    <cellStyle name="Normal 4 2 2 6 5 6" xfId="20789" xr:uid="{6E7825AA-F93C-4AAB-82A7-626A2AE68A9A}"/>
    <cellStyle name="Normal 4 2 2 6 5 7" xfId="11492" xr:uid="{77A5F17F-4807-43CF-840B-16C042128473}"/>
    <cellStyle name="Normal 4 2 2 6 6" xfId="2513" xr:uid="{00000000-0005-0000-0000-00001B130000}"/>
    <cellStyle name="Normal 4 2 2 6 6 2" xfId="6796" xr:uid="{00000000-0005-0000-0000-00001C130000}"/>
    <cellStyle name="Normal 4 2 2 6 6 2 2" xfId="42314" xr:uid="{3605A4F5-51E7-4C80-B946-85D2956DB9FA}"/>
    <cellStyle name="Normal 4 2 2 6 6 2 3" xfId="33867" xr:uid="{5940F4D4-857B-4F6B-92D3-85B3D88EEF8F}"/>
    <cellStyle name="Normal 4 2 2 6 6 2 4" xfId="25419" xr:uid="{1C78FA42-91E9-40DD-BC73-F2AD1AC1D0C8}"/>
    <cellStyle name="Normal 4 2 2 6 6 2 5" xfId="16122" xr:uid="{B96AB22B-5F4E-43BF-B89F-BA6810A38A39}"/>
    <cellStyle name="Normal 4 2 2 6 6 3" xfId="38097" xr:uid="{8D84B49E-97F7-461B-B189-F39E171F615E}"/>
    <cellStyle name="Normal 4 2 2 6 6 4" xfId="29649" xr:uid="{F7B2D736-F921-4B7D-B8DA-D3838764F4A4}"/>
    <cellStyle name="Normal 4 2 2 6 6 5" xfId="21202" xr:uid="{70467034-9C68-432E-BBFD-7278F5D778F8}"/>
    <cellStyle name="Normal 4 2 2 6 6 6" xfId="11905" xr:uid="{92E91506-EF43-459F-BCF7-3BC7F369CA20}"/>
    <cellStyle name="Normal 4 2 2 6 7" xfId="4731" xr:uid="{00000000-0005-0000-0000-00001D130000}"/>
    <cellStyle name="Normal 4 2 2 6 7 2" xfId="40249" xr:uid="{821D0C66-86DE-4C81-8810-C8E93DFF8229}"/>
    <cellStyle name="Normal 4 2 2 6 7 3" xfId="31802" xr:uid="{77316E07-813D-4148-893F-1D6741171797}"/>
    <cellStyle name="Normal 4 2 2 6 7 4" xfId="23354" xr:uid="{39C8419E-3932-4228-A0C7-131F4F730F70}"/>
    <cellStyle name="Normal 4 2 2 6 7 5" xfId="14057" xr:uid="{3C259243-B041-41C6-8A6A-F3E9FE4B29CA}"/>
    <cellStyle name="Normal 4 2 2 6 8" xfId="8971" xr:uid="{7BBA3CD4-2D32-439A-A2D5-9F7EB5E5A47E}"/>
    <cellStyle name="Normal 4 2 2 6 8 2" xfId="36032" xr:uid="{F36D210B-98A9-475D-9600-CDACB2BD96E1}"/>
    <cellStyle name="Normal 4 2 2 6 8 3" xfId="18294" xr:uid="{4B08DDF2-6507-4619-9FD7-52D50E53F807}"/>
    <cellStyle name="Normal 4 2 2 6 9" xfId="27584" xr:uid="{5B4DCB41-D944-485D-AA09-D4FB4F4A5BBE}"/>
    <cellStyle name="Normal 4 2 2 7" xfId="815" xr:uid="{00000000-0005-0000-0000-00001E130000}"/>
    <cellStyle name="Normal 4 2 2 7 2" xfId="3052" xr:uid="{00000000-0005-0000-0000-00001F130000}"/>
    <cellStyle name="Normal 4 2 2 7 2 2" xfId="7274" xr:uid="{00000000-0005-0000-0000-000020130000}"/>
    <cellStyle name="Normal 4 2 2 7 2 2 2" xfId="42792" xr:uid="{931A9178-FAE4-4CD6-AC38-EC099FFD424D}"/>
    <cellStyle name="Normal 4 2 2 7 2 2 3" xfId="34345" xr:uid="{F32D8471-763A-4C86-A55A-6BB4DC6C0B0A}"/>
    <cellStyle name="Normal 4 2 2 7 2 2 4" xfId="25897" xr:uid="{74EDD0D8-E207-4A97-829C-4D8D315B4BE7}"/>
    <cellStyle name="Normal 4 2 2 7 2 2 5" xfId="16600" xr:uid="{A09B5837-E031-48CB-A84C-2D689906051D}"/>
    <cellStyle name="Normal 4 2 2 7 2 3" xfId="38575" xr:uid="{C27F76E8-6847-404D-B10F-1DD1FE1E42C3}"/>
    <cellStyle name="Normal 4 2 2 7 2 4" xfId="30127" xr:uid="{DD6213C4-695F-49F3-93FE-48E3D51E830F}"/>
    <cellStyle name="Normal 4 2 2 7 2 5" xfId="21680" xr:uid="{49FD2AE5-90C7-4C25-A66B-41C1D90983FD}"/>
    <cellStyle name="Normal 4 2 2 7 2 6" xfId="12383" xr:uid="{F3ACD345-24E7-4CF3-BE1C-E1C8B7DBCFE3}"/>
    <cellStyle name="Normal 4 2 2 7 3" xfId="5129" xr:uid="{00000000-0005-0000-0000-000021130000}"/>
    <cellStyle name="Normal 4 2 2 7 3 2" xfId="40647" xr:uid="{92A9EBEA-062B-4A2E-8EF4-DE3B25031A80}"/>
    <cellStyle name="Normal 4 2 2 7 3 3" xfId="32200" xr:uid="{5AA79815-EC9A-4F2B-9119-ABAF476B0D08}"/>
    <cellStyle name="Normal 4 2 2 7 3 4" xfId="23752" xr:uid="{53E646B9-BD85-400B-9105-6E98B87F4957}"/>
    <cellStyle name="Normal 4 2 2 7 3 5" xfId="14455" xr:uid="{C0CAD85C-9C48-4EB2-950A-783F22A69745}"/>
    <cellStyle name="Normal 4 2 2 7 4" xfId="9174" xr:uid="{5FB177AF-8B2E-4B7E-A1B7-4F6E323AF880}"/>
    <cellStyle name="Normal 4 2 2 7 4 2" xfId="36430" xr:uid="{5A94E4E1-471F-4E65-838E-8048A1177B55}"/>
    <cellStyle name="Normal 4 2 2 7 4 3" xfId="18490" xr:uid="{198C982D-2C3F-4D9D-BA27-395434AEAA3A}"/>
    <cellStyle name="Normal 4 2 2 7 5" xfId="27982" xr:uid="{AC92B84A-E345-4056-9455-9902C8DEBEA3}"/>
    <cellStyle name="Normal 4 2 2 7 6" xfId="19535" xr:uid="{14D5D805-0931-44E9-AD83-CB2E7C480B75}"/>
    <cellStyle name="Normal 4 2 2 7 7" xfId="10238" xr:uid="{DD0934ED-11E0-499F-B5AB-27CBD16D4438}"/>
    <cellStyle name="Normal 4 2 2 8" xfId="1235" xr:uid="{00000000-0005-0000-0000-000022130000}"/>
    <cellStyle name="Normal 4 2 2 8 2" xfId="3465" xr:uid="{00000000-0005-0000-0000-000023130000}"/>
    <cellStyle name="Normal 4 2 2 8 2 2" xfId="7687" xr:uid="{00000000-0005-0000-0000-000024130000}"/>
    <cellStyle name="Normal 4 2 2 8 2 2 2" xfId="43205" xr:uid="{C4840180-81CF-46A6-9786-6784452CFBC4}"/>
    <cellStyle name="Normal 4 2 2 8 2 2 3" xfId="34758" xr:uid="{549AC2A0-BFE9-4B2B-B849-F7BDED373BBE}"/>
    <cellStyle name="Normal 4 2 2 8 2 2 4" xfId="26310" xr:uid="{F4991C01-ED85-4C6F-A6CA-E76AFDD0CA83}"/>
    <cellStyle name="Normal 4 2 2 8 2 2 5" xfId="17013" xr:uid="{158B6A62-1868-475F-8CF7-6F642F854E8F}"/>
    <cellStyle name="Normal 4 2 2 8 2 3" xfId="38988" xr:uid="{11E98336-C5BA-4685-A8E9-7FDC0EB972CB}"/>
    <cellStyle name="Normal 4 2 2 8 2 4" xfId="30540" xr:uid="{FD029911-E57E-48DA-B920-4ECFC14C8105}"/>
    <cellStyle name="Normal 4 2 2 8 2 5" xfId="22093" xr:uid="{598FBB88-609A-42C0-93D3-508A828C3597}"/>
    <cellStyle name="Normal 4 2 2 8 2 6" xfId="12796" xr:uid="{5AF5CB58-61CB-4A54-8B72-916BA085A1E8}"/>
    <cellStyle name="Normal 4 2 2 8 3" xfId="5542" xr:uid="{00000000-0005-0000-0000-000025130000}"/>
    <cellStyle name="Normal 4 2 2 8 3 2" xfId="41060" xr:uid="{5989AB49-340E-4482-933E-D563AFDA525F}"/>
    <cellStyle name="Normal 4 2 2 8 3 3" xfId="32613" xr:uid="{E3BB2485-4B94-4170-ADFF-A088913E05AA}"/>
    <cellStyle name="Normal 4 2 2 8 3 4" xfId="24165" xr:uid="{3864BBF0-3D23-448F-B53E-285593F83924}"/>
    <cellStyle name="Normal 4 2 2 8 3 5" xfId="14868" xr:uid="{F99CE1F8-09C6-449A-B1A4-0556C1E170B8}"/>
    <cellStyle name="Normal 4 2 2 8 4" xfId="36843" xr:uid="{751A12AB-C121-4FB3-9ED7-CCFF080FC068}"/>
    <cellStyle name="Normal 4 2 2 8 5" xfId="28395" xr:uid="{3ECA0F92-79AD-443B-8F0D-61B805F0A201}"/>
    <cellStyle name="Normal 4 2 2 8 6" xfId="19948" xr:uid="{7C64FE7F-6ACE-4AC9-AAAB-978D72F73E99}"/>
    <cellStyle name="Normal 4 2 2 8 7" xfId="10651" xr:uid="{E7181233-68E9-42E0-AFDA-E07B64BC93CA}"/>
    <cellStyle name="Normal 4 2 2 9" xfId="1648" xr:uid="{00000000-0005-0000-0000-000026130000}"/>
    <cellStyle name="Normal 4 2 2 9 2" xfId="3878" xr:uid="{00000000-0005-0000-0000-000027130000}"/>
    <cellStyle name="Normal 4 2 2 9 2 2" xfId="8100" xr:uid="{00000000-0005-0000-0000-000028130000}"/>
    <cellStyle name="Normal 4 2 2 9 2 2 2" xfId="43618" xr:uid="{24280041-E7D2-468A-8300-53193C4655F0}"/>
    <cellStyle name="Normal 4 2 2 9 2 2 3" xfId="35171" xr:uid="{97E9A05F-29D8-4466-AD0A-66454598A0D9}"/>
    <cellStyle name="Normal 4 2 2 9 2 2 4" xfId="26723" xr:uid="{EDB7EF50-4B75-49FE-AA50-A7F741670B6F}"/>
    <cellStyle name="Normal 4 2 2 9 2 2 5" xfId="17426" xr:uid="{4E45C523-FF7E-4482-A176-193F4E1CFAE6}"/>
    <cellStyle name="Normal 4 2 2 9 2 3" xfId="39401" xr:uid="{0DDE6586-4A40-479C-A905-B76A753203D2}"/>
    <cellStyle name="Normal 4 2 2 9 2 4" xfId="30953" xr:uid="{90849F50-5637-4227-A0AC-D481864B616D}"/>
    <cellStyle name="Normal 4 2 2 9 2 5" xfId="22506" xr:uid="{9259B450-44EE-4554-94DD-FDB51BB03BB6}"/>
    <cellStyle name="Normal 4 2 2 9 2 6" xfId="13209" xr:uid="{23BEB995-44F3-48C5-B26A-F16BA206409A}"/>
    <cellStyle name="Normal 4 2 2 9 3" xfId="5955" xr:uid="{00000000-0005-0000-0000-000029130000}"/>
    <cellStyle name="Normal 4 2 2 9 3 2" xfId="41473" xr:uid="{19742386-1E7F-4B75-9CE4-580E7F4B00BB}"/>
    <cellStyle name="Normal 4 2 2 9 3 3" xfId="33026" xr:uid="{6256EEEF-8FD9-4BD4-9620-352B10981A80}"/>
    <cellStyle name="Normal 4 2 2 9 3 4" xfId="24578" xr:uid="{0F8CCF66-D265-44EF-9734-EF81739296F2}"/>
    <cellStyle name="Normal 4 2 2 9 3 5" xfId="15281" xr:uid="{B876F028-8288-471B-A0A8-6F31B36CD765}"/>
    <cellStyle name="Normal 4 2 2 9 4" xfId="37256" xr:uid="{11C98779-BC57-40AB-9562-6E01BD3AB3C3}"/>
    <cellStyle name="Normal 4 2 2 9 5" xfId="28808" xr:uid="{2C701DA5-460E-464E-901F-1C38415B8819}"/>
    <cellStyle name="Normal 4 2 2 9 6" xfId="20361" xr:uid="{5DA38474-0642-4A2B-B55C-99486B7E67C5}"/>
    <cellStyle name="Normal 4 2 2 9 7" xfId="11064" xr:uid="{B2B4AAD3-FDB3-402A-AD45-C194E4D06083}"/>
    <cellStyle name="Normal 4 2 3" xfId="354" xr:uid="{00000000-0005-0000-0000-00002A130000}"/>
    <cellStyle name="Normal 4 2 4" xfId="355" xr:uid="{00000000-0005-0000-0000-00002B130000}"/>
    <cellStyle name="Normal 4 2 4 10" xfId="4732" xr:uid="{00000000-0005-0000-0000-00002C130000}"/>
    <cellStyle name="Normal 4 2 4 10 2" xfId="40250" xr:uid="{FD5FA886-9F73-47BD-A336-94DCEEE3627A}"/>
    <cellStyle name="Normal 4 2 4 10 3" xfId="31803" xr:uid="{6F1FD18D-F1FD-4676-87EC-24C2841ECC1E}"/>
    <cellStyle name="Normal 4 2 4 10 4" xfId="23355" xr:uid="{8572BC52-FC9B-450C-B33C-C9E4AD56DBAD}"/>
    <cellStyle name="Normal 4 2 4 10 5" xfId="14058" xr:uid="{14EB4040-5FEC-4B6C-BEEA-3E4FD3ABC39A}"/>
    <cellStyle name="Normal 4 2 4 11" xfId="8775" xr:uid="{7AC259AB-9C32-4DC1-A787-2E2187A7C2D6}"/>
    <cellStyle name="Normal 4 2 4 11 2" xfId="36033" xr:uid="{091EE62C-0035-4769-A180-4D49376E3A1B}"/>
    <cellStyle name="Normal 4 2 4 11 3" xfId="18098" xr:uid="{A5477E04-DB1B-41D1-860D-77E60EC22DC6}"/>
    <cellStyle name="Normal 4 2 4 12" xfId="27585" xr:uid="{35E1677A-013D-4131-97B9-5B9AA299759F}"/>
    <cellStyle name="Normal 4 2 4 13" xfId="19138" xr:uid="{0F9AF9AE-8B2E-49E1-B6D5-F82A36074A1E}"/>
    <cellStyle name="Normal 4 2 4 14" xfId="9841" xr:uid="{B819E282-6278-4067-AF45-41AE131578C6}"/>
    <cellStyle name="Normal 4 2 4 2" xfId="356" xr:uid="{00000000-0005-0000-0000-00002D130000}"/>
    <cellStyle name="Normal 4 2 4 2 10" xfId="8820" xr:uid="{8B50D4F4-4786-467C-8322-69D665B73C2B}"/>
    <cellStyle name="Normal 4 2 4 2 10 2" xfId="36034" xr:uid="{C16BE936-AA26-4962-9321-E390A1BDBAB5}"/>
    <cellStyle name="Normal 4 2 4 2 10 3" xfId="18143" xr:uid="{B5EBCCA6-779C-4734-8C43-EBACA8AF8D99}"/>
    <cellStyle name="Normal 4 2 4 2 11" xfId="27586" xr:uid="{5CC704F9-F7D8-4768-8AC6-3F5094958485}"/>
    <cellStyle name="Normal 4 2 4 2 12" xfId="19139" xr:uid="{C103BA8F-0448-4257-B0C5-DFFF25E9F591}"/>
    <cellStyle name="Normal 4 2 4 2 13" xfId="9842" xr:uid="{B6CA0AC2-D130-4A3C-BB44-8B0E429F0937}"/>
    <cellStyle name="Normal 4 2 4 2 2" xfId="357" xr:uid="{00000000-0005-0000-0000-00002E130000}"/>
    <cellStyle name="Normal 4 2 4 2 2 10" xfId="27587" xr:uid="{0ED0216C-12C9-4847-A6EF-A4C4995D0F61}"/>
    <cellStyle name="Normal 4 2 4 2 2 11" xfId="19140" xr:uid="{5C00886A-772F-4202-8494-EAF62F80B987}"/>
    <cellStyle name="Normal 4 2 4 2 2 12" xfId="9843" xr:uid="{E3D0EF4A-93C8-4980-9F02-DEFDFF07638B}"/>
    <cellStyle name="Normal 4 2 4 2 2 2" xfId="358" xr:uid="{00000000-0005-0000-0000-00002F130000}"/>
    <cellStyle name="Normal 4 2 4 2 2 2 10" xfId="19141" xr:uid="{D461E689-8B68-4D30-8035-1B8DC5A05D7E}"/>
    <cellStyle name="Normal 4 2 4 2 2 2 11" xfId="9844" xr:uid="{ACC1A57C-4D69-490A-8D0F-628F6D8B5B3D}"/>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42811" xr:uid="{9C5DEB0B-F264-4F91-9E0F-7951EBD088F9}"/>
    <cellStyle name="Normal 4 2 4 2 2 2 2 2 2 3" xfId="34364" xr:uid="{3D1F004A-C346-49A9-AB17-4A860B23A463}"/>
    <cellStyle name="Normal 4 2 4 2 2 2 2 2 2 4" xfId="25916" xr:uid="{E2E2EC28-4644-445F-A164-F03484E545E1}"/>
    <cellStyle name="Normal 4 2 4 2 2 2 2 2 2 5" xfId="16619" xr:uid="{01CC82B5-B781-410B-AAD4-687936A247F7}"/>
    <cellStyle name="Normal 4 2 4 2 2 2 2 2 3" xfId="38594" xr:uid="{2DBE6DD7-680C-4F92-A097-39AF5443EB91}"/>
    <cellStyle name="Normal 4 2 4 2 2 2 2 2 4" xfId="30146" xr:uid="{CEAF0604-5FC8-42B3-8941-9E0599CCA798}"/>
    <cellStyle name="Normal 4 2 4 2 2 2 2 2 5" xfId="21699" xr:uid="{12F45E7F-BD40-49F6-8CF5-4EAB1EDB7120}"/>
    <cellStyle name="Normal 4 2 4 2 2 2 2 2 6" xfId="12402" xr:uid="{C166F450-FB7E-42DC-8575-FE9DF76266EC}"/>
    <cellStyle name="Normal 4 2 4 2 2 2 2 3" xfId="5148" xr:uid="{00000000-0005-0000-0000-000033130000}"/>
    <cellStyle name="Normal 4 2 4 2 2 2 2 3 2" xfId="40666" xr:uid="{CCC4008C-F5AC-47FC-8CB9-22E1E478FDD0}"/>
    <cellStyle name="Normal 4 2 4 2 2 2 2 3 3" xfId="32219" xr:uid="{FA977D5D-AE0D-469B-83B9-0AC80BA1DB16}"/>
    <cellStyle name="Normal 4 2 4 2 2 2 2 3 4" xfId="23771" xr:uid="{DB34842C-03C3-46FD-B60A-772707D7E354}"/>
    <cellStyle name="Normal 4 2 4 2 2 2 2 3 5" xfId="14474" xr:uid="{24E7E178-2D3A-46BC-A156-937D85E5F23C}"/>
    <cellStyle name="Normal 4 2 4 2 2 2 2 4" xfId="9555" xr:uid="{31AE7BD4-4F26-4658-9939-15FCE733560E}"/>
    <cellStyle name="Normal 4 2 4 2 2 2 2 4 2" xfId="36449" xr:uid="{A3C70A17-8BF0-43E5-A23D-AA9D3FC93458}"/>
    <cellStyle name="Normal 4 2 4 2 2 2 2 4 3" xfId="18868" xr:uid="{760BBA7C-67B7-427B-A690-ACF84D33D2BF}"/>
    <cellStyle name="Normal 4 2 4 2 2 2 2 5" xfId="28001" xr:uid="{A04C7A1F-9513-4132-BCA1-F0D1B50EADB9}"/>
    <cellStyle name="Normal 4 2 4 2 2 2 2 6" xfId="19554" xr:uid="{ADACDA92-5CB3-4672-9A3E-D6358EE0F5D6}"/>
    <cellStyle name="Normal 4 2 4 2 2 2 2 7" xfId="10257" xr:uid="{7489D2B3-D0F8-472D-9CCE-D0B185C0785F}"/>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43224" xr:uid="{9A9FEE5E-4349-482B-9094-3D975AF97790}"/>
    <cellStyle name="Normal 4 2 4 2 2 2 3 2 2 3" xfId="34777" xr:uid="{D74B78EF-6D0B-4004-BE68-708626BE530E}"/>
    <cellStyle name="Normal 4 2 4 2 2 2 3 2 2 4" xfId="26329" xr:uid="{08DF5C04-4463-49FB-B17A-08A39EEA7BA9}"/>
    <cellStyle name="Normal 4 2 4 2 2 2 3 2 2 5" xfId="17032" xr:uid="{0B7821AF-7F24-4C58-AF22-E957A3696CF4}"/>
    <cellStyle name="Normal 4 2 4 2 2 2 3 2 3" xfId="39007" xr:uid="{0905DD43-9234-4680-B34D-DBBF81128F96}"/>
    <cellStyle name="Normal 4 2 4 2 2 2 3 2 4" xfId="30559" xr:uid="{18BDC49E-B1CC-4AD8-BA9D-38B75E919E2D}"/>
    <cellStyle name="Normal 4 2 4 2 2 2 3 2 5" xfId="22112" xr:uid="{768070E1-C111-49C2-9821-727CEDCF1415}"/>
    <cellStyle name="Normal 4 2 4 2 2 2 3 2 6" xfId="12815" xr:uid="{2146C5CA-CB27-4579-A7D9-EC0DF6AD7263}"/>
    <cellStyle name="Normal 4 2 4 2 2 2 3 3" xfId="5561" xr:uid="{00000000-0005-0000-0000-000037130000}"/>
    <cellStyle name="Normal 4 2 4 2 2 2 3 3 2" xfId="41079" xr:uid="{EDBE1AF3-7E68-4B1B-B034-F96E006D515F}"/>
    <cellStyle name="Normal 4 2 4 2 2 2 3 3 3" xfId="32632" xr:uid="{C7333AE2-420E-4F58-99E8-08EF74D682FA}"/>
    <cellStyle name="Normal 4 2 4 2 2 2 3 3 4" xfId="24184" xr:uid="{5493F187-68B7-4A8C-83A6-B3F04A55CCE5}"/>
    <cellStyle name="Normal 4 2 4 2 2 2 3 3 5" xfId="14887" xr:uid="{77167E5F-F473-47EB-8A11-B85A87EDA0CD}"/>
    <cellStyle name="Normal 4 2 4 2 2 2 3 4" xfId="36862" xr:uid="{3076EA17-0B25-47AC-9463-FE6BCA8317ED}"/>
    <cellStyle name="Normal 4 2 4 2 2 2 3 5" xfId="28414" xr:uid="{C3648702-CA62-42E6-B716-C2703C8BA5E8}"/>
    <cellStyle name="Normal 4 2 4 2 2 2 3 6" xfId="19967" xr:uid="{94B3D1EE-F698-4C27-B73A-4517C2DA8545}"/>
    <cellStyle name="Normal 4 2 4 2 2 2 3 7" xfId="10670" xr:uid="{F1F432DA-55A7-42E1-9DDC-E1199C3AD13E}"/>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43637" xr:uid="{04C396FC-275E-4E11-9C5E-548A3009906E}"/>
    <cellStyle name="Normal 4 2 4 2 2 2 4 2 2 3" xfId="35190" xr:uid="{3BD167D3-3B49-4BBA-98C6-E5EF9B888720}"/>
    <cellStyle name="Normal 4 2 4 2 2 2 4 2 2 4" xfId="26742" xr:uid="{3709811B-EF02-40EA-992C-E0A9E7BFC25A}"/>
    <cellStyle name="Normal 4 2 4 2 2 2 4 2 2 5" xfId="17445" xr:uid="{8D1227F1-1404-4781-9D8C-838896D6E23C}"/>
    <cellStyle name="Normal 4 2 4 2 2 2 4 2 3" xfId="39420" xr:uid="{DDA7F7FB-47F5-42BA-89DB-20839F155849}"/>
    <cellStyle name="Normal 4 2 4 2 2 2 4 2 4" xfId="30972" xr:uid="{4BB922A6-BD22-43E6-951B-4824A5AE1A13}"/>
    <cellStyle name="Normal 4 2 4 2 2 2 4 2 5" xfId="22525" xr:uid="{99981EED-943C-4258-95B9-1D5F0468BA84}"/>
    <cellStyle name="Normal 4 2 4 2 2 2 4 2 6" xfId="13228" xr:uid="{31DDFB78-75AD-4FA7-A1D6-E5EEA3E48062}"/>
    <cellStyle name="Normal 4 2 4 2 2 2 4 3" xfId="5974" xr:uid="{00000000-0005-0000-0000-00003B130000}"/>
    <cellStyle name="Normal 4 2 4 2 2 2 4 3 2" xfId="41492" xr:uid="{DC0C9F24-1106-4F01-9CCC-C49037B2A901}"/>
    <cellStyle name="Normal 4 2 4 2 2 2 4 3 3" xfId="33045" xr:uid="{004AE05A-3836-48B5-924C-1613EA3A488A}"/>
    <cellStyle name="Normal 4 2 4 2 2 2 4 3 4" xfId="24597" xr:uid="{B95420B6-4AD0-4B4C-91A9-59E99B3474E4}"/>
    <cellStyle name="Normal 4 2 4 2 2 2 4 3 5" xfId="15300" xr:uid="{575F8428-0F55-4F53-83F5-B905F602D391}"/>
    <cellStyle name="Normal 4 2 4 2 2 2 4 4" xfId="37275" xr:uid="{238FFB93-768E-430B-8A5D-D45FB99DEE12}"/>
    <cellStyle name="Normal 4 2 4 2 2 2 4 5" xfId="28827" xr:uid="{5E70A0D0-30E2-428C-9115-4E04C1919540}"/>
    <cellStyle name="Normal 4 2 4 2 2 2 4 6" xfId="20380" xr:uid="{A079225E-45DC-4076-82C2-3379437B6E59}"/>
    <cellStyle name="Normal 4 2 4 2 2 2 4 7" xfId="11083" xr:uid="{546AA124-3E20-41E6-B129-A60D86EEF80E}"/>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44050" xr:uid="{174E9EFE-8821-480F-9FD8-51FC6853C9AD}"/>
    <cellStyle name="Normal 4 2 4 2 2 2 5 2 2 3" xfId="35603" xr:uid="{A7AAF681-B2D3-4EDA-9B46-49C1621676DC}"/>
    <cellStyle name="Normal 4 2 4 2 2 2 5 2 2 4" xfId="27155" xr:uid="{2F7301B5-D122-4D1A-8802-0A4B1554B8D8}"/>
    <cellStyle name="Normal 4 2 4 2 2 2 5 2 2 5" xfId="17858" xr:uid="{FCB9D4E7-2E12-465D-8299-8CF4991F54F6}"/>
    <cellStyle name="Normal 4 2 4 2 2 2 5 2 3" xfId="39833" xr:uid="{C051ED78-765E-4B5C-8A64-0890F720F4BF}"/>
    <cellStyle name="Normal 4 2 4 2 2 2 5 2 4" xfId="31385" xr:uid="{524B9903-F798-4EEE-B028-EE58CA990E5C}"/>
    <cellStyle name="Normal 4 2 4 2 2 2 5 2 5" xfId="22938" xr:uid="{A92B9721-EAD1-4CD1-8627-71BE6F316CF3}"/>
    <cellStyle name="Normal 4 2 4 2 2 2 5 2 6" xfId="13641" xr:uid="{E407CE40-B623-4D01-8881-EBDF71592574}"/>
    <cellStyle name="Normal 4 2 4 2 2 2 5 3" xfId="6387" xr:uid="{00000000-0005-0000-0000-00003F130000}"/>
    <cellStyle name="Normal 4 2 4 2 2 2 5 3 2" xfId="41905" xr:uid="{42C2537E-AF17-4D89-B2A9-3821B5D02AD6}"/>
    <cellStyle name="Normal 4 2 4 2 2 2 5 3 3" xfId="33458" xr:uid="{83611F74-00D6-45F1-B49D-68B666A56C3C}"/>
    <cellStyle name="Normal 4 2 4 2 2 2 5 3 4" xfId="25010" xr:uid="{FE31898E-E2F0-4F44-9054-C28A87F9819D}"/>
    <cellStyle name="Normal 4 2 4 2 2 2 5 3 5" xfId="15713" xr:uid="{A55CACD9-E8C5-47B7-B3B3-36C778334017}"/>
    <cellStyle name="Normal 4 2 4 2 2 2 5 4" xfId="37688" xr:uid="{A872339C-B45C-4D9D-8B8A-DFD49CE082D7}"/>
    <cellStyle name="Normal 4 2 4 2 2 2 5 5" xfId="29240" xr:uid="{F067606C-27E5-42AE-8E18-F4A536F0FE45}"/>
    <cellStyle name="Normal 4 2 4 2 2 2 5 6" xfId="20793" xr:uid="{330C605B-A5FF-48B9-A33C-32C6C4DB4C77}"/>
    <cellStyle name="Normal 4 2 4 2 2 2 5 7" xfId="11496" xr:uid="{F759793E-FE90-430F-A2A5-FB5C77644AFB}"/>
    <cellStyle name="Normal 4 2 4 2 2 2 6" xfId="2517" xr:uid="{00000000-0005-0000-0000-000040130000}"/>
    <cellStyle name="Normal 4 2 4 2 2 2 6 2" xfId="6800" xr:uid="{00000000-0005-0000-0000-000041130000}"/>
    <cellStyle name="Normal 4 2 4 2 2 2 6 2 2" xfId="42318" xr:uid="{E20E00B2-BF63-4E70-95C7-BAAE8A1DAAAF}"/>
    <cellStyle name="Normal 4 2 4 2 2 2 6 2 3" xfId="33871" xr:uid="{03963BC5-94E4-4E1C-A7D0-A19E2F670DC2}"/>
    <cellStyle name="Normal 4 2 4 2 2 2 6 2 4" xfId="25423" xr:uid="{5312FDE9-F780-4286-A9D0-D4A9DA53A484}"/>
    <cellStyle name="Normal 4 2 4 2 2 2 6 2 5" xfId="16126" xr:uid="{A22EB1A3-C6D6-405D-A2E4-B113DB7120BE}"/>
    <cellStyle name="Normal 4 2 4 2 2 2 6 3" xfId="38101" xr:uid="{22667FD4-5A66-4828-8F2A-CC0C89F88E61}"/>
    <cellStyle name="Normal 4 2 4 2 2 2 6 4" xfId="29653" xr:uid="{84BDA0B7-F4B3-456C-B090-802C238685D5}"/>
    <cellStyle name="Normal 4 2 4 2 2 2 6 5" xfId="21206" xr:uid="{C53BB4B7-1AA9-4D80-88E4-EE67EBE29896}"/>
    <cellStyle name="Normal 4 2 4 2 2 2 6 6" xfId="11909" xr:uid="{15A07517-651F-4075-BB4E-CF04FE00A4B3}"/>
    <cellStyle name="Normal 4 2 4 2 2 2 7" xfId="4735" xr:uid="{00000000-0005-0000-0000-000042130000}"/>
    <cellStyle name="Normal 4 2 4 2 2 2 7 2" xfId="40253" xr:uid="{AB88487D-5CBD-48FC-B209-4F6A920E436F}"/>
    <cellStyle name="Normal 4 2 4 2 2 2 7 3" xfId="31806" xr:uid="{1AC2F3BB-917D-4A87-8214-E2736870275D}"/>
    <cellStyle name="Normal 4 2 4 2 2 2 7 4" xfId="23358" xr:uid="{EBC561BB-941B-40E1-9E88-A5358D6334A1}"/>
    <cellStyle name="Normal 4 2 4 2 2 2 7 5" xfId="14061" xr:uid="{7889AD71-9B48-48C9-9570-4D45F679303C}"/>
    <cellStyle name="Normal 4 2 4 2 2 2 8" xfId="9130" xr:uid="{E4AAEB37-D6CE-4BD9-A166-BE52F754DAC4}"/>
    <cellStyle name="Normal 4 2 4 2 2 2 8 2" xfId="36036" xr:uid="{BFE082FB-77D9-42FC-8EA8-AC690516E02C}"/>
    <cellStyle name="Normal 4 2 4 2 2 2 8 3" xfId="18453" xr:uid="{5AECAEEE-413C-4ABD-B6D8-0601906BD224}"/>
    <cellStyle name="Normal 4 2 4 2 2 2 9" xfId="27588" xr:uid="{6E940943-4BFF-4BC1-A915-5EAD64DBF8A1}"/>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42810" xr:uid="{131D2C72-A657-4719-8C4D-2040E3CAF147}"/>
    <cellStyle name="Normal 4 2 4 2 2 3 2 2 3" xfId="34363" xr:uid="{6401E1E1-84AA-4D22-89BB-052A51CC422A}"/>
    <cellStyle name="Normal 4 2 4 2 2 3 2 2 4" xfId="25915" xr:uid="{12C7C28E-1E3B-41F3-96EC-ACDFDBE58A81}"/>
    <cellStyle name="Normal 4 2 4 2 2 3 2 2 5" xfId="16618" xr:uid="{2545F230-9F08-4C13-BEDA-99978EFA8F7A}"/>
    <cellStyle name="Normal 4 2 4 2 2 3 2 3" xfId="38593" xr:uid="{17187EDA-7CE4-4484-A7EA-9C60F5CD5950}"/>
    <cellStyle name="Normal 4 2 4 2 2 3 2 4" xfId="30145" xr:uid="{4A09A877-4359-4E7A-8A78-47B547767773}"/>
    <cellStyle name="Normal 4 2 4 2 2 3 2 5" xfId="21698" xr:uid="{E09A576A-33B3-44CE-BA7D-177A54911BA1}"/>
    <cellStyle name="Normal 4 2 4 2 2 3 2 6" xfId="12401" xr:uid="{D122E885-614A-4988-814A-459F89189D9C}"/>
    <cellStyle name="Normal 4 2 4 2 2 3 3" xfId="5147" xr:uid="{00000000-0005-0000-0000-000046130000}"/>
    <cellStyle name="Normal 4 2 4 2 2 3 3 2" xfId="40665" xr:uid="{971130B5-9485-442B-9E56-2EFC9EEA3B5E}"/>
    <cellStyle name="Normal 4 2 4 2 2 3 3 3" xfId="32218" xr:uid="{EB4D0825-318E-4A20-8713-7F2007F37770}"/>
    <cellStyle name="Normal 4 2 4 2 2 3 3 4" xfId="23770" xr:uid="{2E7A3C12-F0FE-4CC0-8C4C-C0952B1C9904}"/>
    <cellStyle name="Normal 4 2 4 2 2 3 3 5" xfId="14473" xr:uid="{E9D47228-BD92-40E5-944D-4C9F7282873A}"/>
    <cellStyle name="Normal 4 2 4 2 2 3 4" xfId="9348" xr:uid="{E9E52CF6-B3CF-482F-B496-A22B0452951D}"/>
    <cellStyle name="Normal 4 2 4 2 2 3 4 2" xfId="36448" xr:uid="{467FC90A-8207-4C1E-9B99-BC2F24BB8D88}"/>
    <cellStyle name="Normal 4 2 4 2 2 3 4 3" xfId="18661" xr:uid="{823F679B-CBCA-4B23-B3CB-F157C68EF505}"/>
    <cellStyle name="Normal 4 2 4 2 2 3 5" xfId="28000" xr:uid="{648DAF01-3EA0-47E7-B89A-FB1B06BD13B6}"/>
    <cellStyle name="Normal 4 2 4 2 2 3 6" xfId="19553" xr:uid="{BD96818D-9F6B-4398-A18C-41BAA789E5F1}"/>
    <cellStyle name="Normal 4 2 4 2 2 3 7" xfId="10256" xr:uid="{C06C69CB-8FF6-4D68-95A9-1CE8BC37AB8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43223" xr:uid="{5B56DA0D-63A1-49B0-95D1-555440FD92FD}"/>
    <cellStyle name="Normal 4 2 4 2 2 4 2 2 3" xfId="34776" xr:uid="{F97B665D-A035-4049-B032-7A42DD6388D6}"/>
    <cellStyle name="Normal 4 2 4 2 2 4 2 2 4" xfId="26328" xr:uid="{348044C8-C5F1-465B-A327-C1E2E8781A8D}"/>
    <cellStyle name="Normal 4 2 4 2 2 4 2 2 5" xfId="17031" xr:uid="{6F7F273B-CECA-4B62-B3D8-33E284EF23A5}"/>
    <cellStyle name="Normal 4 2 4 2 2 4 2 3" xfId="39006" xr:uid="{640A28F9-3AA0-4A8F-ABD8-971CED61F586}"/>
    <cellStyle name="Normal 4 2 4 2 2 4 2 4" xfId="30558" xr:uid="{38DC0BBE-AB21-48A3-9546-40E4BD03A3D4}"/>
    <cellStyle name="Normal 4 2 4 2 2 4 2 5" xfId="22111" xr:uid="{1BCF8C28-7FEE-43BA-BC3B-294000E11655}"/>
    <cellStyle name="Normal 4 2 4 2 2 4 2 6" xfId="12814" xr:uid="{5E218780-F697-4A90-AA23-ABE4F04BB4C9}"/>
    <cellStyle name="Normal 4 2 4 2 2 4 3" xfId="5560" xr:uid="{00000000-0005-0000-0000-00004A130000}"/>
    <cellStyle name="Normal 4 2 4 2 2 4 3 2" xfId="41078" xr:uid="{87094A3B-FDA5-4FA0-A01B-EA0459384958}"/>
    <cellStyle name="Normal 4 2 4 2 2 4 3 3" xfId="32631" xr:uid="{EC141BE5-701E-48CA-8987-9DC71F36E67B}"/>
    <cellStyle name="Normal 4 2 4 2 2 4 3 4" xfId="24183" xr:uid="{CF9A205B-D398-4B38-ACE4-10FF7679CCE5}"/>
    <cellStyle name="Normal 4 2 4 2 2 4 3 5" xfId="14886" xr:uid="{7FAEC721-1B25-47F2-A9D2-BA24FF1B373D}"/>
    <cellStyle name="Normal 4 2 4 2 2 4 4" xfId="36861" xr:uid="{C5D7129C-46FE-41F9-B602-E217C6B25378}"/>
    <cellStyle name="Normal 4 2 4 2 2 4 5" xfId="28413" xr:uid="{4224BCF2-03B0-4EC5-9DE5-AC9CBD3D5E6B}"/>
    <cellStyle name="Normal 4 2 4 2 2 4 6" xfId="19966" xr:uid="{7FA4C96B-4DEC-44E2-95AF-8A6277227705}"/>
    <cellStyle name="Normal 4 2 4 2 2 4 7" xfId="10669" xr:uid="{6D6CE514-30DC-417D-A1CD-813BFB89246A}"/>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43636" xr:uid="{E9E1A8A2-F9FD-4AE0-BE96-1A73D937E233}"/>
    <cellStyle name="Normal 4 2 4 2 2 5 2 2 3" xfId="35189" xr:uid="{B0AED121-D9FD-4ACC-A578-CA0183BB49D7}"/>
    <cellStyle name="Normal 4 2 4 2 2 5 2 2 4" xfId="26741" xr:uid="{574BF2E0-8C7A-4BA2-92DD-ED99576D5F33}"/>
    <cellStyle name="Normal 4 2 4 2 2 5 2 2 5" xfId="17444" xr:uid="{E494F19B-013C-4CAA-A2BD-F6808C1E7082}"/>
    <cellStyle name="Normal 4 2 4 2 2 5 2 3" xfId="39419" xr:uid="{079A17C2-707A-4C4E-884D-1D5595A6642B}"/>
    <cellStyle name="Normal 4 2 4 2 2 5 2 4" xfId="30971" xr:uid="{0DDF8D45-4921-477D-BE74-26A9DD643E7C}"/>
    <cellStyle name="Normal 4 2 4 2 2 5 2 5" xfId="22524" xr:uid="{4E4E0606-AD0D-482D-B677-5CCCA52D61FE}"/>
    <cellStyle name="Normal 4 2 4 2 2 5 2 6" xfId="13227" xr:uid="{DD6F9536-3764-4104-BC89-8AE589D5A917}"/>
    <cellStyle name="Normal 4 2 4 2 2 5 3" xfId="5973" xr:uid="{00000000-0005-0000-0000-00004E130000}"/>
    <cellStyle name="Normal 4 2 4 2 2 5 3 2" xfId="41491" xr:uid="{6E3F7B40-868A-4D67-894A-976441B4DB7C}"/>
    <cellStyle name="Normal 4 2 4 2 2 5 3 3" xfId="33044" xr:uid="{C1C8F053-0B09-4113-B703-834D1BEC1968}"/>
    <cellStyle name="Normal 4 2 4 2 2 5 3 4" xfId="24596" xr:uid="{0CFED0EC-1736-4B4B-AF16-25F2454A12AD}"/>
    <cellStyle name="Normal 4 2 4 2 2 5 3 5" xfId="15299" xr:uid="{32DAE62C-D00E-4EBA-AE4F-89F66EA93AE0}"/>
    <cellStyle name="Normal 4 2 4 2 2 5 4" xfId="37274" xr:uid="{93CE554C-4C15-4A11-88B5-3A92326A5B42}"/>
    <cellStyle name="Normal 4 2 4 2 2 5 5" xfId="28826" xr:uid="{A33C84AF-70B9-4A50-AAF9-CBDA26C70D20}"/>
    <cellStyle name="Normal 4 2 4 2 2 5 6" xfId="20379" xr:uid="{168A71B9-83AC-46BC-8EEE-ABAA6D43657D}"/>
    <cellStyle name="Normal 4 2 4 2 2 5 7" xfId="11082" xr:uid="{D0021FD3-3CF1-4215-9762-59D42CA7A41F}"/>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44049" xr:uid="{ADA221D3-B6E7-4F4A-83C2-141797EB1C76}"/>
    <cellStyle name="Normal 4 2 4 2 2 6 2 2 3" xfId="35602" xr:uid="{34660F18-9F8B-45B6-AF60-93B222D05DB5}"/>
    <cellStyle name="Normal 4 2 4 2 2 6 2 2 4" xfId="27154" xr:uid="{BBE40C0B-BA2F-4AA9-B87C-E9E8D73862BB}"/>
    <cellStyle name="Normal 4 2 4 2 2 6 2 2 5" xfId="17857" xr:uid="{E4541ED0-F025-48CB-88DF-14A4CA2E49DE}"/>
    <cellStyle name="Normal 4 2 4 2 2 6 2 3" xfId="39832" xr:uid="{D6AF537E-57F2-45F2-BD89-79A158E92731}"/>
    <cellStyle name="Normal 4 2 4 2 2 6 2 4" xfId="31384" xr:uid="{A3106E06-A5DF-439C-8E2F-B95FE7869C55}"/>
    <cellStyle name="Normal 4 2 4 2 2 6 2 5" xfId="22937" xr:uid="{B3C3B11E-6997-42F0-A358-DF3AAFF5F845}"/>
    <cellStyle name="Normal 4 2 4 2 2 6 2 6" xfId="13640" xr:uid="{807B3928-B0B3-4803-B13B-151776850332}"/>
    <cellStyle name="Normal 4 2 4 2 2 6 3" xfId="6386" xr:uid="{00000000-0005-0000-0000-000052130000}"/>
    <cellStyle name="Normal 4 2 4 2 2 6 3 2" xfId="41904" xr:uid="{78592F85-7FED-4D76-8323-319BABEA3694}"/>
    <cellStyle name="Normal 4 2 4 2 2 6 3 3" xfId="33457" xr:uid="{D31AEE2B-C55D-40F9-AA32-4B05C94C2F97}"/>
    <cellStyle name="Normal 4 2 4 2 2 6 3 4" xfId="25009" xr:uid="{446F4A78-3FAE-44AC-9B87-B9CDBC5E2585}"/>
    <cellStyle name="Normal 4 2 4 2 2 6 3 5" xfId="15712" xr:uid="{923D2B9B-6183-4976-B365-7E7F37BF1AB4}"/>
    <cellStyle name="Normal 4 2 4 2 2 6 4" xfId="37687" xr:uid="{46146FD1-D543-4E0F-9D2D-07058CDE3BD7}"/>
    <cellStyle name="Normal 4 2 4 2 2 6 5" xfId="29239" xr:uid="{DCEBED78-9BB3-47C5-A7AD-229016FD23D9}"/>
    <cellStyle name="Normal 4 2 4 2 2 6 6" xfId="20792" xr:uid="{8B1679F2-08F4-4A24-82D2-8E20C6AB97AE}"/>
    <cellStyle name="Normal 4 2 4 2 2 6 7" xfId="11495" xr:uid="{04B1D2DC-8481-4E7A-8A1B-DE748BA7D037}"/>
    <cellStyle name="Normal 4 2 4 2 2 7" xfId="2516" xr:uid="{00000000-0005-0000-0000-000053130000}"/>
    <cellStyle name="Normal 4 2 4 2 2 7 2" xfId="6799" xr:uid="{00000000-0005-0000-0000-000054130000}"/>
    <cellStyle name="Normal 4 2 4 2 2 7 2 2" xfId="42317" xr:uid="{1DADAA95-E909-4DDA-86ED-D31241DD6668}"/>
    <cellStyle name="Normal 4 2 4 2 2 7 2 3" xfId="33870" xr:uid="{FC35DAF8-77FB-49C9-850C-EB70AF95D87C}"/>
    <cellStyle name="Normal 4 2 4 2 2 7 2 4" xfId="25422" xr:uid="{3E462993-9BD1-40AC-B1BC-9AA207D127CC}"/>
    <cellStyle name="Normal 4 2 4 2 2 7 2 5" xfId="16125" xr:uid="{CB7B7B96-F3D0-4E0F-83EA-B2A6D26388C9}"/>
    <cellStyle name="Normal 4 2 4 2 2 7 3" xfId="38100" xr:uid="{7E6E5E70-9936-482B-9942-F5D600CECFCF}"/>
    <cellStyle name="Normal 4 2 4 2 2 7 4" xfId="29652" xr:uid="{8819CF81-AF31-4BD8-AADA-F310E7944FCB}"/>
    <cellStyle name="Normal 4 2 4 2 2 7 5" xfId="21205" xr:uid="{D44C1DFB-9427-4F65-A976-41BB2B0D338F}"/>
    <cellStyle name="Normal 4 2 4 2 2 7 6" xfId="11908" xr:uid="{12DEFEE5-C1D4-4D08-8EE5-313608406D29}"/>
    <cellStyle name="Normal 4 2 4 2 2 8" xfId="4734" xr:uid="{00000000-0005-0000-0000-000055130000}"/>
    <cellStyle name="Normal 4 2 4 2 2 8 2" xfId="40252" xr:uid="{EBBBF6CD-4B89-4372-A2B4-1465C010AC6A}"/>
    <cellStyle name="Normal 4 2 4 2 2 8 3" xfId="31805" xr:uid="{746B8FA5-A32C-4F3B-83B7-60C2C94CC4F6}"/>
    <cellStyle name="Normal 4 2 4 2 2 8 4" xfId="23357" xr:uid="{3F275FC5-1F13-4BDD-B22A-09F049F73A95}"/>
    <cellStyle name="Normal 4 2 4 2 2 8 5" xfId="14060" xr:uid="{5E3E8C2A-FDDD-4D0E-8BC8-69C9A800699F}"/>
    <cellStyle name="Normal 4 2 4 2 2 9" xfId="8923" xr:uid="{2BBE6936-33B8-4624-9F85-2EE83C62ACB2}"/>
    <cellStyle name="Normal 4 2 4 2 2 9 2" xfId="36035" xr:uid="{11ED9292-DD39-425A-872A-7DB2C07545FC}"/>
    <cellStyle name="Normal 4 2 4 2 2 9 3" xfId="18246" xr:uid="{C9EA23C4-EFD1-4B94-9C93-C357DC7A3203}"/>
    <cellStyle name="Normal 4 2 4 2 3" xfId="359" xr:uid="{00000000-0005-0000-0000-000056130000}"/>
    <cellStyle name="Normal 4 2 4 2 3 10" xfId="19142" xr:uid="{7AC4DC9B-56DF-4A62-BA78-34DC483A59DC}"/>
    <cellStyle name="Normal 4 2 4 2 3 11" xfId="9845" xr:uid="{A9602754-AD36-4D6A-A27B-B8C2A0DFA437}"/>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42812" xr:uid="{F0834D7C-BF87-4C12-95D3-29FD796EB213}"/>
    <cellStyle name="Normal 4 2 4 2 3 2 2 2 3" xfId="34365" xr:uid="{1A198675-56A5-44F5-A048-9B3233B67B8E}"/>
    <cellStyle name="Normal 4 2 4 2 3 2 2 2 4" xfId="25917" xr:uid="{A334F730-31A9-4AEE-A2F9-7631DD22C338}"/>
    <cellStyle name="Normal 4 2 4 2 3 2 2 2 5" xfId="16620" xr:uid="{52D399B6-1A77-4839-BA9C-E60407BFB29C}"/>
    <cellStyle name="Normal 4 2 4 2 3 2 2 3" xfId="38595" xr:uid="{0E5C13E9-56C2-4AB0-8AB3-05E53A491919}"/>
    <cellStyle name="Normal 4 2 4 2 3 2 2 4" xfId="30147" xr:uid="{4B710C0A-EC62-4478-B56C-A2C40D631092}"/>
    <cellStyle name="Normal 4 2 4 2 3 2 2 5" xfId="21700" xr:uid="{1E4388EC-800D-46D9-B021-815005573FDC}"/>
    <cellStyle name="Normal 4 2 4 2 3 2 2 6" xfId="12403" xr:uid="{7ECFC2FF-D4AD-48A7-95F7-176DE92201E0}"/>
    <cellStyle name="Normal 4 2 4 2 3 2 3" xfId="5149" xr:uid="{00000000-0005-0000-0000-00005A130000}"/>
    <cellStyle name="Normal 4 2 4 2 3 2 3 2" xfId="40667" xr:uid="{D558E1F6-8F15-45D3-AA94-74CC793F92FC}"/>
    <cellStyle name="Normal 4 2 4 2 3 2 3 3" xfId="32220" xr:uid="{5E86457B-ED52-48B3-A986-3C56953C5161}"/>
    <cellStyle name="Normal 4 2 4 2 3 2 3 4" xfId="23772" xr:uid="{5326836C-9FA1-4C53-9BC0-47B0EC13E8C7}"/>
    <cellStyle name="Normal 4 2 4 2 3 2 3 5" xfId="14475" xr:uid="{01168952-780C-4CB4-A7AC-CA9F26A51B6E}"/>
    <cellStyle name="Normal 4 2 4 2 3 2 4" xfId="9452" xr:uid="{58F46659-8F00-4705-8554-54AEBE9B8A77}"/>
    <cellStyle name="Normal 4 2 4 2 3 2 4 2" xfId="36450" xr:uid="{E566C190-91ED-48B8-B56E-E1DBC7813845}"/>
    <cellStyle name="Normal 4 2 4 2 3 2 4 3" xfId="18765" xr:uid="{F60E36BA-1E87-43C9-BB41-71FAB79B8ED6}"/>
    <cellStyle name="Normal 4 2 4 2 3 2 5" xfId="28002" xr:uid="{701084D9-D48F-450C-A46A-20277986DF44}"/>
    <cellStyle name="Normal 4 2 4 2 3 2 6" xfId="19555" xr:uid="{A3AD7FC4-39F9-48F7-9D13-08580672BCD9}"/>
    <cellStyle name="Normal 4 2 4 2 3 2 7" xfId="10258" xr:uid="{189A56FD-5F42-47DB-B6DD-70A23CA8C02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43225" xr:uid="{D9773D86-C6CA-47C0-9FFB-29D8952F7254}"/>
    <cellStyle name="Normal 4 2 4 2 3 3 2 2 3" xfId="34778" xr:uid="{48AF7893-2153-4F09-8FD3-050F28E06D14}"/>
    <cellStyle name="Normal 4 2 4 2 3 3 2 2 4" xfId="26330" xr:uid="{3B9DB429-9F1E-4220-85A0-6F94D8DAB35A}"/>
    <cellStyle name="Normal 4 2 4 2 3 3 2 2 5" xfId="17033" xr:uid="{AE8B6705-734D-4445-9745-8894DEC9380D}"/>
    <cellStyle name="Normal 4 2 4 2 3 3 2 3" xfId="39008" xr:uid="{34DE25D6-1061-4EFB-A7E1-FF55581AD079}"/>
    <cellStyle name="Normal 4 2 4 2 3 3 2 4" xfId="30560" xr:uid="{5B906F77-F22F-4C61-8F6A-EA636171AB69}"/>
    <cellStyle name="Normal 4 2 4 2 3 3 2 5" xfId="22113" xr:uid="{070F71DC-2070-45AA-B378-5DAD7AF708F8}"/>
    <cellStyle name="Normal 4 2 4 2 3 3 2 6" xfId="12816" xr:uid="{4C95AB86-C091-4B27-A914-66B5385D9371}"/>
    <cellStyle name="Normal 4 2 4 2 3 3 3" xfId="5562" xr:uid="{00000000-0005-0000-0000-00005E130000}"/>
    <cellStyle name="Normal 4 2 4 2 3 3 3 2" xfId="41080" xr:uid="{CF726BC7-48D6-4895-9229-54F4DDDB734C}"/>
    <cellStyle name="Normal 4 2 4 2 3 3 3 3" xfId="32633" xr:uid="{C42223BA-707F-4143-8415-131101BA7CA4}"/>
    <cellStyle name="Normal 4 2 4 2 3 3 3 4" xfId="24185" xr:uid="{D190434A-8BF9-4F42-85A6-4B518EE7A7DC}"/>
    <cellStyle name="Normal 4 2 4 2 3 3 3 5" xfId="14888" xr:uid="{AF192A48-CA97-4505-B6C2-6B7C598F0595}"/>
    <cellStyle name="Normal 4 2 4 2 3 3 4" xfId="36863" xr:uid="{D182DCD9-590D-4F3D-97D0-D096921DE6F8}"/>
    <cellStyle name="Normal 4 2 4 2 3 3 5" xfId="28415" xr:uid="{DF58F610-7873-421F-B60E-98697CB2FE41}"/>
    <cellStyle name="Normal 4 2 4 2 3 3 6" xfId="19968" xr:uid="{0D3CA7F8-3152-42FE-BCE6-5CC91F9C3102}"/>
    <cellStyle name="Normal 4 2 4 2 3 3 7" xfId="10671" xr:uid="{C339CD82-9287-4554-BE9E-671B645B5C78}"/>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43638" xr:uid="{B7278050-0333-4E37-A268-A302F37B5EE1}"/>
    <cellStyle name="Normal 4 2 4 2 3 4 2 2 3" xfId="35191" xr:uid="{BE3A0078-46AF-49DB-8324-97A45651667D}"/>
    <cellStyle name="Normal 4 2 4 2 3 4 2 2 4" xfId="26743" xr:uid="{FD2566F0-3E00-42A4-B413-4BB741BE0FB3}"/>
    <cellStyle name="Normal 4 2 4 2 3 4 2 2 5" xfId="17446" xr:uid="{1E2092D9-8C5D-4563-990C-D206CC8FF582}"/>
    <cellStyle name="Normal 4 2 4 2 3 4 2 3" xfId="39421" xr:uid="{385DB905-5AFF-4FDA-B80B-A7DF402EB5E4}"/>
    <cellStyle name="Normal 4 2 4 2 3 4 2 4" xfId="30973" xr:uid="{417754FB-10FF-40B3-9E24-E74525A90BDC}"/>
    <cellStyle name="Normal 4 2 4 2 3 4 2 5" xfId="22526" xr:uid="{E668D0E3-A74C-460A-B799-6A4A0D528E99}"/>
    <cellStyle name="Normal 4 2 4 2 3 4 2 6" xfId="13229" xr:uid="{3F6A321F-F8AB-4DF4-BAD5-E823EF889424}"/>
    <cellStyle name="Normal 4 2 4 2 3 4 3" xfId="5975" xr:uid="{00000000-0005-0000-0000-000062130000}"/>
    <cellStyle name="Normal 4 2 4 2 3 4 3 2" xfId="41493" xr:uid="{8CE5357E-C759-4E84-8B71-8C54F9F2D1D1}"/>
    <cellStyle name="Normal 4 2 4 2 3 4 3 3" xfId="33046" xr:uid="{958118EF-6C95-4985-B6A4-350ECB3983B5}"/>
    <cellStyle name="Normal 4 2 4 2 3 4 3 4" xfId="24598" xr:uid="{FCCD4932-8AD9-4799-86D5-E64614AE861B}"/>
    <cellStyle name="Normal 4 2 4 2 3 4 3 5" xfId="15301" xr:uid="{A9C51EE9-8094-45C4-8ED5-01C07D6A43EE}"/>
    <cellStyle name="Normal 4 2 4 2 3 4 4" xfId="37276" xr:uid="{58584957-E9E1-4BD2-9462-8FA2A3E7ABB8}"/>
    <cellStyle name="Normal 4 2 4 2 3 4 5" xfId="28828" xr:uid="{6213A8ED-661A-4460-AF27-DC94E9BBD175}"/>
    <cellStyle name="Normal 4 2 4 2 3 4 6" xfId="20381" xr:uid="{64B5750F-F13F-4C8B-80D3-32DD2A14899B}"/>
    <cellStyle name="Normal 4 2 4 2 3 4 7" xfId="11084" xr:uid="{39C3BC8D-3E66-4FE8-BC25-C96F46848B91}"/>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44051" xr:uid="{1DDD1AEE-8A61-46F2-A3AB-9065CCB104B6}"/>
    <cellStyle name="Normal 4 2 4 2 3 5 2 2 3" xfId="35604" xr:uid="{1E4442F3-FF52-4043-828F-9097426F8692}"/>
    <cellStyle name="Normal 4 2 4 2 3 5 2 2 4" xfId="27156" xr:uid="{E44FD09D-B99B-4202-AE1D-A06B0180BEFD}"/>
    <cellStyle name="Normal 4 2 4 2 3 5 2 2 5" xfId="17859" xr:uid="{CC5CD131-DB17-4C2E-A1B5-0038B812A7DC}"/>
    <cellStyle name="Normal 4 2 4 2 3 5 2 3" xfId="39834" xr:uid="{2384D34C-38B7-45B3-89E7-10E0F65CDEFD}"/>
    <cellStyle name="Normal 4 2 4 2 3 5 2 4" xfId="31386" xr:uid="{5CC23E16-9C97-426A-AEDA-B79CEC27274E}"/>
    <cellStyle name="Normal 4 2 4 2 3 5 2 5" xfId="22939" xr:uid="{3D65ECA6-859A-4591-A42E-896A858E5942}"/>
    <cellStyle name="Normal 4 2 4 2 3 5 2 6" xfId="13642" xr:uid="{2120ED10-B884-4F50-9794-A7FF5F9480EE}"/>
    <cellStyle name="Normal 4 2 4 2 3 5 3" xfId="6388" xr:uid="{00000000-0005-0000-0000-000066130000}"/>
    <cellStyle name="Normal 4 2 4 2 3 5 3 2" xfId="41906" xr:uid="{59D2D1FD-252E-4337-A440-9E4C9005C59B}"/>
    <cellStyle name="Normal 4 2 4 2 3 5 3 3" xfId="33459" xr:uid="{626729E6-F792-4CDB-ABBE-ECD4E4091BB6}"/>
    <cellStyle name="Normal 4 2 4 2 3 5 3 4" xfId="25011" xr:uid="{3696D512-FE5C-48A2-A603-F8E7AE5E49F3}"/>
    <cellStyle name="Normal 4 2 4 2 3 5 3 5" xfId="15714" xr:uid="{79E4F498-34B4-4BC4-9109-AB05EAE08FFA}"/>
    <cellStyle name="Normal 4 2 4 2 3 5 4" xfId="37689" xr:uid="{02117E3E-8F15-48AC-B467-4CAFF26AC005}"/>
    <cellStyle name="Normal 4 2 4 2 3 5 5" xfId="29241" xr:uid="{61D6C5EF-D5DF-4B12-A6F1-B4B4A4B8EAEC}"/>
    <cellStyle name="Normal 4 2 4 2 3 5 6" xfId="20794" xr:uid="{074C2E16-DFA6-4EB1-A29C-C95DEA140877}"/>
    <cellStyle name="Normal 4 2 4 2 3 5 7" xfId="11497" xr:uid="{69D0644B-85C2-444A-B2AB-DEBB97109674}"/>
    <cellStyle name="Normal 4 2 4 2 3 6" xfId="2518" xr:uid="{00000000-0005-0000-0000-000067130000}"/>
    <cellStyle name="Normal 4 2 4 2 3 6 2" xfId="6801" xr:uid="{00000000-0005-0000-0000-000068130000}"/>
    <cellStyle name="Normal 4 2 4 2 3 6 2 2" xfId="42319" xr:uid="{273A1D74-63FA-4616-94D9-FED6F54619A4}"/>
    <cellStyle name="Normal 4 2 4 2 3 6 2 3" xfId="33872" xr:uid="{E31C076A-0896-4A43-9A97-8CDCD5B2F772}"/>
    <cellStyle name="Normal 4 2 4 2 3 6 2 4" xfId="25424" xr:uid="{290B5A83-0644-45BB-96D4-623D235D92C9}"/>
    <cellStyle name="Normal 4 2 4 2 3 6 2 5" xfId="16127" xr:uid="{FDF0DAA0-0792-46EF-8378-2BF9A5B63775}"/>
    <cellStyle name="Normal 4 2 4 2 3 6 3" xfId="38102" xr:uid="{68767166-1CFB-4375-A6D1-CB855C7F930D}"/>
    <cellStyle name="Normal 4 2 4 2 3 6 4" xfId="29654" xr:uid="{B2F64168-6EC8-47C2-9F5F-73B466EC9793}"/>
    <cellStyle name="Normal 4 2 4 2 3 6 5" xfId="21207" xr:uid="{6FE1796D-FFF3-4C8D-AE9D-16B12294176A}"/>
    <cellStyle name="Normal 4 2 4 2 3 6 6" xfId="11910" xr:uid="{A4AD13B5-D59D-4334-8FEE-AE9994578FCC}"/>
    <cellStyle name="Normal 4 2 4 2 3 7" xfId="4736" xr:uid="{00000000-0005-0000-0000-000069130000}"/>
    <cellStyle name="Normal 4 2 4 2 3 7 2" xfId="40254" xr:uid="{7520FBDD-3F1F-462A-814B-033735F96570}"/>
    <cellStyle name="Normal 4 2 4 2 3 7 3" xfId="31807" xr:uid="{FCC69BB9-91F1-4257-AC7D-22165E93FBDB}"/>
    <cellStyle name="Normal 4 2 4 2 3 7 4" xfId="23359" xr:uid="{3A2DC1DA-9CA0-44F9-986B-1688A17FCE9A}"/>
    <cellStyle name="Normal 4 2 4 2 3 7 5" xfId="14062" xr:uid="{FEAB646D-E853-41C4-958E-2A21E6D94300}"/>
    <cellStyle name="Normal 4 2 4 2 3 8" xfId="9027" xr:uid="{DA430019-E492-48BB-ACD5-5BE853C50FBC}"/>
    <cellStyle name="Normal 4 2 4 2 3 8 2" xfId="36037" xr:uid="{DA34CB14-2E66-4720-81D4-8BAFFE041AB8}"/>
    <cellStyle name="Normal 4 2 4 2 3 8 3" xfId="18350" xr:uid="{600E4D7D-7277-4DD0-A2FC-2E0387F241BE}"/>
    <cellStyle name="Normal 4 2 4 2 3 9" xfId="27589" xr:uid="{02B21DDC-89ED-475D-A9A5-E3A76585AE9E}"/>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42809" xr:uid="{11F52553-54A4-482D-93AB-4CA8A067FE25}"/>
    <cellStyle name="Normal 4 2 4 2 4 2 2 3" xfId="34362" xr:uid="{6FEDEA4F-3681-4085-A04B-7EC8A879464B}"/>
    <cellStyle name="Normal 4 2 4 2 4 2 2 4" xfId="25914" xr:uid="{F2071E88-4A2A-426F-A250-21EED85CFF13}"/>
    <cellStyle name="Normal 4 2 4 2 4 2 2 5" xfId="16617" xr:uid="{8E6CAFD4-B09C-4B1D-B233-78A5A4E04459}"/>
    <cellStyle name="Normal 4 2 4 2 4 2 3" xfId="38592" xr:uid="{021F05B8-59D9-4FD8-A280-D72C296D64DE}"/>
    <cellStyle name="Normal 4 2 4 2 4 2 4" xfId="30144" xr:uid="{AA97FE9E-F519-47BD-83FC-2D0D82A051DE}"/>
    <cellStyle name="Normal 4 2 4 2 4 2 5" xfId="21697" xr:uid="{DCDD5C4B-D8CE-4C0F-9ADB-1D5B01BDBB63}"/>
    <cellStyle name="Normal 4 2 4 2 4 2 6" xfId="12400" xr:uid="{535D1A6D-C27E-4293-8A49-0A00F458A75C}"/>
    <cellStyle name="Normal 4 2 4 2 4 3" xfId="5146" xr:uid="{00000000-0005-0000-0000-00006D130000}"/>
    <cellStyle name="Normal 4 2 4 2 4 3 2" xfId="40664" xr:uid="{1C66E4FA-07C1-4612-8C02-09B66A5403CD}"/>
    <cellStyle name="Normal 4 2 4 2 4 3 3" xfId="32217" xr:uid="{8533F00A-2A8F-4F7D-8C2D-764B1C4E7CB6}"/>
    <cellStyle name="Normal 4 2 4 2 4 3 4" xfId="23769" xr:uid="{18FDAB62-ED62-4E89-A490-B810E5B70460}"/>
    <cellStyle name="Normal 4 2 4 2 4 3 5" xfId="14472" xr:uid="{A7391197-DB68-4148-8607-880994DBD155}"/>
    <cellStyle name="Normal 4 2 4 2 4 4" xfId="9245" xr:uid="{A0383DD8-843E-4601-922A-5CDD979D0589}"/>
    <cellStyle name="Normal 4 2 4 2 4 4 2" xfId="36447" xr:uid="{64B18980-44F4-4348-9BEA-E4C5EC0612A2}"/>
    <cellStyle name="Normal 4 2 4 2 4 4 3" xfId="18558" xr:uid="{2450C6D5-D951-46FA-A537-2A37FA7FFDA3}"/>
    <cellStyle name="Normal 4 2 4 2 4 5" xfId="27999" xr:uid="{9828C2EE-DCD8-4130-93DD-05799F64D5C0}"/>
    <cellStyle name="Normal 4 2 4 2 4 6" xfId="19552" xr:uid="{03EF9476-A4A5-4A46-8AA0-B985F7FCE09A}"/>
    <cellStyle name="Normal 4 2 4 2 4 7" xfId="10255" xr:uid="{662CEEA7-BD7A-4FEA-A743-CCDAD32250B0}"/>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43222" xr:uid="{F7C27590-EFBF-4135-8F26-6E326B94DEEF}"/>
    <cellStyle name="Normal 4 2 4 2 5 2 2 3" xfId="34775" xr:uid="{A71B4AAE-7BB4-47D1-B9A5-70CCF072ADF9}"/>
    <cellStyle name="Normal 4 2 4 2 5 2 2 4" xfId="26327" xr:uid="{6DD68222-C9A0-4584-ADF1-D07C1BB3DCFE}"/>
    <cellStyle name="Normal 4 2 4 2 5 2 2 5" xfId="17030" xr:uid="{FAA144A1-FCFC-4490-81FE-B0FDF3C9FBCA}"/>
    <cellStyle name="Normal 4 2 4 2 5 2 3" xfId="39005" xr:uid="{1DC928C8-ED58-4E9C-9AA1-C5F46287E0E4}"/>
    <cellStyle name="Normal 4 2 4 2 5 2 4" xfId="30557" xr:uid="{36E5482E-A70F-4A56-B14C-6595366067F9}"/>
    <cellStyle name="Normal 4 2 4 2 5 2 5" xfId="22110" xr:uid="{A431E93F-0407-4FF9-8F1F-AF8EE9AE7325}"/>
    <cellStyle name="Normal 4 2 4 2 5 2 6" xfId="12813" xr:uid="{86F8BDB7-97C8-458B-9BA6-E4EE51491D89}"/>
    <cellStyle name="Normal 4 2 4 2 5 3" xfId="5559" xr:uid="{00000000-0005-0000-0000-000071130000}"/>
    <cellStyle name="Normal 4 2 4 2 5 3 2" xfId="41077" xr:uid="{ECADBDFE-C514-45C8-A490-4DD1F241A5F7}"/>
    <cellStyle name="Normal 4 2 4 2 5 3 3" xfId="32630" xr:uid="{049F23D7-5F71-43E6-9117-FCE3832AAD65}"/>
    <cellStyle name="Normal 4 2 4 2 5 3 4" xfId="24182" xr:uid="{6A5807D3-5A21-4EC6-84F0-53C824464405}"/>
    <cellStyle name="Normal 4 2 4 2 5 3 5" xfId="14885" xr:uid="{61DEF7ED-9270-4747-B46E-BA47F6845892}"/>
    <cellStyle name="Normal 4 2 4 2 5 4" xfId="36860" xr:uid="{4CD45005-6B9A-47F2-9E9A-709969A0D327}"/>
    <cellStyle name="Normal 4 2 4 2 5 5" xfId="28412" xr:uid="{2743924D-AA2B-46AD-8877-93591F749E79}"/>
    <cellStyle name="Normal 4 2 4 2 5 6" xfId="19965" xr:uid="{78121FC3-48E0-4993-A7DF-3607EF2AB3D0}"/>
    <cellStyle name="Normal 4 2 4 2 5 7" xfId="10668" xr:uid="{ED34B7AD-5355-44DD-9E39-DB28B0337AED}"/>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43635" xr:uid="{883576E1-1A0C-42B0-A41C-F3E2A6FF4A55}"/>
    <cellStyle name="Normal 4 2 4 2 6 2 2 3" xfId="35188" xr:uid="{F0C37BD9-0A29-41DE-9F96-E94AABF8ABC6}"/>
    <cellStyle name="Normal 4 2 4 2 6 2 2 4" xfId="26740" xr:uid="{4E80C46A-F85F-4B44-9725-733A82D706F3}"/>
    <cellStyle name="Normal 4 2 4 2 6 2 2 5" xfId="17443" xr:uid="{43435617-5F70-44E3-8A83-498734776953}"/>
    <cellStyle name="Normal 4 2 4 2 6 2 3" xfId="39418" xr:uid="{7B5163C1-73B2-4030-9564-4D8E22E71465}"/>
    <cellStyle name="Normal 4 2 4 2 6 2 4" xfId="30970" xr:uid="{5213482A-9307-4C00-BF6B-64F92CD6DD83}"/>
    <cellStyle name="Normal 4 2 4 2 6 2 5" xfId="22523" xr:uid="{4C2F74EF-F99F-4100-AA75-4AF8D48F68D7}"/>
    <cellStyle name="Normal 4 2 4 2 6 2 6" xfId="13226" xr:uid="{E8CFC251-873E-4E43-84F0-7529472B814B}"/>
    <cellStyle name="Normal 4 2 4 2 6 3" xfId="5972" xr:uid="{00000000-0005-0000-0000-000075130000}"/>
    <cellStyle name="Normal 4 2 4 2 6 3 2" xfId="41490" xr:uid="{919E7A48-56E7-442E-8E2A-5F7C064B725E}"/>
    <cellStyle name="Normal 4 2 4 2 6 3 3" xfId="33043" xr:uid="{49615A67-4B7A-498D-8FE1-4F3BA7412BAD}"/>
    <cellStyle name="Normal 4 2 4 2 6 3 4" xfId="24595" xr:uid="{3ED05FFE-28AC-4300-910D-79EE4C26DAFB}"/>
    <cellStyle name="Normal 4 2 4 2 6 3 5" xfId="15298" xr:uid="{483C71F6-0795-4E54-8B81-96B0A85455BF}"/>
    <cellStyle name="Normal 4 2 4 2 6 4" xfId="37273" xr:uid="{44CF7DDC-0151-47BB-801A-82190ABE636A}"/>
    <cellStyle name="Normal 4 2 4 2 6 5" xfId="28825" xr:uid="{73F4785A-9349-4430-9BDA-B716F7FC2521}"/>
    <cellStyle name="Normal 4 2 4 2 6 6" xfId="20378" xr:uid="{A9C6DAB1-4EB7-47E2-AE54-41479896D1AB}"/>
    <cellStyle name="Normal 4 2 4 2 6 7" xfId="11081" xr:uid="{E3DCD3D3-D0BC-42AE-A9BF-4E434856B113}"/>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44048" xr:uid="{1D5D6830-A47F-44BF-A0BA-6B5FDEBBA614}"/>
    <cellStyle name="Normal 4 2 4 2 7 2 2 3" xfId="35601" xr:uid="{33710251-0DFF-4D9C-BC0D-7E1B4089DB34}"/>
    <cellStyle name="Normal 4 2 4 2 7 2 2 4" xfId="27153" xr:uid="{F3D280ED-3A6E-4C7A-AD1E-DAAF6EFC87ED}"/>
    <cellStyle name="Normal 4 2 4 2 7 2 2 5" xfId="17856" xr:uid="{FA3ADAF2-8D0D-4CB9-ACB2-85C6CA2FF141}"/>
    <cellStyle name="Normal 4 2 4 2 7 2 3" xfId="39831" xr:uid="{12E8083E-0F5E-4ABB-8E3F-109237F9760B}"/>
    <cellStyle name="Normal 4 2 4 2 7 2 4" xfId="31383" xr:uid="{D401E842-F044-44B6-A7BE-88C20003062C}"/>
    <cellStyle name="Normal 4 2 4 2 7 2 5" xfId="22936" xr:uid="{E6F5FD14-6B71-4120-B277-E130BA2E00F6}"/>
    <cellStyle name="Normal 4 2 4 2 7 2 6" xfId="13639" xr:uid="{7D415531-7BC2-4AEE-BE7C-880394ED1B0E}"/>
    <cellStyle name="Normal 4 2 4 2 7 3" xfId="6385" xr:uid="{00000000-0005-0000-0000-000079130000}"/>
    <cellStyle name="Normal 4 2 4 2 7 3 2" xfId="41903" xr:uid="{C300271F-99BE-453A-B198-F1A63F504AAF}"/>
    <cellStyle name="Normal 4 2 4 2 7 3 3" xfId="33456" xr:uid="{2D72AF15-EF6B-4A48-A803-22FA4FC21E5D}"/>
    <cellStyle name="Normal 4 2 4 2 7 3 4" xfId="25008" xr:uid="{DFAB8A28-EEA9-4B86-BF39-9E3515CB5468}"/>
    <cellStyle name="Normal 4 2 4 2 7 3 5" xfId="15711" xr:uid="{2E046CC2-935A-40EF-9F8B-56C159FD6DD9}"/>
    <cellStyle name="Normal 4 2 4 2 7 4" xfId="37686" xr:uid="{AA8B5F0F-C616-4548-AB75-046F2255A327}"/>
    <cellStyle name="Normal 4 2 4 2 7 5" xfId="29238" xr:uid="{2B7D5ECF-49A4-4F77-A9A4-5A856BB4365B}"/>
    <cellStyle name="Normal 4 2 4 2 7 6" xfId="20791" xr:uid="{6952ACE8-D36E-4E6A-AF1E-8F5F9C82A41A}"/>
    <cellStyle name="Normal 4 2 4 2 7 7" xfId="11494" xr:uid="{51D40EA4-2B1C-436F-BA5A-96D185553F59}"/>
    <cellStyle name="Normal 4 2 4 2 8" xfId="2515" xr:uid="{00000000-0005-0000-0000-00007A130000}"/>
    <cellStyle name="Normal 4 2 4 2 8 2" xfId="6798" xr:uid="{00000000-0005-0000-0000-00007B130000}"/>
    <cellStyle name="Normal 4 2 4 2 8 2 2" xfId="42316" xr:uid="{8A684853-E7AF-4846-BCDF-12C9147FC56F}"/>
    <cellStyle name="Normal 4 2 4 2 8 2 3" xfId="33869" xr:uid="{B50DFC1C-29B9-4885-8BBF-33E5F4BD5A9C}"/>
    <cellStyle name="Normal 4 2 4 2 8 2 4" xfId="25421" xr:uid="{3AECCE1A-FDE5-46CA-8033-BADD34C2AC3C}"/>
    <cellStyle name="Normal 4 2 4 2 8 2 5" xfId="16124" xr:uid="{B5D1DDAA-C2FA-4378-A361-DA1E6510E5E9}"/>
    <cellStyle name="Normal 4 2 4 2 8 3" xfId="38099" xr:uid="{8D7B56A5-0462-4619-AFFF-2621E4BA294E}"/>
    <cellStyle name="Normal 4 2 4 2 8 4" xfId="29651" xr:uid="{288F6C9D-3C83-4D6C-8F31-900D4DFFE84B}"/>
    <cellStyle name="Normal 4 2 4 2 8 5" xfId="21204" xr:uid="{3DF084A6-4694-46B2-9518-BB666EE7C560}"/>
    <cellStyle name="Normal 4 2 4 2 8 6" xfId="11907" xr:uid="{AFF745D9-5C14-4FD8-8370-8B0BA32082DD}"/>
    <cellStyle name="Normal 4 2 4 2 9" xfId="4733" xr:uid="{00000000-0005-0000-0000-00007C130000}"/>
    <cellStyle name="Normal 4 2 4 2 9 2" xfId="40251" xr:uid="{337E859A-3B78-4E30-A620-7D119CD00CA2}"/>
    <cellStyle name="Normal 4 2 4 2 9 3" xfId="31804" xr:uid="{8D1D1188-E9BB-4812-BCA2-DD78475618A0}"/>
    <cellStyle name="Normal 4 2 4 2 9 4" xfId="23356" xr:uid="{4954C18C-5542-4B63-9FBF-716D6E2DB26A}"/>
    <cellStyle name="Normal 4 2 4 2 9 5" xfId="14059" xr:uid="{9D8F8F46-0834-4DBE-B57E-05D9A6BB8707}"/>
    <cellStyle name="Normal 4 2 4 3" xfId="360" xr:uid="{00000000-0005-0000-0000-00007D130000}"/>
    <cellStyle name="Normal 4 2 4 3 10" xfId="27590" xr:uid="{9BB7F84E-9CB4-4F91-9CF8-7E60DA8BA954}"/>
    <cellStyle name="Normal 4 2 4 3 11" xfId="19143" xr:uid="{0A66AE1A-7833-436F-BEBE-E08CD71BFB98}"/>
    <cellStyle name="Normal 4 2 4 3 12" xfId="9846" xr:uid="{215AC420-BCB9-478B-ABF0-DA9A30ADD5C8}"/>
    <cellStyle name="Normal 4 2 4 3 2" xfId="361" xr:uid="{00000000-0005-0000-0000-00007E130000}"/>
    <cellStyle name="Normal 4 2 4 3 2 10" xfId="19144" xr:uid="{CF8C11E6-EA9F-4513-88E6-1887827AF234}"/>
    <cellStyle name="Normal 4 2 4 3 2 11" xfId="9847" xr:uid="{38FEF3D3-25B8-45BB-8930-14CC87605166}"/>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42814" xr:uid="{0949FBE8-EB62-4AD1-B5CF-D5EB2ADB2C84}"/>
    <cellStyle name="Normal 4 2 4 3 2 2 2 2 3" xfId="34367" xr:uid="{A804D13A-64BF-49DE-9A39-538CB1219CD4}"/>
    <cellStyle name="Normal 4 2 4 3 2 2 2 2 4" xfId="25919" xr:uid="{6A4F332B-88AF-435A-AB14-47E8D7067E9A}"/>
    <cellStyle name="Normal 4 2 4 3 2 2 2 2 5" xfId="16622" xr:uid="{8100A47E-F759-41D5-86B1-BF9CF9FA4ED9}"/>
    <cellStyle name="Normal 4 2 4 3 2 2 2 3" xfId="38597" xr:uid="{93E9966B-199C-4BC7-8A1E-CA0E77EC4CA9}"/>
    <cellStyle name="Normal 4 2 4 3 2 2 2 4" xfId="30149" xr:uid="{4602F3F4-D8CC-449E-8D3F-3C019DEDABCA}"/>
    <cellStyle name="Normal 4 2 4 3 2 2 2 5" xfId="21702" xr:uid="{AED55714-F97B-49E5-8977-BBAE249C37A7}"/>
    <cellStyle name="Normal 4 2 4 3 2 2 2 6" xfId="12405" xr:uid="{099B7EE6-53C1-448E-A8FF-D8547B9D65FC}"/>
    <cellStyle name="Normal 4 2 4 3 2 2 3" xfId="5151" xr:uid="{00000000-0005-0000-0000-000082130000}"/>
    <cellStyle name="Normal 4 2 4 3 2 2 3 2" xfId="40669" xr:uid="{5E414DBB-477A-4407-AAAE-FF7650CF009C}"/>
    <cellStyle name="Normal 4 2 4 3 2 2 3 3" xfId="32222" xr:uid="{B8CE5F20-BFEB-42DC-A85F-FB64C46BAC4A}"/>
    <cellStyle name="Normal 4 2 4 3 2 2 3 4" xfId="23774" xr:uid="{7A5593F3-A0C7-4539-8398-16FB311BD796}"/>
    <cellStyle name="Normal 4 2 4 3 2 2 3 5" xfId="14477" xr:uid="{10AB04CC-26B1-4367-9595-83A1137F7516}"/>
    <cellStyle name="Normal 4 2 4 3 2 2 4" xfId="9510" xr:uid="{AA534F18-B7F5-44D9-AE7D-03E6DE45E4F9}"/>
    <cellStyle name="Normal 4 2 4 3 2 2 4 2" xfId="36452" xr:uid="{1CEED2B0-58E0-4377-97E8-61B37F6F1207}"/>
    <cellStyle name="Normal 4 2 4 3 2 2 4 3" xfId="18823" xr:uid="{AD7B0ABA-389E-49D7-AC95-3CB7FB6D36B7}"/>
    <cellStyle name="Normal 4 2 4 3 2 2 5" xfId="28004" xr:uid="{46696195-03C2-4691-8EDF-E5C1B2F2BE9C}"/>
    <cellStyle name="Normal 4 2 4 3 2 2 6" xfId="19557" xr:uid="{4DE08C8D-AA6F-4D96-BC2F-95BEFA1B8819}"/>
    <cellStyle name="Normal 4 2 4 3 2 2 7" xfId="10260" xr:uid="{0D0BF49C-4EB1-46E1-8D37-97218C64F722}"/>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43227" xr:uid="{8B4E6361-075C-4927-9513-4978B82F82BE}"/>
    <cellStyle name="Normal 4 2 4 3 2 3 2 2 3" xfId="34780" xr:uid="{D10F0FCE-A666-4052-B095-47ECCF08F659}"/>
    <cellStyle name="Normal 4 2 4 3 2 3 2 2 4" xfId="26332" xr:uid="{F1324ED7-77D4-476D-BF9F-47B99273FC9C}"/>
    <cellStyle name="Normal 4 2 4 3 2 3 2 2 5" xfId="17035" xr:uid="{DD30E2AC-A104-4CC2-91C5-1A4AAB2D6A0C}"/>
    <cellStyle name="Normal 4 2 4 3 2 3 2 3" xfId="39010" xr:uid="{DFEDE0FB-0510-4911-8206-688632032AC1}"/>
    <cellStyle name="Normal 4 2 4 3 2 3 2 4" xfId="30562" xr:uid="{ABC5BE20-11AC-4726-B06B-EC6988A88E02}"/>
    <cellStyle name="Normal 4 2 4 3 2 3 2 5" xfId="22115" xr:uid="{1CAC3879-5BB4-4A1B-ACF6-C3B5014D7449}"/>
    <cellStyle name="Normal 4 2 4 3 2 3 2 6" xfId="12818" xr:uid="{537309CE-5734-4C3C-A328-D00AB7D2F033}"/>
    <cellStyle name="Normal 4 2 4 3 2 3 3" xfId="5564" xr:uid="{00000000-0005-0000-0000-000086130000}"/>
    <cellStyle name="Normal 4 2 4 3 2 3 3 2" xfId="41082" xr:uid="{8256CB95-1D8D-4FE0-96DC-5788B5DFC7AF}"/>
    <cellStyle name="Normal 4 2 4 3 2 3 3 3" xfId="32635" xr:uid="{C1660BFF-0E8D-45B7-AA5B-9AF2DF051F7C}"/>
    <cellStyle name="Normal 4 2 4 3 2 3 3 4" xfId="24187" xr:uid="{BB6730E9-1D3E-4C1D-A829-6D2C7EFB60DF}"/>
    <cellStyle name="Normal 4 2 4 3 2 3 3 5" xfId="14890" xr:uid="{9ACA4DF2-44AE-427C-9B1D-C7304D300224}"/>
    <cellStyle name="Normal 4 2 4 3 2 3 4" xfId="36865" xr:uid="{9CA0252F-32D8-4760-820F-6247D6066DC6}"/>
    <cellStyle name="Normal 4 2 4 3 2 3 5" xfId="28417" xr:uid="{6620C466-37C0-4910-99FB-2F2748458C6B}"/>
    <cellStyle name="Normal 4 2 4 3 2 3 6" xfId="19970" xr:uid="{7445C8F5-10A3-446E-90C3-4D35B80061DA}"/>
    <cellStyle name="Normal 4 2 4 3 2 3 7" xfId="10673" xr:uid="{F3CBCD6C-6628-485A-A588-AF6EA4B583BE}"/>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43640" xr:uid="{D4B39FFC-4745-4E53-90E1-A1F2B486C686}"/>
    <cellStyle name="Normal 4 2 4 3 2 4 2 2 3" xfId="35193" xr:uid="{9A1B1A3C-732F-4B56-BB0F-20DF88996BBE}"/>
    <cellStyle name="Normal 4 2 4 3 2 4 2 2 4" xfId="26745" xr:uid="{46EE819F-5FD8-4E0B-BDC5-95E58CE7204B}"/>
    <cellStyle name="Normal 4 2 4 3 2 4 2 2 5" xfId="17448" xr:uid="{39C4E9ED-43A2-45B6-B752-D3D2947D73FE}"/>
    <cellStyle name="Normal 4 2 4 3 2 4 2 3" xfId="39423" xr:uid="{2B80962B-F7B4-418F-8AD1-3940EFAE9125}"/>
    <cellStyle name="Normal 4 2 4 3 2 4 2 4" xfId="30975" xr:uid="{FC728B57-37F0-464D-98A4-DFB48E6AD383}"/>
    <cellStyle name="Normal 4 2 4 3 2 4 2 5" xfId="22528" xr:uid="{0DD7A881-7CFE-4B36-870F-69F029F8246C}"/>
    <cellStyle name="Normal 4 2 4 3 2 4 2 6" xfId="13231" xr:uid="{BF4EA9AB-0E59-44AA-BBAF-03D9277F78DB}"/>
    <cellStyle name="Normal 4 2 4 3 2 4 3" xfId="5977" xr:uid="{00000000-0005-0000-0000-00008A130000}"/>
    <cellStyle name="Normal 4 2 4 3 2 4 3 2" xfId="41495" xr:uid="{CF49A898-4504-48C1-A92D-378B1E3A48C0}"/>
    <cellStyle name="Normal 4 2 4 3 2 4 3 3" xfId="33048" xr:uid="{D5DAAD1B-A3C4-40C8-ACBD-E076BBB50631}"/>
    <cellStyle name="Normal 4 2 4 3 2 4 3 4" xfId="24600" xr:uid="{AEF806E7-D008-4C21-853F-CCF31A0B3155}"/>
    <cellStyle name="Normal 4 2 4 3 2 4 3 5" xfId="15303" xr:uid="{60E02E85-E024-410E-A520-3E80B1CD3F85}"/>
    <cellStyle name="Normal 4 2 4 3 2 4 4" xfId="37278" xr:uid="{92BA2E01-923F-4561-A057-CCAF9D6E6CC6}"/>
    <cellStyle name="Normal 4 2 4 3 2 4 5" xfId="28830" xr:uid="{A6985CC5-E296-4BD1-9044-A02A63A5C3F0}"/>
    <cellStyle name="Normal 4 2 4 3 2 4 6" xfId="20383" xr:uid="{4385C3DD-0694-42C0-A246-BC20B7664FE1}"/>
    <cellStyle name="Normal 4 2 4 3 2 4 7" xfId="11086" xr:uid="{76BC77B8-37DA-4C66-A1BD-C07B48A4229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44053" xr:uid="{92DDD19F-1AF2-4553-A4D3-B20256F65C25}"/>
    <cellStyle name="Normal 4 2 4 3 2 5 2 2 3" xfId="35606" xr:uid="{2A9F771A-E73C-4C26-AF6F-3ACCB418A210}"/>
    <cellStyle name="Normal 4 2 4 3 2 5 2 2 4" xfId="27158" xr:uid="{D993AC7A-9AE8-4BB7-90CA-E6B8ED335AE9}"/>
    <cellStyle name="Normal 4 2 4 3 2 5 2 2 5" xfId="17861" xr:uid="{B5FA78EA-91DD-44AA-BFB8-DF05A676FE8C}"/>
    <cellStyle name="Normal 4 2 4 3 2 5 2 3" xfId="39836" xr:uid="{AF7EE392-86C3-497C-B36B-4CEEBCD26FD6}"/>
    <cellStyle name="Normal 4 2 4 3 2 5 2 4" xfId="31388" xr:uid="{C82D2827-5101-4BE6-A635-377D9B07E803}"/>
    <cellStyle name="Normal 4 2 4 3 2 5 2 5" xfId="22941" xr:uid="{121E1131-88E5-42B2-8E3A-B7C25230D95E}"/>
    <cellStyle name="Normal 4 2 4 3 2 5 2 6" xfId="13644" xr:uid="{ACF48D18-8E6B-4958-B48D-A54AD6A918B6}"/>
    <cellStyle name="Normal 4 2 4 3 2 5 3" xfId="6390" xr:uid="{00000000-0005-0000-0000-00008E130000}"/>
    <cellStyle name="Normal 4 2 4 3 2 5 3 2" xfId="41908" xr:uid="{C88F1546-932B-4E93-853A-9E472AE76AB5}"/>
    <cellStyle name="Normal 4 2 4 3 2 5 3 3" xfId="33461" xr:uid="{509E87C7-6787-4045-9381-5B5B26D0E68E}"/>
    <cellStyle name="Normal 4 2 4 3 2 5 3 4" xfId="25013" xr:uid="{E6438DFA-F4AD-47B1-B843-5809372E653A}"/>
    <cellStyle name="Normal 4 2 4 3 2 5 3 5" xfId="15716" xr:uid="{B0903B5D-F73E-4656-9418-2E6CADED9027}"/>
    <cellStyle name="Normal 4 2 4 3 2 5 4" xfId="37691" xr:uid="{B47BBA08-C8BA-479D-A5FE-3CA061EE69BA}"/>
    <cellStyle name="Normal 4 2 4 3 2 5 5" xfId="29243" xr:uid="{20FB821D-6796-412E-ABFC-77A98832A320}"/>
    <cellStyle name="Normal 4 2 4 3 2 5 6" xfId="20796" xr:uid="{A3659593-D22F-4543-8ED5-A70D1C778128}"/>
    <cellStyle name="Normal 4 2 4 3 2 5 7" xfId="11499" xr:uid="{85FD9884-13C2-4159-A415-B52476B6C50F}"/>
    <cellStyle name="Normal 4 2 4 3 2 6" xfId="2520" xr:uid="{00000000-0005-0000-0000-00008F130000}"/>
    <cellStyle name="Normal 4 2 4 3 2 6 2" xfId="6803" xr:uid="{00000000-0005-0000-0000-000090130000}"/>
    <cellStyle name="Normal 4 2 4 3 2 6 2 2" xfId="42321" xr:uid="{801D7FF8-03DA-4A90-BDDA-781D63B93557}"/>
    <cellStyle name="Normal 4 2 4 3 2 6 2 3" xfId="33874" xr:uid="{D12B603E-60E5-4DF8-93D1-2FCD7CF44037}"/>
    <cellStyle name="Normal 4 2 4 3 2 6 2 4" xfId="25426" xr:uid="{4EA19B5D-E6EB-4A38-B984-5EE712B71F37}"/>
    <cellStyle name="Normal 4 2 4 3 2 6 2 5" xfId="16129" xr:uid="{27B73A8A-4A93-400D-8839-5B9F840B7C90}"/>
    <cellStyle name="Normal 4 2 4 3 2 6 3" xfId="38104" xr:uid="{4BD4C0CF-B7FE-49F2-8E19-CC72E1DBBACE}"/>
    <cellStyle name="Normal 4 2 4 3 2 6 4" xfId="29656" xr:uid="{39B08B56-BE0F-4CEA-8E82-A4808819D264}"/>
    <cellStyle name="Normal 4 2 4 3 2 6 5" xfId="21209" xr:uid="{BB903BA8-DDC7-41CB-92FD-5A9115CCB11F}"/>
    <cellStyle name="Normal 4 2 4 3 2 6 6" xfId="11912" xr:uid="{50F376BF-E50B-43C6-92F0-6EFD8FB274D5}"/>
    <cellStyle name="Normal 4 2 4 3 2 7" xfId="4738" xr:uid="{00000000-0005-0000-0000-000091130000}"/>
    <cellStyle name="Normal 4 2 4 3 2 7 2" xfId="40256" xr:uid="{5D006B27-44AF-4646-AB97-30E2CC596F33}"/>
    <cellStyle name="Normal 4 2 4 3 2 7 3" xfId="31809" xr:uid="{5AD921D0-EF5F-44F4-912B-7E4E05A2BC9C}"/>
    <cellStyle name="Normal 4 2 4 3 2 7 4" xfId="23361" xr:uid="{232107FC-29DE-4308-B34D-B471E7AC1EA9}"/>
    <cellStyle name="Normal 4 2 4 3 2 7 5" xfId="14064" xr:uid="{5C25F186-F9E3-456B-9FBB-0AF74FF9390B}"/>
    <cellStyle name="Normal 4 2 4 3 2 8" xfId="9085" xr:uid="{0181E53C-86DC-4588-8447-D559FCF01541}"/>
    <cellStyle name="Normal 4 2 4 3 2 8 2" xfId="36039" xr:uid="{C2262CDC-BFCB-4DDC-B9E5-8CD73F1ABA9E}"/>
    <cellStyle name="Normal 4 2 4 3 2 8 3" xfId="18408" xr:uid="{910433B7-A828-416B-AE2E-F2DE2BEBC282}"/>
    <cellStyle name="Normal 4 2 4 3 2 9" xfId="27591" xr:uid="{3E9658F2-08DE-436C-A186-F4344E8F3ECE}"/>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42813" xr:uid="{C837F18D-171A-4629-86C9-F575AEDEA988}"/>
    <cellStyle name="Normal 4 2 4 3 3 2 2 3" xfId="34366" xr:uid="{122F3591-F691-414C-9D5A-43486CA13863}"/>
    <cellStyle name="Normal 4 2 4 3 3 2 2 4" xfId="25918" xr:uid="{A531249F-F8B7-470E-AED7-FBF65A51A85A}"/>
    <cellStyle name="Normal 4 2 4 3 3 2 2 5" xfId="16621" xr:uid="{210F0FCB-8386-4584-8C41-48DF56274C0E}"/>
    <cellStyle name="Normal 4 2 4 3 3 2 3" xfId="38596" xr:uid="{9255E911-1872-443C-96C5-ABC4153BD869}"/>
    <cellStyle name="Normal 4 2 4 3 3 2 4" xfId="30148" xr:uid="{3B1F4656-2AA7-466B-B8B5-44F689173225}"/>
    <cellStyle name="Normal 4 2 4 3 3 2 5" xfId="21701" xr:uid="{C556B834-32CD-47EF-84D2-7BF86059FF87}"/>
    <cellStyle name="Normal 4 2 4 3 3 2 6" xfId="12404" xr:uid="{A78C5E1D-A975-4BF1-B2FC-0AF8159F860A}"/>
    <cellStyle name="Normal 4 2 4 3 3 3" xfId="5150" xr:uid="{00000000-0005-0000-0000-000095130000}"/>
    <cellStyle name="Normal 4 2 4 3 3 3 2" xfId="40668" xr:uid="{CDD2B97B-6F79-4A66-A4AC-5D24ADAF6714}"/>
    <cellStyle name="Normal 4 2 4 3 3 3 3" xfId="32221" xr:uid="{DB5E7395-B34F-4E31-B435-B8C3FE881C16}"/>
    <cellStyle name="Normal 4 2 4 3 3 3 4" xfId="23773" xr:uid="{089E2F5E-2D6A-486A-BD0D-83AEB24AE3C6}"/>
    <cellStyle name="Normal 4 2 4 3 3 3 5" xfId="14476" xr:uid="{6B63949F-B1BE-48E7-9F5F-974E2D87E62B}"/>
    <cellStyle name="Normal 4 2 4 3 3 4" xfId="9303" xr:uid="{51CE977A-E9B9-47DD-B6CE-3ECF34A578F1}"/>
    <cellStyle name="Normal 4 2 4 3 3 4 2" xfId="36451" xr:uid="{864BC198-6228-466F-B7F4-23346F512912}"/>
    <cellStyle name="Normal 4 2 4 3 3 4 3" xfId="18616" xr:uid="{55E93C83-B593-4D31-A76C-7CABA84CD474}"/>
    <cellStyle name="Normal 4 2 4 3 3 5" xfId="28003" xr:uid="{C1678EBD-62A0-4766-B971-1B07D224C808}"/>
    <cellStyle name="Normal 4 2 4 3 3 6" xfId="19556" xr:uid="{FCC9B8DD-5684-4A13-AC6D-5C36FEBCD5F1}"/>
    <cellStyle name="Normal 4 2 4 3 3 7" xfId="10259" xr:uid="{629325F4-25DF-4D47-8FCE-E8ED01B743D8}"/>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43226" xr:uid="{9760EAB1-D0C9-430B-8200-FDB15791A63D}"/>
    <cellStyle name="Normal 4 2 4 3 4 2 2 3" xfId="34779" xr:uid="{9B56F881-CCF0-4A86-B5DF-0F2E0179D1B3}"/>
    <cellStyle name="Normal 4 2 4 3 4 2 2 4" xfId="26331" xr:uid="{6F5BC7EA-7DCC-48D6-BF6C-1CF204770DC4}"/>
    <cellStyle name="Normal 4 2 4 3 4 2 2 5" xfId="17034" xr:uid="{881B59DC-E97E-4B42-9EA4-AFC983ECF4A0}"/>
    <cellStyle name="Normal 4 2 4 3 4 2 3" xfId="39009" xr:uid="{A670FD4C-23F7-4539-8C26-229EB43C59B4}"/>
    <cellStyle name="Normal 4 2 4 3 4 2 4" xfId="30561" xr:uid="{09578881-46B7-4C21-B8FB-FCD03F5D4986}"/>
    <cellStyle name="Normal 4 2 4 3 4 2 5" xfId="22114" xr:uid="{C807D161-AF95-43C5-A49B-539EDA3CF861}"/>
    <cellStyle name="Normal 4 2 4 3 4 2 6" xfId="12817" xr:uid="{9909837A-4D65-4FE5-83FD-B7699996E953}"/>
    <cellStyle name="Normal 4 2 4 3 4 3" xfId="5563" xr:uid="{00000000-0005-0000-0000-000099130000}"/>
    <cellStyle name="Normal 4 2 4 3 4 3 2" xfId="41081" xr:uid="{46C93FA2-D0BA-4AD2-A45B-15A9EC5FC587}"/>
    <cellStyle name="Normal 4 2 4 3 4 3 3" xfId="32634" xr:uid="{A29FE3CB-72F7-49B8-B6C3-EDA65DE58A1B}"/>
    <cellStyle name="Normal 4 2 4 3 4 3 4" xfId="24186" xr:uid="{63F17DD3-0E10-4E86-AF7C-242174D360F7}"/>
    <cellStyle name="Normal 4 2 4 3 4 3 5" xfId="14889" xr:uid="{2813D5EC-9240-461F-BD9C-717BBEC71AD8}"/>
    <cellStyle name="Normal 4 2 4 3 4 4" xfId="36864" xr:uid="{E2597398-55BF-453F-9D41-5F6C5CA35D99}"/>
    <cellStyle name="Normal 4 2 4 3 4 5" xfId="28416" xr:uid="{1DA1FFAD-C08E-406F-9529-6C8C0B5B5C74}"/>
    <cellStyle name="Normal 4 2 4 3 4 6" xfId="19969" xr:uid="{7ADFE9EF-833B-46DD-AFB5-7F6A811C4FD8}"/>
    <cellStyle name="Normal 4 2 4 3 4 7" xfId="10672" xr:uid="{A207406B-365E-410D-927D-6A5FA96EF2BD}"/>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43639" xr:uid="{193C8A39-411A-459C-A5DE-D305AC46863C}"/>
    <cellStyle name="Normal 4 2 4 3 5 2 2 3" xfId="35192" xr:uid="{306B44EE-E9D1-49D0-8067-F5AA31B03819}"/>
    <cellStyle name="Normal 4 2 4 3 5 2 2 4" xfId="26744" xr:uid="{C051B8D0-7614-4A2D-9F5C-6B0088DB2128}"/>
    <cellStyle name="Normal 4 2 4 3 5 2 2 5" xfId="17447" xr:uid="{DF98EFE1-E513-4C63-AD5B-45E0EBA9FAE3}"/>
    <cellStyle name="Normal 4 2 4 3 5 2 3" xfId="39422" xr:uid="{EDC9FC64-9E6F-4F40-A12D-068FF5401708}"/>
    <cellStyle name="Normal 4 2 4 3 5 2 4" xfId="30974" xr:uid="{FAD75F22-B987-4346-BE8C-D31FF39A6FEC}"/>
    <cellStyle name="Normal 4 2 4 3 5 2 5" xfId="22527" xr:uid="{36059991-DCD6-4CCE-B156-3777AD662A87}"/>
    <cellStyle name="Normal 4 2 4 3 5 2 6" xfId="13230" xr:uid="{AB7FCBDE-816E-4E58-BE5F-C743BB3E3859}"/>
    <cellStyle name="Normal 4 2 4 3 5 3" xfId="5976" xr:uid="{00000000-0005-0000-0000-00009D130000}"/>
    <cellStyle name="Normal 4 2 4 3 5 3 2" xfId="41494" xr:uid="{67680E7D-D9EE-4A44-8D00-17D31242B9E2}"/>
    <cellStyle name="Normal 4 2 4 3 5 3 3" xfId="33047" xr:uid="{CDF73FFC-3056-4786-AAB0-D50F57F0405D}"/>
    <cellStyle name="Normal 4 2 4 3 5 3 4" xfId="24599" xr:uid="{C2CDFC45-DBE7-45FB-98F9-7789F3E66993}"/>
    <cellStyle name="Normal 4 2 4 3 5 3 5" xfId="15302" xr:uid="{980E0F57-8EC4-462F-9EDC-369CE0EFEA21}"/>
    <cellStyle name="Normal 4 2 4 3 5 4" xfId="37277" xr:uid="{EE166332-041D-4839-864C-DD2A3ABFE9C7}"/>
    <cellStyle name="Normal 4 2 4 3 5 5" xfId="28829" xr:uid="{95DBD8AC-38A7-4FDF-8686-74D66BF8FFB1}"/>
    <cellStyle name="Normal 4 2 4 3 5 6" xfId="20382" xr:uid="{24AAC636-F89E-4703-B9B9-EFA3276CBC7C}"/>
    <cellStyle name="Normal 4 2 4 3 5 7" xfId="11085" xr:uid="{FC3FEFA0-FC4C-4E52-B8C4-B5D998A92EE4}"/>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44052" xr:uid="{82FA78AC-F905-4AEF-84BD-729FB9AECE6E}"/>
    <cellStyle name="Normal 4 2 4 3 6 2 2 3" xfId="35605" xr:uid="{58DC4AF5-C3DB-43F5-B053-AC3B7D9723FF}"/>
    <cellStyle name="Normal 4 2 4 3 6 2 2 4" xfId="27157" xr:uid="{CF3094B0-AC80-44A0-B5AA-D0F31E921B21}"/>
    <cellStyle name="Normal 4 2 4 3 6 2 2 5" xfId="17860" xr:uid="{85E8D4CA-E344-4957-A312-1DBBDF800FED}"/>
    <cellStyle name="Normal 4 2 4 3 6 2 3" xfId="39835" xr:uid="{F6435984-6C55-4239-946F-F881BDFB7705}"/>
    <cellStyle name="Normal 4 2 4 3 6 2 4" xfId="31387" xr:uid="{951F26B6-2FF3-4C9E-AE52-CA8A002A4F22}"/>
    <cellStyle name="Normal 4 2 4 3 6 2 5" xfId="22940" xr:uid="{B8708BE2-690B-47E2-9162-F7B3DE5D9A45}"/>
    <cellStyle name="Normal 4 2 4 3 6 2 6" xfId="13643" xr:uid="{84749FCA-8299-4E7E-8D71-E798EF4FE461}"/>
    <cellStyle name="Normal 4 2 4 3 6 3" xfId="6389" xr:uid="{00000000-0005-0000-0000-0000A1130000}"/>
    <cellStyle name="Normal 4 2 4 3 6 3 2" xfId="41907" xr:uid="{79AEFE63-F904-43BD-8DF7-A36F2A6D6A15}"/>
    <cellStyle name="Normal 4 2 4 3 6 3 3" xfId="33460" xr:uid="{70CF82E0-F1E0-4164-819A-18CBE8202313}"/>
    <cellStyle name="Normal 4 2 4 3 6 3 4" xfId="25012" xr:uid="{DBBC7B09-C1FA-4499-AED2-D3EC33AB419D}"/>
    <cellStyle name="Normal 4 2 4 3 6 3 5" xfId="15715" xr:uid="{CB73C31F-6F5A-4378-8333-3924E00390CD}"/>
    <cellStyle name="Normal 4 2 4 3 6 4" xfId="37690" xr:uid="{D41E36D7-8DA7-47A8-B7B0-5957544D9203}"/>
    <cellStyle name="Normal 4 2 4 3 6 5" xfId="29242" xr:uid="{9C8BBF7E-4BBC-4166-B205-AAAB9A322F25}"/>
    <cellStyle name="Normal 4 2 4 3 6 6" xfId="20795" xr:uid="{9A961495-65E7-4364-B6EC-921D09590071}"/>
    <cellStyle name="Normal 4 2 4 3 6 7" xfId="11498" xr:uid="{89663E83-086A-4F28-8798-E9328A8D40CB}"/>
    <cellStyle name="Normal 4 2 4 3 7" xfId="2519" xr:uid="{00000000-0005-0000-0000-0000A2130000}"/>
    <cellStyle name="Normal 4 2 4 3 7 2" xfId="6802" xr:uid="{00000000-0005-0000-0000-0000A3130000}"/>
    <cellStyle name="Normal 4 2 4 3 7 2 2" xfId="42320" xr:uid="{69F00554-0545-4A42-A302-F209AD586AD9}"/>
    <cellStyle name="Normal 4 2 4 3 7 2 3" xfId="33873" xr:uid="{6ED0834A-1A84-4940-911A-C84738485E51}"/>
    <cellStyle name="Normal 4 2 4 3 7 2 4" xfId="25425" xr:uid="{9B085C37-E442-401B-914F-B51C7DBFBA2C}"/>
    <cellStyle name="Normal 4 2 4 3 7 2 5" xfId="16128" xr:uid="{23F52A90-315D-4D7C-B809-EFF9AC0CBB8F}"/>
    <cellStyle name="Normal 4 2 4 3 7 3" xfId="38103" xr:uid="{EBF3A45E-9232-4C4D-9E1E-E21DF5271EFC}"/>
    <cellStyle name="Normal 4 2 4 3 7 4" xfId="29655" xr:uid="{FC250B4B-3481-4F64-8670-E61A0F0C0AF3}"/>
    <cellStyle name="Normal 4 2 4 3 7 5" xfId="21208" xr:uid="{63ACBED4-2EAD-4C8B-B478-9DB392037DF1}"/>
    <cellStyle name="Normal 4 2 4 3 7 6" xfId="11911" xr:uid="{8440479F-10E0-45E2-8454-D5B297F7BE4B}"/>
    <cellStyle name="Normal 4 2 4 3 8" xfId="4737" xr:uid="{00000000-0005-0000-0000-0000A4130000}"/>
    <cellStyle name="Normal 4 2 4 3 8 2" xfId="40255" xr:uid="{1EE7785A-7C83-4E72-81F4-7FD16D47E285}"/>
    <cellStyle name="Normal 4 2 4 3 8 3" xfId="31808" xr:uid="{89EA180F-AE6F-48F7-9620-C1559EE22094}"/>
    <cellStyle name="Normal 4 2 4 3 8 4" xfId="23360" xr:uid="{8E06B89B-E43F-4037-9ED5-91AE0DE9A0ED}"/>
    <cellStyle name="Normal 4 2 4 3 8 5" xfId="14063" xr:uid="{6DF163CB-8A61-45BB-BC39-20BC1BBF97E2}"/>
    <cellStyle name="Normal 4 2 4 3 9" xfId="8878" xr:uid="{B73EE68A-BBFC-4E7A-B773-E14FCCFC8837}"/>
    <cellStyle name="Normal 4 2 4 3 9 2" xfId="36038" xr:uid="{7752F08E-F166-45CF-AE33-89F768170616}"/>
    <cellStyle name="Normal 4 2 4 3 9 3" xfId="18201" xr:uid="{9683E78A-F402-4958-9154-2F928940BEFC}"/>
    <cellStyle name="Normal 4 2 4 4" xfId="362" xr:uid="{00000000-0005-0000-0000-0000A5130000}"/>
    <cellStyle name="Normal 4 2 4 4 10" xfId="19145" xr:uid="{22CA9B9A-D546-4D78-8701-E41F1349F322}"/>
    <cellStyle name="Normal 4 2 4 4 11" xfId="9848" xr:uid="{A2E4E8F3-5ED5-4868-8185-CF0447930AF8}"/>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42815" xr:uid="{30937156-8415-4154-B021-46F4A5297FE1}"/>
    <cellStyle name="Normal 4 2 4 4 2 2 2 3" xfId="34368" xr:uid="{EDA6941C-24F4-4310-9116-E5E9584E09C1}"/>
    <cellStyle name="Normal 4 2 4 4 2 2 2 4" xfId="25920" xr:uid="{2E16FF36-C321-4BEB-A524-ABFBB27EF6BF}"/>
    <cellStyle name="Normal 4 2 4 4 2 2 2 5" xfId="16623" xr:uid="{DCDA6752-5A4D-4F57-AD53-DAA9D70111A3}"/>
    <cellStyle name="Normal 4 2 4 4 2 2 3" xfId="38598" xr:uid="{959EC929-1C59-4F64-9DFF-C3DC5220FD6A}"/>
    <cellStyle name="Normal 4 2 4 4 2 2 4" xfId="30150" xr:uid="{53C9E304-D95B-4B62-B29E-BF38CF0F7F36}"/>
    <cellStyle name="Normal 4 2 4 4 2 2 5" xfId="21703" xr:uid="{A86EEC41-3A44-45CE-AB07-5BF88AE95888}"/>
    <cellStyle name="Normal 4 2 4 4 2 2 6" xfId="12406" xr:uid="{FF918F55-58E5-4ACD-B7D3-76A9880AD4AF}"/>
    <cellStyle name="Normal 4 2 4 4 2 3" xfId="5152" xr:uid="{00000000-0005-0000-0000-0000A9130000}"/>
    <cellStyle name="Normal 4 2 4 4 2 3 2" xfId="40670" xr:uid="{45B0C9B9-DD29-42A6-A6C6-6EAB2B3AB6E6}"/>
    <cellStyle name="Normal 4 2 4 4 2 3 3" xfId="32223" xr:uid="{D7D13975-FC39-4DFF-B311-B9164CEA3355}"/>
    <cellStyle name="Normal 4 2 4 4 2 3 4" xfId="23775" xr:uid="{9CBBB4A7-8009-4067-8D2F-D0E0138B3BE8}"/>
    <cellStyle name="Normal 4 2 4 4 2 3 5" xfId="14478" xr:uid="{6987A7C1-8299-4C49-8BBD-7230465A10A9}"/>
    <cellStyle name="Normal 4 2 4 4 2 4" xfId="9407" xr:uid="{5D8D6A7A-388E-41EC-80E9-28307FA015D6}"/>
    <cellStyle name="Normal 4 2 4 4 2 4 2" xfId="36453" xr:uid="{0C808382-638D-48EB-B410-DCDBFB5DC984}"/>
    <cellStyle name="Normal 4 2 4 4 2 4 3" xfId="18720" xr:uid="{306E0FBE-DF4D-4A39-98EA-009E06DC21A4}"/>
    <cellStyle name="Normal 4 2 4 4 2 5" xfId="28005" xr:uid="{2CEB6219-6099-4714-B285-E75D57E4A77E}"/>
    <cellStyle name="Normal 4 2 4 4 2 6" xfId="19558" xr:uid="{5E2A2293-F5A9-4552-BC37-D067F7D09314}"/>
    <cellStyle name="Normal 4 2 4 4 2 7" xfId="10261" xr:uid="{E243396E-6D83-46DA-8726-B90B91F7CE37}"/>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43228" xr:uid="{F08811AE-BB94-4E75-A19F-D272720CF497}"/>
    <cellStyle name="Normal 4 2 4 4 3 2 2 3" xfId="34781" xr:uid="{BFCF5F38-2A2D-4255-A462-793D6196A649}"/>
    <cellStyle name="Normal 4 2 4 4 3 2 2 4" xfId="26333" xr:uid="{2623B018-40BF-4B00-B0AD-425364B0F95A}"/>
    <cellStyle name="Normal 4 2 4 4 3 2 2 5" xfId="17036" xr:uid="{A0FE7553-78BF-4F6C-85DF-F6514F316D90}"/>
    <cellStyle name="Normal 4 2 4 4 3 2 3" xfId="39011" xr:uid="{D9FFC400-130A-496B-8B23-960585EE1E5B}"/>
    <cellStyle name="Normal 4 2 4 4 3 2 4" xfId="30563" xr:uid="{3687BB5A-FC30-4204-99A2-51429E8A4C89}"/>
    <cellStyle name="Normal 4 2 4 4 3 2 5" xfId="22116" xr:uid="{6CF476A9-41B1-4558-9096-860282824F50}"/>
    <cellStyle name="Normal 4 2 4 4 3 2 6" xfId="12819" xr:uid="{AAB0AC78-37EC-4517-BFDF-94ABA476B43C}"/>
    <cellStyle name="Normal 4 2 4 4 3 3" xfId="5565" xr:uid="{00000000-0005-0000-0000-0000AD130000}"/>
    <cellStyle name="Normal 4 2 4 4 3 3 2" xfId="41083" xr:uid="{ED59800D-0665-4467-AE3C-B77871D3B729}"/>
    <cellStyle name="Normal 4 2 4 4 3 3 3" xfId="32636" xr:uid="{7FE7A05A-A1FA-4259-9678-A734C0339A2E}"/>
    <cellStyle name="Normal 4 2 4 4 3 3 4" xfId="24188" xr:uid="{FC2F75A9-E0C6-4121-B9DE-38C85288684C}"/>
    <cellStyle name="Normal 4 2 4 4 3 3 5" xfId="14891" xr:uid="{1C79E81A-8443-4282-AAAB-9D242EAA9169}"/>
    <cellStyle name="Normal 4 2 4 4 3 4" xfId="36866" xr:uid="{45FDCDF9-C1FF-4D4D-9A9A-BD537FB3671E}"/>
    <cellStyle name="Normal 4 2 4 4 3 5" xfId="28418" xr:uid="{17CB4E35-002C-4204-87E9-3B95942F5652}"/>
    <cellStyle name="Normal 4 2 4 4 3 6" xfId="19971" xr:uid="{B340D4A0-C631-4A58-912F-A1ACFEA86506}"/>
    <cellStyle name="Normal 4 2 4 4 3 7" xfId="10674" xr:uid="{0A50A042-649E-444C-9D7C-5450BC7895A3}"/>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43641" xr:uid="{A57E5B58-5B01-42B9-8AD0-1BF2BC9C75CF}"/>
    <cellStyle name="Normal 4 2 4 4 4 2 2 3" xfId="35194" xr:uid="{C9EBB421-DA37-4AAF-B12C-6DFE3FF80B67}"/>
    <cellStyle name="Normal 4 2 4 4 4 2 2 4" xfId="26746" xr:uid="{B88DD1D6-CC7E-4E75-8E15-B440F32A2023}"/>
    <cellStyle name="Normal 4 2 4 4 4 2 2 5" xfId="17449" xr:uid="{0AA036B0-6B35-415F-BAEA-9E905B4A230F}"/>
    <cellStyle name="Normal 4 2 4 4 4 2 3" xfId="39424" xr:uid="{651B9A92-CF12-4C9E-B3BE-71EA3F425F69}"/>
    <cellStyle name="Normal 4 2 4 4 4 2 4" xfId="30976" xr:uid="{BFABDA95-5A40-4415-9EDA-7E6295C53D1B}"/>
    <cellStyle name="Normal 4 2 4 4 4 2 5" xfId="22529" xr:uid="{C30A9A45-BB1F-47E3-91BE-670C06DB15DB}"/>
    <cellStyle name="Normal 4 2 4 4 4 2 6" xfId="13232" xr:uid="{DE458A18-1E31-45DF-86BA-9522570B4694}"/>
    <cellStyle name="Normal 4 2 4 4 4 3" xfId="5978" xr:uid="{00000000-0005-0000-0000-0000B1130000}"/>
    <cellStyle name="Normal 4 2 4 4 4 3 2" xfId="41496" xr:uid="{E45557B5-A9EC-406A-ABD5-835A21906DF7}"/>
    <cellStyle name="Normal 4 2 4 4 4 3 3" xfId="33049" xr:uid="{432753FF-76C0-47DD-B3D1-3034531D1D5E}"/>
    <cellStyle name="Normal 4 2 4 4 4 3 4" xfId="24601" xr:uid="{FA4A240B-B879-48E5-ABA1-A1AF5649E491}"/>
    <cellStyle name="Normal 4 2 4 4 4 3 5" xfId="15304" xr:uid="{27D3D699-F8D4-498E-AE00-D598CD803AEF}"/>
    <cellStyle name="Normal 4 2 4 4 4 4" xfId="37279" xr:uid="{3A2E5799-E20E-441D-ADDF-3CE7EEC493A6}"/>
    <cellStyle name="Normal 4 2 4 4 4 5" xfId="28831" xr:uid="{4A025FE9-C0DC-4468-99A5-CE0788485A09}"/>
    <cellStyle name="Normal 4 2 4 4 4 6" xfId="20384" xr:uid="{82BE9C21-E78E-490B-936F-B7E4E86D81A4}"/>
    <cellStyle name="Normal 4 2 4 4 4 7" xfId="11087" xr:uid="{514707D7-B576-459D-9974-79372E54F76C}"/>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44054" xr:uid="{7D64CA63-9F6A-495D-8D84-47F9F9B22313}"/>
    <cellStyle name="Normal 4 2 4 4 5 2 2 3" xfId="35607" xr:uid="{7306342C-5003-47E7-B4BE-9F53B6AA10D4}"/>
    <cellStyle name="Normal 4 2 4 4 5 2 2 4" xfId="27159" xr:uid="{D305CA66-F536-47C1-8D29-0E7565779328}"/>
    <cellStyle name="Normal 4 2 4 4 5 2 2 5" xfId="17862" xr:uid="{6F25F2F1-BAC9-48C2-A477-6C96264B70A7}"/>
    <cellStyle name="Normal 4 2 4 4 5 2 3" xfId="39837" xr:uid="{1014C665-18EA-4E00-8C95-2418D79B030A}"/>
    <cellStyle name="Normal 4 2 4 4 5 2 4" xfId="31389" xr:uid="{A028E37E-D889-4442-ADC7-D7E6B44B1119}"/>
    <cellStyle name="Normal 4 2 4 4 5 2 5" xfId="22942" xr:uid="{64681BA7-6706-4FB2-85CD-4E2E758AAD67}"/>
    <cellStyle name="Normal 4 2 4 4 5 2 6" xfId="13645" xr:uid="{7A238EF0-CF9B-4398-8B75-234554F6B2F0}"/>
    <cellStyle name="Normal 4 2 4 4 5 3" xfId="6391" xr:uid="{00000000-0005-0000-0000-0000B5130000}"/>
    <cellStyle name="Normal 4 2 4 4 5 3 2" xfId="41909" xr:uid="{4A33F9EA-71B0-48DC-87A2-CCD896DD99BD}"/>
    <cellStyle name="Normal 4 2 4 4 5 3 3" xfId="33462" xr:uid="{4C30DA74-9B05-4CDB-9AE7-F91325143E89}"/>
    <cellStyle name="Normal 4 2 4 4 5 3 4" xfId="25014" xr:uid="{ECDC2C35-2F97-4DA9-B7AA-D7EB07176453}"/>
    <cellStyle name="Normal 4 2 4 4 5 3 5" xfId="15717" xr:uid="{22EECD6E-9210-487B-977C-958D017D68FB}"/>
    <cellStyle name="Normal 4 2 4 4 5 4" xfId="37692" xr:uid="{CD247C66-2782-42D9-8009-867191A79EAB}"/>
    <cellStyle name="Normal 4 2 4 4 5 5" xfId="29244" xr:uid="{F8FBE224-7799-42E6-BBC6-82756B0FD0A4}"/>
    <cellStyle name="Normal 4 2 4 4 5 6" xfId="20797" xr:uid="{422C1719-1072-43A7-9D42-D2A58A0DA6E0}"/>
    <cellStyle name="Normal 4 2 4 4 5 7" xfId="11500" xr:uid="{D5AF64C1-6BAD-4ABC-8EDF-8A077803494D}"/>
    <cellStyle name="Normal 4 2 4 4 6" xfId="2521" xr:uid="{00000000-0005-0000-0000-0000B6130000}"/>
    <cellStyle name="Normal 4 2 4 4 6 2" xfId="6804" xr:uid="{00000000-0005-0000-0000-0000B7130000}"/>
    <cellStyle name="Normal 4 2 4 4 6 2 2" xfId="42322" xr:uid="{08C35A13-0960-4940-815F-B8A1AC57063A}"/>
    <cellStyle name="Normal 4 2 4 4 6 2 3" xfId="33875" xr:uid="{7430FE0F-35DE-4188-802A-7C3618B438DE}"/>
    <cellStyle name="Normal 4 2 4 4 6 2 4" xfId="25427" xr:uid="{A3B12C7A-EE02-4520-BE06-C449261DE23D}"/>
    <cellStyle name="Normal 4 2 4 4 6 2 5" xfId="16130" xr:uid="{E086FF2A-2621-4110-BFEF-151F7431D64B}"/>
    <cellStyle name="Normal 4 2 4 4 6 3" xfId="38105" xr:uid="{9B5ECF49-2377-4E0E-AC3D-FEBA94F6336A}"/>
    <cellStyle name="Normal 4 2 4 4 6 4" xfId="29657" xr:uid="{6E24148D-5338-43E1-A38D-1A7321AC07C6}"/>
    <cellStyle name="Normal 4 2 4 4 6 5" xfId="21210" xr:uid="{B6775EC4-B3D4-4097-B024-E4A8DB3EFBE1}"/>
    <cellStyle name="Normal 4 2 4 4 6 6" xfId="11913" xr:uid="{73DD7330-F66A-43BE-8F63-C7A01BF60AA3}"/>
    <cellStyle name="Normal 4 2 4 4 7" xfId="4739" xr:uid="{00000000-0005-0000-0000-0000B8130000}"/>
    <cellStyle name="Normal 4 2 4 4 7 2" xfId="40257" xr:uid="{1DD4CD51-E14E-46F5-BA12-80FC22DA9313}"/>
    <cellStyle name="Normal 4 2 4 4 7 3" xfId="31810" xr:uid="{87805D48-4255-42F6-BFC8-1373FCC85E98}"/>
    <cellStyle name="Normal 4 2 4 4 7 4" xfId="23362" xr:uid="{10FFD78D-770E-45CE-8F4C-DD24561F7A4C}"/>
    <cellStyle name="Normal 4 2 4 4 7 5" xfId="14065" xr:uid="{6F2E550C-EECB-410F-89D6-3944140A0E59}"/>
    <cellStyle name="Normal 4 2 4 4 8" xfId="8982" xr:uid="{4C273C9B-E12E-4EF2-812F-666600229207}"/>
    <cellStyle name="Normal 4 2 4 4 8 2" xfId="36040" xr:uid="{D5E2B313-A8C5-48D6-9CDC-E4B02F98624D}"/>
    <cellStyle name="Normal 4 2 4 4 8 3" xfId="18305" xr:uid="{11379A12-AC7D-451E-90B3-C2604C209AAE}"/>
    <cellStyle name="Normal 4 2 4 4 9" xfId="27592" xr:uid="{802DCB6F-5A4C-4E4E-9995-756A417B130D}"/>
    <cellStyle name="Normal 4 2 4 5" xfId="831" xr:uid="{00000000-0005-0000-0000-0000B9130000}"/>
    <cellStyle name="Normal 4 2 4 5 2" xfId="3068" xr:uid="{00000000-0005-0000-0000-0000BA130000}"/>
    <cellStyle name="Normal 4 2 4 5 2 2" xfId="7290" xr:uid="{00000000-0005-0000-0000-0000BB130000}"/>
    <cellStyle name="Normal 4 2 4 5 2 2 2" xfId="42808" xr:uid="{C10C8C03-DFEA-4B14-A695-6D79F23866BE}"/>
    <cellStyle name="Normal 4 2 4 5 2 2 3" xfId="34361" xr:uid="{9452772F-83D1-4F0C-82FD-847E6FEFD0B7}"/>
    <cellStyle name="Normal 4 2 4 5 2 2 4" xfId="25913" xr:uid="{9DA695C3-B6B7-4C85-AAC6-72FB7452473E}"/>
    <cellStyle name="Normal 4 2 4 5 2 2 5" xfId="16616" xr:uid="{4B57D426-7939-48E2-986F-33F29CAB5D33}"/>
    <cellStyle name="Normal 4 2 4 5 2 3" xfId="38591" xr:uid="{668C8A16-D79E-4B9D-B381-AE5B9A2B3081}"/>
    <cellStyle name="Normal 4 2 4 5 2 4" xfId="30143" xr:uid="{8BD3C8B6-700E-4B96-B663-5A163188A1AF}"/>
    <cellStyle name="Normal 4 2 4 5 2 5" xfId="21696" xr:uid="{D5241E66-44AA-418C-B328-FE8F7AC3F841}"/>
    <cellStyle name="Normal 4 2 4 5 2 6" xfId="12399" xr:uid="{785EEEFC-12AB-4B44-9A8E-62293E738A3C}"/>
    <cellStyle name="Normal 4 2 4 5 3" xfId="5145" xr:uid="{00000000-0005-0000-0000-0000BC130000}"/>
    <cellStyle name="Normal 4 2 4 5 3 2" xfId="40663" xr:uid="{8528FBD3-36E2-4214-8EE5-776FAFD1AED6}"/>
    <cellStyle name="Normal 4 2 4 5 3 3" xfId="32216" xr:uid="{F89AF5E0-C93D-4986-BE28-CE9969442A65}"/>
    <cellStyle name="Normal 4 2 4 5 3 4" xfId="23768" xr:uid="{70A2C096-C578-49C7-B705-94B14AC10948}"/>
    <cellStyle name="Normal 4 2 4 5 3 5" xfId="14471" xr:uid="{E46C31B3-B7EE-4630-9CFB-E02389E4485C}"/>
    <cellStyle name="Normal 4 2 4 5 4" xfId="9199" xr:uid="{1A9A2DC3-2FEA-4A30-A92C-84708E9B2741}"/>
    <cellStyle name="Normal 4 2 4 5 4 2" xfId="36446" xr:uid="{69C9B3EB-D49E-4C52-B192-370E62B4050F}"/>
    <cellStyle name="Normal 4 2 4 5 4 3" xfId="18513" xr:uid="{718280AB-6680-4C99-8CED-2737A167A3D1}"/>
    <cellStyle name="Normal 4 2 4 5 5" xfId="27998" xr:uid="{DC80FC4F-FC09-47D3-B851-EF7081EAFEB9}"/>
    <cellStyle name="Normal 4 2 4 5 6" xfId="19551" xr:uid="{E87F6882-9D2B-4ECF-81E1-E7C0B1400082}"/>
    <cellStyle name="Normal 4 2 4 5 7" xfId="10254" xr:uid="{BCEC91DA-D85B-4822-8662-3B4E2BF085E8}"/>
    <cellStyle name="Normal 4 2 4 6" xfId="1251" xr:uid="{00000000-0005-0000-0000-0000BD130000}"/>
    <cellStyle name="Normal 4 2 4 6 2" xfId="3481" xr:uid="{00000000-0005-0000-0000-0000BE130000}"/>
    <cellStyle name="Normal 4 2 4 6 2 2" xfId="7703" xr:uid="{00000000-0005-0000-0000-0000BF130000}"/>
    <cellStyle name="Normal 4 2 4 6 2 2 2" xfId="43221" xr:uid="{4D5356AF-2752-4551-BBD9-D2711AFD0B84}"/>
    <cellStyle name="Normal 4 2 4 6 2 2 3" xfId="34774" xr:uid="{43C191D7-E6A2-4E76-BE3E-D2897F0D1D0D}"/>
    <cellStyle name="Normal 4 2 4 6 2 2 4" xfId="26326" xr:uid="{60F93FC4-5C49-40EE-B229-936A0A31F3BA}"/>
    <cellStyle name="Normal 4 2 4 6 2 2 5" xfId="17029" xr:uid="{82E975B7-948C-4DAD-B1DC-14BFD0CAA3A6}"/>
    <cellStyle name="Normal 4 2 4 6 2 3" xfId="39004" xr:uid="{A89CD855-ACEB-4C30-951D-290DC727740F}"/>
    <cellStyle name="Normal 4 2 4 6 2 4" xfId="30556" xr:uid="{C3C7C061-2187-440C-9F13-3C80860DA60E}"/>
    <cellStyle name="Normal 4 2 4 6 2 5" xfId="22109" xr:uid="{7544062C-5F4C-43CD-B949-5581FDEB1665}"/>
    <cellStyle name="Normal 4 2 4 6 2 6" xfId="12812" xr:uid="{608D30C8-6377-4D7C-AD6D-5D3495DE6105}"/>
    <cellStyle name="Normal 4 2 4 6 3" xfId="5558" xr:uid="{00000000-0005-0000-0000-0000C0130000}"/>
    <cellStyle name="Normal 4 2 4 6 3 2" xfId="41076" xr:uid="{8732A3C4-E78E-41C5-A0E2-BBAFF2F10E8A}"/>
    <cellStyle name="Normal 4 2 4 6 3 3" xfId="32629" xr:uid="{46C42C22-C395-43F1-88CF-614F183A7849}"/>
    <cellStyle name="Normal 4 2 4 6 3 4" xfId="24181" xr:uid="{C2394D95-985C-45E3-B298-F79D74E8FD51}"/>
    <cellStyle name="Normal 4 2 4 6 3 5" xfId="14884" xr:uid="{4CDA1A77-D24E-49A4-A485-CDC76F32E95F}"/>
    <cellStyle name="Normal 4 2 4 6 4" xfId="36859" xr:uid="{E27791FB-4009-49E5-96FC-7C1A2C4DD357}"/>
    <cellStyle name="Normal 4 2 4 6 5" xfId="28411" xr:uid="{C3C59F3D-5B5F-4983-A2C1-A3F64AB81319}"/>
    <cellStyle name="Normal 4 2 4 6 6" xfId="19964" xr:uid="{817358EF-D674-4AF9-BD01-8C0A871F0B8F}"/>
    <cellStyle name="Normal 4 2 4 6 7" xfId="10667" xr:uid="{2DB8CF9E-7CFF-4348-87DA-5B9B76901713}"/>
    <cellStyle name="Normal 4 2 4 7" xfId="1664" xr:uid="{00000000-0005-0000-0000-0000C1130000}"/>
    <cellStyle name="Normal 4 2 4 7 2" xfId="3894" xr:uid="{00000000-0005-0000-0000-0000C2130000}"/>
    <cellStyle name="Normal 4 2 4 7 2 2" xfId="8116" xr:uid="{00000000-0005-0000-0000-0000C3130000}"/>
    <cellStyle name="Normal 4 2 4 7 2 2 2" xfId="43634" xr:uid="{DFC20C23-9823-4A4B-A001-257F973B6C5E}"/>
    <cellStyle name="Normal 4 2 4 7 2 2 3" xfId="35187" xr:uid="{7F7DC351-CBCF-4212-B4D7-8A1BE354983E}"/>
    <cellStyle name="Normal 4 2 4 7 2 2 4" xfId="26739" xr:uid="{CAB1302F-7E43-4E90-AFAE-D02A58F6D9A9}"/>
    <cellStyle name="Normal 4 2 4 7 2 2 5" xfId="17442" xr:uid="{D7D70DF0-1390-41BB-AE93-4079ABFFE7A8}"/>
    <cellStyle name="Normal 4 2 4 7 2 3" xfId="39417" xr:uid="{E78365EC-6E17-41E3-86AC-BDBC5FC3398F}"/>
    <cellStyle name="Normal 4 2 4 7 2 4" xfId="30969" xr:uid="{44F8928F-C1DF-49AF-AF8F-EF31F52DCA0E}"/>
    <cellStyle name="Normal 4 2 4 7 2 5" xfId="22522" xr:uid="{19929DDB-34A7-49CC-B54C-21848C4CBF22}"/>
    <cellStyle name="Normal 4 2 4 7 2 6" xfId="13225" xr:uid="{87DC6463-CD1D-4EDF-8F11-A13F23F975D6}"/>
    <cellStyle name="Normal 4 2 4 7 3" xfId="5971" xr:uid="{00000000-0005-0000-0000-0000C4130000}"/>
    <cellStyle name="Normal 4 2 4 7 3 2" xfId="41489" xr:uid="{646AD29A-D15D-4874-9D07-1B79516EE784}"/>
    <cellStyle name="Normal 4 2 4 7 3 3" xfId="33042" xr:uid="{366996AF-9155-4EC9-A0CA-E52FADC112AC}"/>
    <cellStyle name="Normal 4 2 4 7 3 4" xfId="24594" xr:uid="{A55CED09-CF28-467C-AF1C-9938C1BFB9D9}"/>
    <cellStyle name="Normal 4 2 4 7 3 5" xfId="15297" xr:uid="{C45E3B15-0EE6-4388-B30E-E220521E779C}"/>
    <cellStyle name="Normal 4 2 4 7 4" xfId="37272" xr:uid="{4255A070-DCD1-4C2C-A1E9-3759E351EBA4}"/>
    <cellStyle name="Normal 4 2 4 7 5" xfId="28824" xr:uid="{BCD449A5-F587-4BFA-B801-66A83DDF100E}"/>
    <cellStyle name="Normal 4 2 4 7 6" xfId="20377" xr:uid="{B15D6F45-DBF6-4E89-9609-84BC7D3DDE40}"/>
    <cellStyle name="Normal 4 2 4 7 7" xfId="11080" xr:uid="{D0A4614D-8720-493A-A4E1-71EA92906A13}"/>
    <cellStyle name="Normal 4 2 4 8" xfId="2078" xr:uid="{00000000-0005-0000-0000-0000C5130000}"/>
    <cellStyle name="Normal 4 2 4 8 2" xfId="4307" xr:uid="{00000000-0005-0000-0000-0000C6130000}"/>
    <cellStyle name="Normal 4 2 4 8 2 2" xfId="8529" xr:uid="{00000000-0005-0000-0000-0000C7130000}"/>
    <cellStyle name="Normal 4 2 4 8 2 2 2" xfId="44047" xr:uid="{17CC633C-F654-4207-82C2-7296288D6A78}"/>
    <cellStyle name="Normal 4 2 4 8 2 2 3" xfId="35600" xr:uid="{7C2C1EA0-B962-4537-9A15-6DC77DDA3B6C}"/>
    <cellStyle name="Normal 4 2 4 8 2 2 4" xfId="27152" xr:uid="{33F2B540-2A8D-481A-9C20-1E17928B4F2C}"/>
    <cellStyle name="Normal 4 2 4 8 2 2 5" xfId="17855" xr:uid="{BEE4F201-8972-4063-9F4E-766A8C404F17}"/>
    <cellStyle name="Normal 4 2 4 8 2 3" xfId="39830" xr:uid="{2666C39F-A39B-448D-8A21-75C0907FD2B4}"/>
    <cellStyle name="Normal 4 2 4 8 2 4" xfId="31382" xr:uid="{49F1D6F3-A41B-4AAB-8A92-1ACE6F7738B1}"/>
    <cellStyle name="Normal 4 2 4 8 2 5" xfId="22935" xr:uid="{DC21A079-E700-440D-857B-38748EB49F45}"/>
    <cellStyle name="Normal 4 2 4 8 2 6" xfId="13638" xr:uid="{85ADF78C-5096-4868-8BB7-3AB5D4681998}"/>
    <cellStyle name="Normal 4 2 4 8 3" xfId="6384" xr:uid="{00000000-0005-0000-0000-0000C8130000}"/>
    <cellStyle name="Normal 4 2 4 8 3 2" xfId="41902" xr:uid="{3D92CCDF-4797-4496-AE63-741982FA5F7F}"/>
    <cellStyle name="Normal 4 2 4 8 3 3" xfId="33455" xr:uid="{28D28ABA-55A4-4C92-B506-A82B0A850801}"/>
    <cellStyle name="Normal 4 2 4 8 3 4" xfId="25007" xr:uid="{9B2EED7B-6390-4D32-AC60-407CD89BF2BB}"/>
    <cellStyle name="Normal 4 2 4 8 3 5" xfId="15710" xr:uid="{7769DE88-4DDF-42FE-B653-B99971157FB9}"/>
    <cellStyle name="Normal 4 2 4 8 4" xfId="37685" xr:uid="{9F2EED19-8869-4D31-85B0-7B5F9A5E5FF5}"/>
    <cellStyle name="Normal 4 2 4 8 5" xfId="29237" xr:uid="{35AF5F12-B9BF-427D-8CE4-8FAA7327BAEE}"/>
    <cellStyle name="Normal 4 2 4 8 6" xfId="20790" xr:uid="{19314960-F82B-40F4-991D-B3F346A36F78}"/>
    <cellStyle name="Normal 4 2 4 8 7" xfId="11493" xr:uid="{9F572658-31FC-4A0F-AA27-0BCAE89A4897}"/>
    <cellStyle name="Normal 4 2 4 9" xfId="2514" xr:uid="{00000000-0005-0000-0000-0000C9130000}"/>
    <cellStyle name="Normal 4 2 4 9 2" xfId="6797" xr:uid="{00000000-0005-0000-0000-0000CA130000}"/>
    <cellStyle name="Normal 4 2 4 9 2 2" xfId="42315" xr:uid="{073EFA92-2DF5-4F7D-B502-691835E07AA9}"/>
    <cellStyle name="Normal 4 2 4 9 2 3" xfId="33868" xr:uid="{73916B06-7C6A-4EB5-8A5A-54D22F7B659D}"/>
    <cellStyle name="Normal 4 2 4 9 2 4" xfId="25420" xr:uid="{9355425A-A70C-4B76-9849-0818327CB783}"/>
    <cellStyle name="Normal 4 2 4 9 2 5" xfId="16123" xr:uid="{44173547-BCEB-45DA-BE29-169D3EE4D1BE}"/>
    <cellStyle name="Normal 4 2 4 9 3" xfId="38098" xr:uid="{3EE8F0EE-A329-4AFF-B560-4C3E78560B0D}"/>
    <cellStyle name="Normal 4 2 4 9 4" xfId="29650" xr:uid="{4E9CBADF-9236-4736-A45C-12BA518FBF9B}"/>
    <cellStyle name="Normal 4 2 4 9 5" xfId="21203" xr:uid="{ABEFABC1-ADC4-4725-8E9F-4BEA4F116886}"/>
    <cellStyle name="Normal 4 2 4 9 6" xfId="11906" xr:uid="{661A1FF8-FC81-42E1-A771-DF1E327B8166}"/>
    <cellStyle name="Normal 4 2 5" xfId="363" xr:uid="{00000000-0005-0000-0000-0000CB130000}"/>
    <cellStyle name="Normal 4 2 5 10" xfId="27593" xr:uid="{EA5CAE30-6060-4CB6-A1A2-ED11973CAB1E}"/>
    <cellStyle name="Normal 4 2 5 11" xfId="19146" xr:uid="{C015ED6D-CE32-42A3-846D-774B27A0BA64}"/>
    <cellStyle name="Normal 4 2 5 12" xfId="9849" xr:uid="{478BAF69-2910-43F7-AF1D-B06D91EE4277}"/>
    <cellStyle name="Normal 4 2 5 2" xfId="364" xr:uid="{00000000-0005-0000-0000-0000CC130000}"/>
    <cellStyle name="Normal 4 2 5 2 10" xfId="19147" xr:uid="{B20FA14F-B516-42AD-A761-CBD261733078}"/>
    <cellStyle name="Normal 4 2 5 2 11" xfId="9850" xr:uid="{EF629345-5C81-48B5-A988-EE7509FD1D5C}"/>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42817" xr:uid="{6444EDDB-0238-429B-B5D7-24436E7DE6DF}"/>
    <cellStyle name="Normal 4 2 5 2 2 2 2 3" xfId="34370" xr:uid="{3F926E06-1830-4431-A060-B03842DC15E2}"/>
    <cellStyle name="Normal 4 2 5 2 2 2 2 4" xfId="25922" xr:uid="{78D71EB1-AF81-4B51-A260-32A7E84E08E0}"/>
    <cellStyle name="Normal 4 2 5 2 2 2 2 5" xfId="16625" xr:uid="{C921DC5B-7B29-42E8-A685-689E808E18A4}"/>
    <cellStyle name="Normal 4 2 5 2 2 2 3" xfId="38600" xr:uid="{E50CFD4E-7362-4AB8-87C1-1DDDF1F5CA16}"/>
    <cellStyle name="Normal 4 2 5 2 2 2 4" xfId="30152" xr:uid="{C21FB555-881C-4E81-A43E-95B6DD0F832A}"/>
    <cellStyle name="Normal 4 2 5 2 2 2 5" xfId="21705" xr:uid="{5F84FAAF-1837-483E-8DB8-BD28537B2A75}"/>
    <cellStyle name="Normal 4 2 5 2 2 2 6" xfId="12408" xr:uid="{9C749B35-D511-45C1-9858-FC27A3C51D3F}"/>
    <cellStyle name="Normal 4 2 5 2 2 3" xfId="5154" xr:uid="{00000000-0005-0000-0000-0000D0130000}"/>
    <cellStyle name="Normal 4 2 5 2 2 3 2" xfId="40672" xr:uid="{06E63C3A-9CF2-4F72-A4A4-33E579449F39}"/>
    <cellStyle name="Normal 4 2 5 2 2 3 3" xfId="32225" xr:uid="{1D64EACE-4252-4062-A91B-1FE4ECA5D573}"/>
    <cellStyle name="Normal 4 2 5 2 2 3 4" xfId="23777" xr:uid="{CD7AE8B9-F6C9-44C6-8083-46A9347AB5FC}"/>
    <cellStyle name="Normal 4 2 5 2 2 3 5" xfId="14480" xr:uid="{122C9363-B561-4A47-B060-0FDB45A1CD09}"/>
    <cellStyle name="Normal 4 2 5 2 2 4" xfId="9478" xr:uid="{9FEAEEC2-067D-4244-BB0F-0858128140EB}"/>
    <cellStyle name="Normal 4 2 5 2 2 4 2" xfId="36455" xr:uid="{F70E5701-1FAD-4540-B144-D492AD5878C5}"/>
    <cellStyle name="Normal 4 2 5 2 2 4 3" xfId="18791" xr:uid="{A8C38494-9950-43C0-8DAD-D6BFE8B62F32}"/>
    <cellStyle name="Normal 4 2 5 2 2 5" xfId="28007" xr:uid="{35B0F2EC-B14F-4394-AB91-9E805EEABBB1}"/>
    <cellStyle name="Normal 4 2 5 2 2 6" xfId="19560" xr:uid="{5E582D67-363E-456C-9BE4-5A179539A193}"/>
    <cellStyle name="Normal 4 2 5 2 2 7" xfId="10263" xr:uid="{B1C46124-40B3-4C68-98BE-255E5694C30B}"/>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43230" xr:uid="{5AA04117-6327-488E-9500-EBC55DE6263A}"/>
    <cellStyle name="Normal 4 2 5 2 3 2 2 3" xfId="34783" xr:uid="{46DBB051-E653-47C7-B0ED-4440A094A22A}"/>
    <cellStyle name="Normal 4 2 5 2 3 2 2 4" xfId="26335" xr:uid="{389F88DB-333E-4AF2-A3F9-4C24D4D8AE89}"/>
    <cellStyle name="Normal 4 2 5 2 3 2 2 5" xfId="17038" xr:uid="{CCDF43A4-877C-484E-AAC8-D828FBAAF294}"/>
    <cellStyle name="Normal 4 2 5 2 3 2 3" xfId="39013" xr:uid="{6DFFE5DF-0246-4C7F-86FE-83575824A664}"/>
    <cellStyle name="Normal 4 2 5 2 3 2 4" xfId="30565" xr:uid="{C321AEAF-2F1A-4BE8-B59B-BA753CD8947E}"/>
    <cellStyle name="Normal 4 2 5 2 3 2 5" xfId="22118" xr:uid="{0D61BCDE-699D-4862-8985-DD267B3CC437}"/>
    <cellStyle name="Normal 4 2 5 2 3 2 6" xfId="12821" xr:uid="{496B0C71-E214-4845-A113-A1073C85AD77}"/>
    <cellStyle name="Normal 4 2 5 2 3 3" xfId="5567" xr:uid="{00000000-0005-0000-0000-0000D4130000}"/>
    <cellStyle name="Normal 4 2 5 2 3 3 2" xfId="41085" xr:uid="{8D366C69-C6F1-4E80-B707-19E5EFEFDCFD}"/>
    <cellStyle name="Normal 4 2 5 2 3 3 3" xfId="32638" xr:uid="{F30E726B-6D03-4BFF-8E7C-7FD5D8068FAA}"/>
    <cellStyle name="Normal 4 2 5 2 3 3 4" xfId="24190" xr:uid="{BE79BCF0-6333-416C-B922-097EF2D67A9F}"/>
    <cellStyle name="Normal 4 2 5 2 3 3 5" xfId="14893" xr:uid="{95401D89-23D4-4331-8286-5C1529C0935A}"/>
    <cellStyle name="Normal 4 2 5 2 3 4" xfId="36868" xr:uid="{C39C5A26-1A41-4259-892C-E5612A6C2A0A}"/>
    <cellStyle name="Normal 4 2 5 2 3 5" xfId="28420" xr:uid="{D095F1BC-104E-49FA-9D6E-B7D52F22F7B1}"/>
    <cellStyle name="Normal 4 2 5 2 3 6" xfId="19973" xr:uid="{3415D8A4-72B0-4C25-9818-963667293586}"/>
    <cellStyle name="Normal 4 2 5 2 3 7" xfId="10676" xr:uid="{4FD2BC0C-B758-4700-99DF-85F9F505CA86}"/>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43643" xr:uid="{F6643851-BCCE-455E-A6AD-639DA7168CAB}"/>
    <cellStyle name="Normal 4 2 5 2 4 2 2 3" xfId="35196" xr:uid="{AB37FC35-5B16-4301-A4D0-FB7D80FCD964}"/>
    <cellStyle name="Normal 4 2 5 2 4 2 2 4" xfId="26748" xr:uid="{0B665D71-A3F0-4718-A5FB-BDCA5CE15C40}"/>
    <cellStyle name="Normal 4 2 5 2 4 2 2 5" xfId="17451" xr:uid="{0057211C-6ED4-48EA-AB74-6EEAEDABCB14}"/>
    <cellStyle name="Normal 4 2 5 2 4 2 3" xfId="39426" xr:uid="{8F4AD2DD-AE81-45B6-9137-91DE325AEE12}"/>
    <cellStyle name="Normal 4 2 5 2 4 2 4" xfId="30978" xr:uid="{EF72DB8D-17F6-420B-8A6E-008018986B1D}"/>
    <cellStyle name="Normal 4 2 5 2 4 2 5" xfId="22531" xr:uid="{9D603D53-972B-47A9-8785-BD08C764A474}"/>
    <cellStyle name="Normal 4 2 5 2 4 2 6" xfId="13234" xr:uid="{10C6838A-CA15-4F18-80D2-247E73723567}"/>
    <cellStyle name="Normal 4 2 5 2 4 3" xfId="5980" xr:uid="{00000000-0005-0000-0000-0000D8130000}"/>
    <cellStyle name="Normal 4 2 5 2 4 3 2" xfId="41498" xr:uid="{8266770E-831F-439A-801F-09E5F5CD5930}"/>
    <cellStyle name="Normal 4 2 5 2 4 3 3" xfId="33051" xr:uid="{6B65F1D8-103B-48FB-8446-C09CA5E79551}"/>
    <cellStyle name="Normal 4 2 5 2 4 3 4" xfId="24603" xr:uid="{1C3A91E7-B896-4D51-BD20-861CC90E170F}"/>
    <cellStyle name="Normal 4 2 5 2 4 3 5" xfId="15306" xr:uid="{07D51B29-4EC0-4EA2-BD66-9DE5728FCF2C}"/>
    <cellStyle name="Normal 4 2 5 2 4 4" xfId="37281" xr:uid="{6E1AFB8E-58FE-4046-B2EC-00A26266AA58}"/>
    <cellStyle name="Normal 4 2 5 2 4 5" xfId="28833" xr:uid="{BB2AFBF0-885C-403E-897E-02CA8B4DB992}"/>
    <cellStyle name="Normal 4 2 5 2 4 6" xfId="20386" xr:uid="{FD02680B-312E-4FAB-8CB6-A402FD8B1447}"/>
    <cellStyle name="Normal 4 2 5 2 4 7" xfId="11089" xr:uid="{892834CE-ED00-475B-8FD6-159429C0F61B}"/>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44056" xr:uid="{D4BDD813-A803-4227-A2A0-6E93C1F90441}"/>
    <cellStyle name="Normal 4 2 5 2 5 2 2 3" xfId="35609" xr:uid="{BCE1540B-0493-4C95-A357-95C1DE52B239}"/>
    <cellStyle name="Normal 4 2 5 2 5 2 2 4" xfId="27161" xr:uid="{EE8AEE9E-C233-4857-944D-391C2C7E464E}"/>
    <cellStyle name="Normal 4 2 5 2 5 2 2 5" xfId="17864" xr:uid="{4D0429B1-AD52-4A4B-96CA-46E73104866D}"/>
    <cellStyle name="Normal 4 2 5 2 5 2 3" xfId="39839" xr:uid="{47F63ADF-6DEB-4C71-97B1-1F858A76CBBD}"/>
    <cellStyle name="Normal 4 2 5 2 5 2 4" xfId="31391" xr:uid="{9B51C165-325D-4867-A310-4495979A5AE2}"/>
    <cellStyle name="Normal 4 2 5 2 5 2 5" xfId="22944" xr:uid="{D33C8929-78FF-43B7-882B-6BEADA947203}"/>
    <cellStyle name="Normal 4 2 5 2 5 2 6" xfId="13647" xr:uid="{7782AE48-773B-48AE-AE4A-24077A566595}"/>
    <cellStyle name="Normal 4 2 5 2 5 3" xfId="6393" xr:uid="{00000000-0005-0000-0000-0000DC130000}"/>
    <cellStyle name="Normal 4 2 5 2 5 3 2" xfId="41911" xr:uid="{C4A61DD4-8606-4725-96F7-5C09273AB1BA}"/>
    <cellStyle name="Normal 4 2 5 2 5 3 3" xfId="33464" xr:uid="{20A7985F-748C-4323-B70F-0B2EE83CBEB8}"/>
    <cellStyle name="Normal 4 2 5 2 5 3 4" xfId="25016" xr:uid="{724009D1-8BD1-43BD-A619-E8B5AFCD14C8}"/>
    <cellStyle name="Normal 4 2 5 2 5 3 5" xfId="15719" xr:uid="{7BEAEBD7-585E-4649-AAFD-BB70FAFB8707}"/>
    <cellStyle name="Normal 4 2 5 2 5 4" xfId="37694" xr:uid="{5A1B217F-E1BD-4239-BD6A-4D2A3EE08E8A}"/>
    <cellStyle name="Normal 4 2 5 2 5 5" xfId="29246" xr:uid="{460C9703-1090-4244-BE9C-835834886BD2}"/>
    <cellStyle name="Normal 4 2 5 2 5 6" xfId="20799" xr:uid="{C8E61D1C-6892-4102-845C-9D38B95F00AB}"/>
    <cellStyle name="Normal 4 2 5 2 5 7" xfId="11502" xr:uid="{E330A5AE-052E-48CA-ABEE-6B961CDDE0A9}"/>
    <cellStyle name="Normal 4 2 5 2 6" xfId="2523" xr:uid="{00000000-0005-0000-0000-0000DD130000}"/>
    <cellStyle name="Normal 4 2 5 2 6 2" xfId="6806" xr:uid="{00000000-0005-0000-0000-0000DE130000}"/>
    <cellStyle name="Normal 4 2 5 2 6 2 2" xfId="42324" xr:uid="{0AB25F05-DAFF-4B03-8A36-DA6A5158F280}"/>
    <cellStyle name="Normal 4 2 5 2 6 2 3" xfId="33877" xr:uid="{B878F9F0-13D7-4FD3-857C-029F3F65CC03}"/>
    <cellStyle name="Normal 4 2 5 2 6 2 4" xfId="25429" xr:uid="{C5FF49A0-823B-4088-A0DE-D4BCBEFA8359}"/>
    <cellStyle name="Normal 4 2 5 2 6 2 5" xfId="16132" xr:uid="{736AA03A-A3C0-4A15-A0FE-101D97F94474}"/>
    <cellStyle name="Normal 4 2 5 2 6 3" xfId="38107" xr:uid="{EA73BB72-C41D-4D86-8156-272F5BE3C9FD}"/>
    <cellStyle name="Normal 4 2 5 2 6 4" xfId="29659" xr:uid="{F088DDC6-2558-4B78-AC9B-1FF5B22CB192}"/>
    <cellStyle name="Normal 4 2 5 2 6 5" xfId="21212" xr:uid="{459E96D3-65FB-4964-84BE-0DBC27983A6D}"/>
    <cellStyle name="Normal 4 2 5 2 6 6" xfId="11915" xr:uid="{1581B53D-80E1-486A-A63B-25EC08CBAFD2}"/>
    <cellStyle name="Normal 4 2 5 2 7" xfId="4741" xr:uid="{00000000-0005-0000-0000-0000DF130000}"/>
    <cellStyle name="Normal 4 2 5 2 7 2" xfId="40259" xr:uid="{892F35E6-7330-435C-BEE5-38152D14BF40}"/>
    <cellStyle name="Normal 4 2 5 2 7 3" xfId="31812" xr:uid="{4F35A99E-90CB-43EB-8959-509AF7FAE010}"/>
    <cellStyle name="Normal 4 2 5 2 7 4" xfId="23364" xr:uid="{22DDE08A-C579-473C-8725-4A16E0596892}"/>
    <cellStyle name="Normal 4 2 5 2 7 5" xfId="14067" xr:uid="{68210BB2-53F6-4838-A695-7E28B7CFD9C9}"/>
    <cellStyle name="Normal 4 2 5 2 8" xfId="9053" xr:uid="{0AE18A98-D9E6-47B9-86B0-DDAD3BC77B48}"/>
    <cellStyle name="Normal 4 2 5 2 8 2" xfId="36042" xr:uid="{A6553BC6-1340-4C49-9D3F-BE117094714E}"/>
    <cellStyle name="Normal 4 2 5 2 8 3" xfId="18376" xr:uid="{B3EE4A76-45A2-4608-B5E9-DBCF78AB4D3A}"/>
    <cellStyle name="Normal 4 2 5 2 9" xfId="27594" xr:uid="{57489A36-5712-4060-A36F-A7AA8FF002C6}"/>
    <cellStyle name="Normal 4 2 5 3" xfId="839" xr:uid="{00000000-0005-0000-0000-0000E0130000}"/>
    <cellStyle name="Normal 4 2 5 3 2" xfId="3076" xr:uid="{00000000-0005-0000-0000-0000E1130000}"/>
    <cellStyle name="Normal 4 2 5 3 2 2" xfId="7298" xr:uid="{00000000-0005-0000-0000-0000E2130000}"/>
    <cellStyle name="Normal 4 2 5 3 2 2 2" xfId="42816" xr:uid="{D315DF19-96CD-4AB0-BA05-C0249B2868E4}"/>
    <cellStyle name="Normal 4 2 5 3 2 2 3" xfId="34369" xr:uid="{6C8085A0-02DC-4F87-AD60-E95E6E874C6A}"/>
    <cellStyle name="Normal 4 2 5 3 2 2 4" xfId="25921" xr:uid="{58369C6B-EE60-4A4A-B4DD-0C4E31615066}"/>
    <cellStyle name="Normal 4 2 5 3 2 2 5" xfId="16624" xr:uid="{0FC0949C-59EC-4BD0-9402-38F93250FBA8}"/>
    <cellStyle name="Normal 4 2 5 3 2 3" xfId="38599" xr:uid="{EE82764E-87D3-4B18-8E77-4A13273B1818}"/>
    <cellStyle name="Normal 4 2 5 3 2 4" xfId="30151" xr:uid="{F9FCF72F-79CE-46B4-9E92-F26795B52540}"/>
    <cellStyle name="Normal 4 2 5 3 2 5" xfId="21704" xr:uid="{91B9CA37-BADA-405F-9FBC-67886BAB0ACB}"/>
    <cellStyle name="Normal 4 2 5 3 2 6" xfId="12407" xr:uid="{9D90FA41-4C61-4C39-9628-1C317494C50A}"/>
    <cellStyle name="Normal 4 2 5 3 3" xfId="5153" xr:uid="{00000000-0005-0000-0000-0000E3130000}"/>
    <cellStyle name="Normal 4 2 5 3 3 2" xfId="40671" xr:uid="{A30696A3-8561-47C2-B19D-058AE3302DF1}"/>
    <cellStyle name="Normal 4 2 5 3 3 3" xfId="32224" xr:uid="{3996F524-3EA0-4C88-BBA7-898CC670EA4D}"/>
    <cellStyle name="Normal 4 2 5 3 3 4" xfId="23776" xr:uid="{85CC5C4D-7034-443C-97BD-0C043DB55DDA}"/>
    <cellStyle name="Normal 4 2 5 3 3 5" xfId="14479" xr:uid="{BA63511F-23FE-4763-A0E0-E7730F7ED654}"/>
    <cellStyle name="Normal 4 2 5 3 4" xfId="9271" xr:uid="{41AE7BB1-E3C7-48BD-B24F-55AE39E68BB6}"/>
    <cellStyle name="Normal 4 2 5 3 4 2" xfId="36454" xr:uid="{8C73E55D-F497-4E65-947C-996E7706CBD4}"/>
    <cellStyle name="Normal 4 2 5 3 4 3" xfId="18584" xr:uid="{8F76125A-6B1A-4E46-936C-E03A0DCB6761}"/>
    <cellStyle name="Normal 4 2 5 3 5" xfId="28006" xr:uid="{FBCBA5AF-0A21-436A-980F-407FFE09CB78}"/>
    <cellStyle name="Normal 4 2 5 3 6" xfId="19559" xr:uid="{A00519C0-0142-4A77-9789-106F84562389}"/>
    <cellStyle name="Normal 4 2 5 3 7" xfId="10262" xr:uid="{F74651A0-932B-4D79-AB17-EE315CD37E03}"/>
    <cellStyle name="Normal 4 2 5 4" xfId="1259" xr:uid="{00000000-0005-0000-0000-0000E4130000}"/>
    <cellStyle name="Normal 4 2 5 4 2" xfId="3489" xr:uid="{00000000-0005-0000-0000-0000E5130000}"/>
    <cellStyle name="Normal 4 2 5 4 2 2" xfId="7711" xr:uid="{00000000-0005-0000-0000-0000E6130000}"/>
    <cellStyle name="Normal 4 2 5 4 2 2 2" xfId="43229" xr:uid="{A7DA47F3-A3AD-4699-9E58-AAC46F8DC2AC}"/>
    <cellStyle name="Normal 4 2 5 4 2 2 3" xfId="34782" xr:uid="{A21C09D1-CC7A-4F7E-9431-D2481AA44B9E}"/>
    <cellStyle name="Normal 4 2 5 4 2 2 4" xfId="26334" xr:uid="{BFEFB63B-D6AA-489D-83FC-D4C275671A63}"/>
    <cellStyle name="Normal 4 2 5 4 2 2 5" xfId="17037" xr:uid="{A992329C-66B4-4225-8B3C-722621740507}"/>
    <cellStyle name="Normal 4 2 5 4 2 3" xfId="39012" xr:uid="{65F33DCA-472F-416A-8537-A9304EB0ADCE}"/>
    <cellStyle name="Normal 4 2 5 4 2 4" xfId="30564" xr:uid="{242F1D73-8137-4B98-BF42-E5EE3510EB14}"/>
    <cellStyle name="Normal 4 2 5 4 2 5" xfId="22117" xr:uid="{99EADC7A-3BC5-4008-AE43-7EAD72A504C8}"/>
    <cellStyle name="Normal 4 2 5 4 2 6" xfId="12820" xr:uid="{32C4258F-EB56-4ED9-8097-8F635DEAE242}"/>
    <cellStyle name="Normal 4 2 5 4 3" xfId="5566" xr:uid="{00000000-0005-0000-0000-0000E7130000}"/>
    <cellStyle name="Normal 4 2 5 4 3 2" xfId="41084" xr:uid="{B36058B3-032B-47E2-A717-EB4E40441FA0}"/>
    <cellStyle name="Normal 4 2 5 4 3 3" xfId="32637" xr:uid="{592C5233-8974-40A8-8A01-F47B67FC642B}"/>
    <cellStyle name="Normal 4 2 5 4 3 4" xfId="24189" xr:uid="{99691A52-D546-4BBE-808E-8CBDA44AC4F4}"/>
    <cellStyle name="Normal 4 2 5 4 3 5" xfId="14892" xr:uid="{540D2A37-7150-43FA-91A3-4CC8D580460E}"/>
    <cellStyle name="Normal 4 2 5 4 4" xfId="36867" xr:uid="{3E1A6D05-C81A-45E9-8996-C5FC896692D5}"/>
    <cellStyle name="Normal 4 2 5 4 5" xfId="28419" xr:uid="{1BCD321A-EC26-490C-BA82-D635B5AE820F}"/>
    <cellStyle name="Normal 4 2 5 4 6" xfId="19972" xr:uid="{495DA38D-F1D6-4243-99FB-857949831DA8}"/>
    <cellStyle name="Normal 4 2 5 4 7" xfId="10675" xr:uid="{0006F964-BD25-450A-9211-9D6A96EE965D}"/>
    <cellStyle name="Normal 4 2 5 5" xfId="1672" xr:uid="{00000000-0005-0000-0000-0000E8130000}"/>
    <cellStyle name="Normal 4 2 5 5 2" xfId="3902" xr:uid="{00000000-0005-0000-0000-0000E9130000}"/>
    <cellStyle name="Normal 4 2 5 5 2 2" xfId="8124" xr:uid="{00000000-0005-0000-0000-0000EA130000}"/>
    <cellStyle name="Normal 4 2 5 5 2 2 2" xfId="43642" xr:uid="{55169192-8787-4E3C-BF19-1B66F0DD278D}"/>
    <cellStyle name="Normal 4 2 5 5 2 2 3" xfId="35195" xr:uid="{AEAE4CAE-F457-4D7F-894E-1872CD1DF54C}"/>
    <cellStyle name="Normal 4 2 5 5 2 2 4" xfId="26747" xr:uid="{32DDCF31-6251-41AE-AA40-9D036D68AFC3}"/>
    <cellStyle name="Normal 4 2 5 5 2 2 5" xfId="17450" xr:uid="{3A9DE8A2-79B3-42AA-A888-2DC6DB8BC74D}"/>
    <cellStyle name="Normal 4 2 5 5 2 3" xfId="39425" xr:uid="{700AE9C9-1EA6-44D8-84A8-64C2D1F08B1A}"/>
    <cellStyle name="Normal 4 2 5 5 2 4" xfId="30977" xr:uid="{CCCDD220-CE42-4942-A7E0-7BDD019D0F2F}"/>
    <cellStyle name="Normal 4 2 5 5 2 5" xfId="22530" xr:uid="{EBE31223-C9A7-43A0-8C90-C68C9ADF3E0F}"/>
    <cellStyle name="Normal 4 2 5 5 2 6" xfId="13233" xr:uid="{12A0B119-A64B-4EDC-8D55-4D16BC97B477}"/>
    <cellStyle name="Normal 4 2 5 5 3" xfId="5979" xr:uid="{00000000-0005-0000-0000-0000EB130000}"/>
    <cellStyle name="Normal 4 2 5 5 3 2" xfId="41497" xr:uid="{D6BC47B2-2E74-4673-B6B6-1AA19A598058}"/>
    <cellStyle name="Normal 4 2 5 5 3 3" xfId="33050" xr:uid="{5497F253-244F-4EE0-8408-E6ED2AEA784C}"/>
    <cellStyle name="Normal 4 2 5 5 3 4" xfId="24602" xr:uid="{78EF5717-89A3-44E8-B701-BB9E9D720F5B}"/>
    <cellStyle name="Normal 4 2 5 5 3 5" xfId="15305" xr:uid="{C703B85D-6C62-4A35-9A96-337B306AE457}"/>
    <cellStyle name="Normal 4 2 5 5 4" xfId="37280" xr:uid="{50AB35BE-9102-49E2-A151-571CA4333C6D}"/>
    <cellStyle name="Normal 4 2 5 5 5" xfId="28832" xr:uid="{F118B236-4F81-4A4E-8423-8E74B75E96F5}"/>
    <cellStyle name="Normal 4 2 5 5 6" xfId="20385" xr:uid="{99FA53CD-3E9F-440D-81C7-E731C2D39ED9}"/>
    <cellStyle name="Normal 4 2 5 5 7" xfId="11088" xr:uid="{35390178-8D4E-4D2B-B80A-01C27170F114}"/>
    <cellStyle name="Normal 4 2 5 6" xfId="2086" xr:uid="{00000000-0005-0000-0000-0000EC130000}"/>
    <cellStyle name="Normal 4 2 5 6 2" xfId="4315" xr:uid="{00000000-0005-0000-0000-0000ED130000}"/>
    <cellStyle name="Normal 4 2 5 6 2 2" xfId="8537" xr:uid="{00000000-0005-0000-0000-0000EE130000}"/>
    <cellStyle name="Normal 4 2 5 6 2 2 2" xfId="44055" xr:uid="{12319072-30AA-4FBB-B9FC-D1D9F0986E2E}"/>
    <cellStyle name="Normal 4 2 5 6 2 2 3" xfId="35608" xr:uid="{C559C8C0-DD44-44D0-ADFF-27C4F6F11221}"/>
    <cellStyle name="Normal 4 2 5 6 2 2 4" xfId="27160" xr:uid="{578830C7-5A1F-4774-9F84-10C7E6B4765B}"/>
    <cellStyle name="Normal 4 2 5 6 2 2 5" xfId="17863" xr:uid="{CFB820B0-326E-45F6-81F6-5CC06565B6A2}"/>
    <cellStyle name="Normal 4 2 5 6 2 3" xfId="39838" xr:uid="{97940884-6175-486C-8347-074C3997689C}"/>
    <cellStyle name="Normal 4 2 5 6 2 4" xfId="31390" xr:uid="{BACB7160-B879-4DD8-ACFE-4A56EAA78088}"/>
    <cellStyle name="Normal 4 2 5 6 2 5" xfId="22943" xr:uid="{BE6168BE-E6B9-4A30-AFB4-F4E8EBFCA04E}"/>
    <cellStyle name="Normal 4 2 5 6 2 6" xfId="13646" xr:uid="{4A42B75D-9641-4649-8FC0-BAE7FCD4B237}"/>
    <cellStyle name="Normal 4 2 5 6 3" xfId="6392" xr:uid="{00000000-0005-0000-0000-0000EF130000}"/>
    <cellStyle name="Normal 4 2 5 6 3 2" xfId="41910" xr:uid="{FC9D68C4-E80A-486D-AAA5-290E59A1CF8E}"/>
    <cellStyle name="Normal 4 2 5 6 3 3" xfId="33463" xr:uid="{4D0B57FD-AECF-4A5F-B35C-70A1CDE68DA0}"/>
    <cellStyle name="Normal 4 2 5 6 3 4" xfId="25015" xr:uid="{E96ED160-499E-4BD2-A679-5735411C1DA4}"/>
    <cellStyle name="Normal 4 2 5 6 3 5" xfId="15718" xr:uid="{99D88D53-5AC1-4E32-B9F9-EE6B8910CC0E}"/>
    <cellStyle name="Normal 4 2 5 6 4" xfId="37693" xr:uid="{B672FE5A-AA59-4F58-905F-0C78685022D6}"/>
    <cellStyle name="Normal 4 2 5 6 5" xfId="29245" xr:uid="{7A592576-B2DF-4B47-ACD9-04699517600E}"/>
    <cellStyle name="Normal 4 2 5 6 6" xfId="20798" xr:uid="{5E664858-69FA-4151-9E53-44ACA2F1E765}"/>
    <cellStyle name="Normal 4 2 5 6 7" xfId="11501" xr:uid="{4BC9D02A-D80C-4003-AB04-D191C695DAF6}"/>
    <cellStyle name="Normal 4 2 5 7" xfId="2522" xr:uid="{00000000-0005-0000-0000-0000F0130000}"/>
    <cellStyle name="Normal 4 2 5 7 2" xfId="6805" xr:uid="{00000000-0005-0000-0000-0000F1130000}"/>
    <cellStyle name="Normal 4 2 5 7 2 2" xfId="42323" xr:uid="{9CA1C6C8-5B96-4376-BC00-98453714CF5F}"/>
    <cellStyle name="Normal 4 2 5 7 2 3" xfId="33876" xr:uid="{8AE82A73-7FC8-4D25-A686-DA55E15EBCAB}"/>
    <cellStyle name="Normal 4 2 5 7 2 4" xfId="25428" xr:uid="{A44D846B-F158-4932-802E-63E2498A41F2}"/>
    <cellStyle name="Normal 4 2 5 7 2 5" xfId="16131" xr:uid="{EC1DCD2D-84B3-47C7-92AC-48A38A68EDFA}"/>
    <cellStyle name="Normal 4 2 5 7 3" xfId="38106" xr:uid="{821A12B9-627B-4E7F-90CD-AC3246CDF857}"/>
    <cellStyle name="Normal 4 2 5 7 4" xfId="29658" xr:uid="{FC07E29B-994D-4258-A170-AFE6D60CDF0D}"/>
    <cellStyle name="Normal 4 2 5 7 5" xfId="21211" xr:uid="{8468C190-A55E-4314-BA17-B153FD7150E1}"/>
    <cellStyle name="Normal 4 2 5 7 6" xfId="11914" xr:uid="{D897C88D-ED9F-4E5A-94A5-701E78D0F027}"/>
    <cellStyle name="Normal 4 2 5 8" xfId="4740" xr:uid="{00000000-0005-0000-0000-0000F2130000}"/>
    <cellStyle name="Normal 4 2 5 8 2" xfId="40258" xr:uid="{61C4F463-6AC0-4EC1-A23F-29456DEADDEE}"/>
    <cellStyle name="Normal 4 2 5 8 3" xfId="31811" xr:uid="{9019B34F-FCF7-4D9B-8AAE-74B0D7B6C582}"/>
    <cellStyle name="Normal 4 2 5 8 4" xfId="23363" xr:uid="{732400A1-E84F-4D46-B609-05286DA16350}"/>
    <cellStyle name="Normal 4 2 5 8 5" xfId="14066" xr:uid="{C309EBF1-9AEB-4012-9188-CB60C21F1E8E}"/>
    <cellStyle name="Normal 4 2 5 9" xfId="8846" xr:uid="{C69C7E2D-02E8-4C87-9C63-A39D0E37A062}"/>
    <cellStyle name="Normal 4 2 5 9 2" xfId="36041" xr:uid="{9BC6FE55-B2A2-40DD-B4D4-21C659E69C4B}"/>
    <cellStyle name="Normal 4 2 5 9 3" xfId="18169" xr:uid="{222FA20A-F166-4157-9379-4A20FFCD0B9F}"/>
    <cellStyle name="Normal 4 2 6" xfId="365" xr:uid="{00000000-0005-0000-0000-0000F3130000}"/>
    <cellStyle name="Normal 4 2 6 10" xfId="19148" xr:uid="{BC95FBBE-83CA-4D74-AA16-609A9743E4C4}"/>
    <cellStyle name="Normal 4 2 6 11" xfId="9851" xr:uid="{64062845-C811-41FE-AB49-491A2F287DCD}"/>
    <cellStyle name="Normal 4 2 6 2" xfId="841" xr:uid="{00000000-0005-0000-0000-0000F4130000}"/>
    <cellStyle name="Normal 4 2 6 2 2" xfId="3078" xr:uid="{00000000-0005-0000-0000-0000F5130000}"/>
    <cellStyle name="Normal 4 2 6 2 2 2" xfId="7300" xr:uid="{00000000-0005-0000-0000-0000F6130000}"/>
    <cellStyle name="Normal 4 2 6 2 2 2 2" xfId="42818" xr:uid="{FA9B1782-705C-424D-B4E8-715C523D068F}"/>
    <cellStyle name="Normal 4 2 6 2 2 2 3" xfId="34371" xr:uid="{A926485B-DF2C-4FC1-99F8-D8CE0278665B}"/>
    <cellStyle name="Normal 4 2 6 2 2 2 4" xfId="25923" xr:uid="{B606C528-D864-444B-9539-1547791A4C90}"/>
    <cellStyle name="Normal 4 2 6 2 2 2 5" xfId="16626" xr:uid="{D3648525-D656-474C-8C11-153A419C571D}"/>
    <cellStyle name="Normal 4 2 6 2 2 3" xfId="38601" xr:uid="{CC7865EB-F8D1-4993-993B-E2648E27A9FB}"/>
    <cellStyle name="Normal 4 2 6 2 2 4" xfId="30153" xr:uid="{16306EE4-74A8-42BE-B91D-AEF9AE21B441}"/>
    <cellStyle name="Normal 4 2 6 2 2 5" xfId="21706" xr:uid="{117D9B46-9595-409B-B78F-F45873FD44EC}"/>
    <cellStyle name="Normal 4 2 6 2 2 6" xfId="12409" xr:uid="{34725CFB-116C-478E-B49B-2A97227F4608}"/>
    <cellStyle name="Normal 4 2 6 2 3" xfId="5155" xr:uid="{00000000-0005-0000-0000-0000F7130000}"/>
    <cellStyle name="Normal 4 2 6 2 3 2" xfId="40673" xr:uid="{D1E2634B-3155-4115-AFDB-CE83DE379FF4}"/>
    <cellStyle name="Normal 4 2 6 2 3 3" xfId="32226" xr:uid="{B5DF6D00-D2CD-44F9-8E18-9D9657B0C77E}"/>
    <cellStyle name="Normal 4 2 6 2 3 4" xfId="23778" xr:uid="{3CF703D4-47A2-49EC-9C44-D2A640D29154}"/>
    <cellStyle name="Normal 4 2 6 2 3 5" xfId="14481" xr:uid="{FACFF049-C0E7-4B55-85F7-8CBBBCDDEE88}"/>
    <cellStyle name="Normal 4 2 6 2 4" xfId="9387" xr:uid="{933EA8C7-37F7-4AF2-922A-47A5CB1A47BC}"/>
    <cellStyle name="Normal 4 2 6 2 4 2" xfId="36456" xr:uid="{914C7610-D4A3-4A52-8C65-0A9E278F2398}"/>
    <cellStyle name="Normal 4 2 6 2 4 3" xfId="18700" xr:uid="{57E9EEDD-E35B-4D71-A9C1-22729AEFD87B}"/>
    <cellStyle name="Normal 4 2 6 2 5" xfId="28008" xr:uid="{F44953D4-373B-4942-87F5-CD4596C72BE0}"/>
    <cellStyle name="Normal 4 2 6 2 6" xfId="19561" xr:uid="{52CAF520-8EE2-479D-869D-29E334742EC3}"/>
    <cellStyle name="Normal 4 2 6 2 7" xfId="10264" xr:uid="{63DE7F6B-15EC-4165-AEBF-6C8F1D8C304D}"/>
    <cellStyle name="Normal 4 2 6 3" xfId="1261" xr:uid="{00000000-0005-0000-0000-0000F8130000}"/>
    <cellStyle name="Normal 4 2 6 3 2" xfId="3491" xr:uid="{00000000-0005-0000-0000-0000F9130000}"/>
    <cellStyle name="Normal 4 2 6 3 2 2" xfId="7713" xr:uid="{00000000-0005-0000-0000-0000FA130000}"/>
    <cellStyle name="Normal 4 2 6 3 2 2 2" xfId="43231" xr:uid="{543F271F-3E37-4272-8A63-F559FA2762CF}"/>
    <cellStyle name="Normal 4 2 6 3 2 2 3" xfId="34784" xr:uid="{4EEE0F83-CAE3-4361-B828-C78E23812434}"/>
    <cellStyle name="Normal 4 2 6 3 2 2 4" xfId="26336" xr:uid="{75C42D37-4370-4E56-9A95-7C5617EE5156}"/>
    <cellStyle name="Normal 4 2 6 3 2 2 5" xfId="17039" xr:uid="{1E039A50-78DE-4AE7-AC31-9A5312C5791B}"/>
    <cellStyle name="Normal 4 2 6 3 2 3" xfId="39014" xr:uid="{050F9BA9-4327-4866-84C8-0AA0FDE5C32E}"/>
    <cellStyle name="Normal 4 2 6 3 2 4" xfId="30566" xr:uid="{A4777A5F-2402-442E-8302-1133BA85F529}"/>
    <cellStyle name="Normal 4 2 6 3 2 5" xfId="22119" xr:uid="{AA954F6E-8205-4C84-A572-F2E5CE87D082}"/>
    <cellStyle name="Normal 4 2 6 3 2 6" xfId="12822" xr:uid="{562B28B7-2EC6-483A-85D3-6F359F26569B}"/>
    <cellStyle name="Normal 4 2 6 3 3" xfId="5568" xr:uid="{00000000-0005-0000-0000-0000FB130000}"/>
    <cellStyle name="Normal 4 2 6 3 3 2" xfId="41086" xr:uid="{DD0CF099-7944-4350-8A27-9180212BD1C3}"/>
    <cellStyle name="Normal 4 2 6 3 3 3" xfId="32639" xr:uid="{7AE8C6E1-A611-4C20-ADBB-0C08E3882708}"/>
    <cellStyle name="Normal 4 2 6 3 3 4" xfId="24191" xr:uid="{1FD77026-48FD-4573-9C67-D317466A08F4}"/>
    <cellStyle name="Normal 4 2 6 3 3 5" xfId="14894" xr:uid="{47138219-D890-49D2-99DE-9999986D74FC}"/>
    <cellStyle name="Normal 4 2 6 3 4" xfId="36869" xr:uid="{811C68EA-F723-4C47-8AC7-13B131596CC3}"/>
    <cellStyle name="Normal 4 2 6 3 5" xfId="28421" xr:uid="{92E88A8E-9BE8-49D8-9EC4-4383148B3075}"/>
    <cellStyle name="Normal 4 2 6 3 6" xfId="19974" xr:uid="{5E769388-1408-4B92-B100-13BB9365B09C}"/>
    <cellStyle name="Normal 4 2 6 3 7" xfId="10677" xr:uid="{16A4CAA3-1563-4964-8B1C-6B6EEC50E8CF}"/>
    <cellStyle name="Normal 4 2 6 4" xfId="1674" xr:uid="{00000000-0005-0000-0000-0000FC130000}"/>
    <cellStyle name="Normal 4 2 6 4 2" xfId="3904" xr:uid="{00000000-0005-0000-0000-0000FD130000}"/>
    <cellStyle name="Normal 4 2 6 4 2 2" xfId="8126" xr:uid="{00000000-0005-0000-0000-0000FE130000}"/>
    <cellStyle name="Normal 4 2 6 4 2 2 2" xfId="43644" xr:uid="{B588E5DB-13EE-4809-8D94-897A5723F784}"/>
    <cellStyle name="Normal 4 2 6 4 2 2 3" xfId="35197" xr:uid="{D1004836-C359-44C8-9BFD-EE49D7923DA0}"/>
    <cellStyle name="Normal 4 2 6 4 2 2 4" xfId="26749" xr:uid="{3C3EBD81-652A-4A4D-875B-EB7C57BB1328}"/>
    <cellStyle name="Normal 4 2 6 4 2 2 5" xfId="17452" xr:uid="{6845A766-4593-412F-A618-C0C0D0678E86}"/>
    <cellStyle name="Normal 4 2 6 4 2 3" xfId="39427" xr:uid="{8D6AB7BA-BCE8-4C62-B8B9-B11FB9E0F9CB}"/>
    <cellStyle name="Normal 4 2 6 4 2 4" xfId="30979" xr:uid="{8CA1178A-F0FE-4DE3-836D-82448FCA4A84}"/>
    <cellStyle name="Normal 4 2 6 4 2 5" xfId="22532" xr:uid="{DBB8177F-0EB3-49F3-A937-D2C5FFA83DC7}"/>
    <cellStyle name="Normal 4 2 6 4 2 6" xfId="13235" xr:uid="{9D28E32B-696B-454E-93EB-06C7C6416CCD}"/>
    <cellStyle name="Normal 4 2 6 4 3" xfId="5981" xr:uid="{00000000-0005-0000-0000-0000FF130000}"/>
    <cellStyle name="Normal 4 2 6 4 3 2" xfId="41499" xr:uid="{5CEE0AAD-0F09-4E53-AF93-B62B89C8FD4B}"/>
    <cellStyle name="Normal 4 2 6 4 3 3" xfId="33052" xr:uid="{E33AC2C6-FB2D-4706-8A12-A2719C7F904E}"/>
    <cellStyle name="Normal 4 2 6 4 3 4" xfId="24604" xr:uid="{050382C6-2DE5-4687-BD0C-A631FE6F8217}"/>
    <cellStyle name="Normal 4 2 6 4 3 5" xfId="15307" xr:uid="{AE22D303-9D26-45A0-84A8-DB8A64547514}"/>
    <cellStyle name="Normal 4 2 6 4 4" xfId="37282" xr:uid="{A7F88D83-81D4-4B80-A43C-E4B54C860B3B}"/>
    <cellStyle name="Normal 4 2 6 4 5" xfId="28834" xr:uid="{CCB51A11-648C-4081-8A9F-8DDD36820EAF}"/>
    <cellStyle name="Normal 4 2 6 4 6" xfId="20387" xr:uid="{EA2DFE9E-71C2-465D-B87F-30BA52058B20}"/>
    <cellStyle name="Normal 4 2 6 4 7" xfId="11090" xr:uid="{840B9BFF-CD19-429B-A3CC-9C074652D0CF}"/>
    <cellStyle name="Normal 4 2 6 5" xfId="2088" xr:uid="{00000000-0005-0000-0000-000000140000}"/>
    <cellStyle name="Normal 4 2 6 5 2" xfId="4317" xr:uid="{00000000-0005-0000-0000-000001140000}"/>
    <cellStyle name="Normal 4 2 6 5 2 2" xfId="8539" xr:uid="{00000000-0005-0000-0000-000002140000}"/>
    <cellStyle name="Normal 4 2 6 5 2 2 2" xfId="44057" xr:uid="{B25486EA-51D7-41F1-8D44-D0D758B6303D}"/>
    <cellStyle name="Normal 4 2 6 5 2 2 3" xfId="35610" xr:uid="{CE3325BB-60FB-443F-89D9-8AE8F3F4683F}"/>
    <cellStyle name="Normal 4 2 6 5 2 2 4" xfId="27162" xr:uid="{595744E3-14C4-4CAF-A24B-DD394AE7E930}"/>
    <cellStyle name="Normal 4 2 6 5 2 2 5" xfId="17865" xr:uid="{83D87466-8CAC-4136-9349-4EE22F19C0BA}"/>
    <cellStyle name="Normal 4 2 6 5 2 3" xfId="39840" xr:uid="{AED3977C-35D6-49AB-9672-65011B33A2C4}"/>
    <cellStyle name="Normal 4 2 6 5 2 4" xfId="31392" xr:uid="{7688CE1E-3B34-47A8-B1F9-C6DACDE78BCF}"/>
    <cellStyle name="Normal 4 2 6 5 2 5" xfId="22945" xr:uid="{C1AFF3D4-2740-4586-A775-FBACDB9CC54D}"/>
    <cellStyle name="Normal 4 2 6 5 2 6" xfId="13648" xr:uid="{2A267462-F8B8-45C3-8003-CF11C04244F0}"/>
    <cellStyle name="Normal 4 2 6 5 3" xfId="6394" xr:uid="{00000000-0005-0000-0000-000003140000}"/>
    <cellStyle name="Normal 4 2 6 5 3 2" xfId="41912" xr:uid="{42F892ED-AB24-45C1-88EE-66F526EE6080}"/>
    <cellStyle name="Normal 4 2 6 5 3 3" xfId="33465" xr:uid="{92EA021C-2A47-40E6-A76B-2B6DFE18A8CE}"/>
    <cellStyle name="Normal 4 2 6 5 3 4" xfId="25017" xr:uid="{0CFD3D13-5C1C-408D-8981-981A36EE10AA}"/>
    <cellStyle name="Normal 4 2 6 5 3 5" xfId="15720" xr:uid="{61466660-449E-4BB1-82B7-3A0D2F2BFA90}"/>
    <cellStyle name="Normal 4 2 6 5 4" xfId="37695" xr:uid="{16DB27F3-9D99-44AF-A5BD-F840375E1919}"/>
    <cellStyle name="Normal 4 2 6 5 5" xfId="29247" xr:uid="{2A5490DD-6AD9-4691-81AA-BE0D233F404F}"/>
    <cellStyle name="Normal 4 2 6 5 6" xfId="20800" xr:uid="{718DEA2B-91D0-4FBB-9EF0-3957A7695881}"/>
    <cellStyle name="Normal 4 2 6 5 7" xfId="11503" xr:uid="{A3D718BF-C546-47B1-86DD-14C683C9D86F}"/>
    <cellStyle name="Normal 4 2 6 6" xfId="2524" xr:uid="{00000000-0005-0000-0000-000004140000}"/>
    <cellStyle name="Normal 4 2 6 6 2" xfId="6807" xr:uid="{00000000-0005-0000-0000-000005140000}"/>
    <cellStyle name="Normal 4 2 6 6 2 2" xfId="42325" xr:uid="{F55AD761-96F1-49BC-851E-5037CE8C98ED}"/>
    <cellStyle name="Normal 4 2 6 6 2 3" xfId="33878" xr:uid="{8CC54E61-5E1F-4475-9FEE-C84E4ABE1D71}"/>
    <cellStyle name="Normal 4 2 6 6 2 4" xfId="25430" xr:uid="{B114BE02-E41E-4C87-A0F1-EE7035002081}"/>
    <cellStyle name="Normal 4 2 6 6 2 5" xfId="16133" xr:uid="{234515B9-C86F-4AF7-8284-54B1DCB90798}"/>
    <cellStyle name="Normal 4 2 6 6 3" xfId="38108" xr:uid="{E3EAC4F1-461C-46BD-BD9D-E71F11CC33E0}"/>
    <cellStyle name="Normal 4 2 6 6 4" xfId="29660" xr:uid="{35F7BAF4-0C7D-45F8-9D72-E68B2F358EDF}"/>
    <cellStyle name="Normal 4 2 6 6 5" xfId="21213" xr:uid="{65624365-DEB8-41BC-888E-1CA6582A1C6F}"/>
    <cellStyle name="Normal 4 2 6 6 6" xfId="11916" xr:uid="{F5BE18D9-0948-4D6C-A83B-BE78D4F3E1C4}"/>
    <cellStyle name="Normal 4 2 6 7" xfId="4742" xr:uid="{00000000-0005-0000-0000-000006140000}"/>
    <cellStyle name="Normal 4 2 6 7 2" xfId="40260" xr:uid="{845E04AB-A4B4-4DE8-828C-863DD88ED9E3}"/>
    <cellStyle name="Normal 4 2 6 7 3" xfId="31813" xr:uid="{8CEABE0B-E3B4-4FD9-B35E-7F4A0C0E77E0}"/>
    <cellStyle name="Normal 4 2 6 7 4" xfId="23365" xr:uid="{469BAB58-A9F6-4904-8069-971313EEB07B}"/>
    <cellStyle name="Normal 4 2 6 7 5" xfId="14068" xr:uid="{70147A8E-33AA-4FEA-8308-3078ED18BCBB}"/>
    <cellStyle name="Normal 4 2 6 8" xfId="8962" xr:uid="{1A1596D6-3914-4465-A638-E540359059D2}"/>
    <cellStyle name="Normal 4 2 6 8 2" xfId="36043" xr:uid="{19EEF9CE-E41D-4B24-9CD0-9D55F70C5787}"/>
    <cellStyle name="Normal 4 2 6 8 3" xfId="18285" xr:uid="{B32EA482-0DFF-4D1E-BBA1-1029D7587779}"/>
    <cellStyle name="Normal 4 2 6 9" xfId="27595" xr:uid="{7CF396B9-B382-48A4-8642-B46B547676BF}"/>
    <cellStyle name="Normal 4 2 7" xfId="9165" xr:uid="{6363F967-7399-442D-B2CE-00085FF7F1E8}"/>
    <cellStyle name="Normal 4 2 7 2" xfId="18481" xr:uid="{B5327848-8AFE-4C77-8B45-5D465ECAB2C6}"/>
    <cellStyle name="Normal 4 2 8" xfId="8743" xr:uid="{E2B8331F-47F9-4829-99C7-E05840A106B9}"/>
    <cellStyle name="Normal 4 2 8 2" xfId="18066" xr:uid="{3E253AF4-5600-4324-8656-155900421688}"/>
    <cellStyle name="Normal 4 3" xfId="366" xr:uid="{00000000-0005-0000-0000-000007140000}"/>
    <cellStyle name="Normal 4 3 10" xfId="36044" xr:uid="{63FDE869-6954-4126-A288-3D43F1A401C1}"/>
    <cellStyle name="Normal 4 3 11" xfId="27596" xr:uid="{17B0596E-7199-4360-B7C5-C362DF51E3FE}"/>
    <cellStyle name="Normal 4 3 12" xfId="19149" xr:uid="{7C40B65E-1F46-4507-832E-D6E60A116069}"/>
    <cellStyle name="Normal 4 3 13" xfId="9852" xr:uid="{5D8CF2EF-4119-4820-88B3-DD74CED8F69F}"/>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10 2" xfId="36045" xr:uid="{9F8DA0BB-B883-437C-BF5D-D4280A3217AF}"/>
    <cellStyle name="Normal 4 3 2 2 2 10 3" xfId="18145" xr:uid="{D6F39F75-70B6-4AFD-9094-4A37CD958259}"/>
    <cellStyle name="Normal 4 3 2 2 2 11" xfId="27597" xr:uid="{C96B5CBE-E2D1-4266-94A4-5A791BBD401E}"/>
    <cellStyle name="Normal 4 3 2 2 2 12" xfId="19150" xr:uid="{824C3A63-38CA-496B-A099-1FC93AF90E76}"/>
    <cellStyle name="Normal 4 3 2 2 2 13" xfId="9853" xr:uid="{2370BDA7-4C13-4D1B-A6D7-61A7E506E78C}"/>
    <cellStyle name="Normal 4 3 2 2 2 2" xfId="370" xr:uid="{00000000-0005-0000-0000-00000B140000}"/>
    <cellStyle name="Normal 4 3 2 2 2 2 10" xfId="27598" xr:uid="{E3B0289A-C2E8-49A5-8219-13F4CF77862B}"/>
    <cellStyle name="Normal 4 3 2 2 2 2 11" xfId="19151" xr:uid="{1534D7D6-61C0-495A-B432-ADA3180C055A}"/>
    <cellStyle name="Normal 4 3 2 2 2 2 12" xfId="9854" xr:uid="{9FFCC210-6272-4E90-AAC3-EA39D653A67C}"/>
    <cellStyle name="Normal 4 3 2 2 2 2 2" xfId="371" xr:uid="{00000000-0005-0000-0000-00000C140000}"/>
    <cellStyle name="Normal 4 3 2 2 2 2 2 10" xfId="19152" xr:uid="{19107436-C165-4488-8919-D14EDDCAE3D4}"/>
    <cellStyle name="Normal 4 3 2 2 2 2 2 11" xfId="9855" xr:uid="{E804C631-4C02-4E1B-98FB-807EE3C36E91}"/>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42822" xr:uid="{51643A62-A2F1-4BCD-ABE4-E0132A1871E7}"/>
    <cellStyle name="Normal 4 3 2 2 2 2 2 2 2 2 3" xfId="34375" xr:uid="{D0016B5A-EF55-45BF-8601-EF7C28AB6093}"/>
    <cellStyle name="Normal 4 3 2 2 2 2 2 2 2 2 4" xfId="25927" xr:uid="{7A611832-3725-44A8-A9CE-EC4B30E97E4C}"/>
    <cellStyle name="Normal 4 3 2 2 2 2 2 2 2 2 5" xfId="16630" xr:uid="{C982B6C1-5B6F-45F9-A534-762ADF81F66B}"/>
    <cellStyle name="Normal 4 3 2 2 2 2 2 2 2 3" xfId="38605" xr:uid="{8E097F63-DC2C-482E-899B-DA489AA61861}"/>
    <cellStyle name="Normal 4 3 2 2 2 2 2 2 2 4" xfId="30157" xr:uid="{42592ACB-E53D-4528-85AA-FDE0FCBD00EB}"/>
    <cellStyle name="Normal 4 3 2 2 2 2 2 2 2 5" xfId="21710" xr:uid="{D078D792-8384-4AF9-BBF0-FD7AAFBC43DC}"/>
    <cellStyle name="Normal 4 3 2 2 2 2 2 2 2 6" xfId="12413" xr:uid="{D968676A-DC5E-42CF-9B4A-3BD551784400}"/>
    <cellStyle name="Normal 4 3 2 2 2 2 2 2 3" xfId="5159" xr:uid="{00000000-0005-0000-0000-000010140000}"/>
    <cellStyle name="Normal 4 3 2 2 2 2 2 2 3 2" xfId="40677" xr:uid="{303E6326-B4AA-4959-B0D1-8C9B3B6694FE}"/>
    <cellStyle name="Normal 4 3 2 2 2 2 2 2 3 3" xfId="32230" xr:uid="{A4B504AB-F347-4E9E-8BEF-D6C4432A8297}"/>
    <cellStyle name="Normal 4 3 2 2 2 2 2 2 3 4" xfId="23782" xr:uid="{335026E6-2F31-40A8-86DB-1E5E161559E1}"/>
    <cellStyle name="Normal 4 3 2 2 2 2 2 2 3 5" xfId="14485" xr:uid="{ACF16F11-E60F-4632-A9DD-D0C3BF79C649}"/>
    <cellStyle name="Normal 4 3 2 2 2 2 2 2 4" xfId="9557" xr:uid="{4F6BDD99-7BF1-4D2F-9EDC-4F75F1942DB4}"/>
    <cellStyle name="Normal 4 3 2 2 2 2 2 2 4 2" xfId="36460" xr:uid="{F9B6C0BB-8330-4D44-8BC9-D75CAD9F780F}"/>
    <cellStyle name="Normal 4 3 2 2 2 2 2 2 4 3" xfId="18870" xr:uid="{D8D3A3DD-8D14-4E0B-85D2-6658566000D8}"/>
    <cellStyle name="Normal 4 3 2 2 2 2 2 2 5" xfId="28012" xr:uid="{744974B3-B36B-4FC1-AC6D-F89DBA4A2112}"/>
    <cellStyle name="Normal 4 3 2 2 2 2 2 2 6" xfId="19565" xr:uid="{3C8531DE-5367-4037-B953-1BA9AC750B77}"/>
    <cellStyle name="Normal 4 3 2 2 2 2 2 2 7" xfId="10268" xr:uid="{3B1765F0-9ABD-465F-9D60-DFE9944ECFF9}"/>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43235" xr:uid="{B6A6548B-9945-409C-A9F6-E51DCAC2A8DC}"/>
    <cellStyle name="Normal 4 3 2 2 2 2 2 3 2 2 3" xfId="34788" xr:uid="{0D9EF019-D2BE-4377-B7D1-A0AA1CD97A16}"/>
    <cellStyle name="Normal 4 3 2 2 2 2 2 3 2 2 4" xfId="26340" xr:uid="{3DA7843E-DB11-4118-A01B-F215136B8A1C}"/>
    <cellStyle name="Normal 4 3 2 2 2 2 2 3 2 2 5" xfId="17043" xr:uid="{2534132D-0DCA-411C-98E9-ABFC37B6C99C}"/>
    <cellStyle name="Normal 4 3 2 2 2 2 2 3 2 3" xfId="39018" xr:uid="{88D6269E-2802-45DD-9635-B8B6D1505AB3}"/>
    <cellStyle name="Normal 4 3 2 2 2 2 2 3 2 4" xfId="30570" xr:uid="{8BB2BF94-C441-4DDB-9F89-912E53B72A08}"/>
    <cellStyle name="Normal 4 3 2 2 2 2 2 3 2 5" xfId="22123" xr:uid="{F9999E8C-BD1B-41C9-B4AA-E3B47AD4B8E5}"/>
    <cellStyle name="Normal 4 3 2 2 2 2 2 3 2 6" xfId="12826" xr:uid="{D19796A1-113F-478C-80BC-2B73BC5D0CDD}"/>
    <cellStyle name="Normal 4 3 2 2 2 2 2 3 3" xfId="5572" xr:uid="{00000000-0005-0000-0000-000014140000}"/>
    <cellStyle name="Normal 4 3 2 2 2 2 2 3 3 2" xfId="41090" xr:uid="{52D6E218-9245-4968-AEA3-9B722EC02B13}"/>
    <cellStyle name="Normal 4 3 2 2 2 2 2 3 3 3" xfId="32643" xr:uid="{4638BE97-E1EF-4E3B-86CE-FF261978D0B8}"/>
    <cellStyle name="Normal 4 3 2 2 2 2 2 3 3 4" xfId="24195" xr:uid="{D0C59276-A6B4-42FD-910E-B8605F0BA08F}"/>
    <cellStyle name="Normal 4 3 2 2 2 2 2 3 3 5" xfId="14898" xr:uid="{E2B01BE6-9B2F-4DDB-88A6-04621EA574A2}"/>
    <cellStyle name="Normal 4 3 2 2 2 2 2 3 4" xfId="36873" xr:uid="{37F56524-A0D5-4AAA-A626-10E2837909AF}"/>
    <cellStyle name="Normal 4 3 2 2 2 2 2 3 5" xfId="28425" xr:uid="{BD0044C9-8BA1-41F6-92EE-42319023613F}"/>
    <cellStyle name="Normal 4 3 2 2 2 2 2 3 6" xfId="19978" xr:uid="{AB886878-305B-4FB8-99DD-75A2AC6AAB1C}"/>
    <cellStyle name="Normal 4 3 2 2 2 2 2 3 7" xfId="10681" xr:uid="{D43CE047-91FD-4455-9CDC-78E844D7ABE2}"/>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43648" xr:uid="{14F4CC4B-8083-4815-A4C0-AF72828B9A73}"/>
    <cellStyle name="Normal 4 3 2 2 2 2 2 4 2 2 3" xfId="35201" xr:uid="{EAE2244C-E9E0-49E9-866B-6BD3403A789B}"/>
    <cellStyle name="Normal 4 3 2 2 2 2 2 4 2 2 4" xfId="26753" xr:uid="{C8766685-3AF8-48E2-AFA5-044A769A1B70}"/>
    <cellStyle name="Normal 4 3 2 2 2 2 2 4 2 2 5" xfId="17456" xr:uid="{59036DC5-D62A-4416-87D9-E9A31824FDB5}"/>
    <cellStyle name="Normal 4 3 2 2 2 2 2 4 2 3" xfId="39431" xr:uid="{7120B198-0186-4F08-B9BE-926DE1EC9795}"/>
    <cellStyle name="Normal 4 3 2 2 2 2 2 4 2 4" xfId="30983" xr:uid="{73FCB13A-EF95-449C-844B-0324E5DE5099}"/>
    <cellStyle name="Normal 4 3 2 2 2 2 2 4 2 5" xfId="22536" xr:uid="{39E2967C-5AE8-4A54-9DD8-60029EF0EFCA}"/>
    <cellStyle name="Normal 4 3 2 2 2 2 2 4 2 6" xfId="13239" xr:uid="{0E9369C5-1ED7-4976-8277-46226347159C}"/>
    <cellStyle name="Normal 4 3 2 2 2 2 2 4 3" xfId="5985" xr:uid="{00000000-0005-0000-0000-000018140000}"/>
    <cellStyle name="Normal 4 3 2 2 2 2 2 4 3 2" xfId="41503" xr:uid="{F78483DB-71D0-4E3A-87BD-796C97D065C3}"/>
    <cellStyle name="Normal 4 3 2 2 2 2 2 4 3 3" xfId="33056" xr:uid="{9934F7B0-E995-4000-BB95-318B033C7789}"/>
    <cellStyle name="Normal 4 3 2 2 2 2 2 4 3 4" xfId="24608" xr:uid="{1BFE0672-1127-499B-9197-3913FBDDF0D1}"/>
    <cellStyle name="Normal 4 3 2 2 2 2 2 4 3 5" xfId="15311" xr:uid="{A674AA1F-3A9F-4378-BDEC-58EA63C4B62E}"/>
    <cellStyle name="Normal 4 3 2 2 2 2 2 4 4" xfId="37286" xr:uid="{95A949D2-B0C1-4FF0-96E0-543DB00C7DD1}"/>
    <cellStyle name="Normal 4 3 2 2 2 2 2 4 5" xfId="28838" xr:uid="{25418B58-9D86-46BE-9336-7DC24D1F9C8F}"/>
    <cellStyle name="Normal 4 3 2 2 2 2 2 4 6" xfId="20391" xr:uid="{BCDB4076-802D-42DC-AB27-7D81238C3575}"/>
    <cellStyle name="Normal 4 3 2 2 2 2 2 4 7" xfId="11094" xr:uid="{569A66CF-8645-41E5-99A2-EDD3D65296F7}"/>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44061" xr:uid="{D48E0CDC-831C-46BB-B030-E70053788D7F}"/>
    <cellStyle name="Normal 4 3 2 2 2 2 2 5 2 2 3" xfId="35614" xr:uid="{02CE59E3-2449-46A2-A21F-9F71E9EAEEF2}"/>
    <cellStyle name="Normal 4 3 2 2 2 2 2 5 2 2 4" xfId="27166" xr:uid="{3FF4CC93-EEF6-4C09-9CAE-1BA5F9724502}"/>
    <cellStyle name="Normal 4 3 2 2 2 2 2 5 2 2 5" xfId="17869" xr:uid="{7325149F-C29E-4CE8-B7DD-431F63FF6DA8}"/>
    <cellStyle name="Normal 4 3 2 2 2 2 2 5 2 3" xfId="39844" xr:uid="{7D2D4EBE-71B9-4FBB-AF4A-D6B7427F455D}"/>
    <cellStyle name="Normal 4 3 2 2 2 2 2 5 2 4" xfId="31396" xr:uid="{A977555C-581D-4617-9106-B2171FE0633F}"/>
    <cellStyle name="Normal 4 3 2 2 2 2 2 5 2 5" xfId="22949" xr:uid="{BEF47AD5-2ABC-4451-BD20-6583945CBB22}"/>
    <cellStyle name="Normal 4 3 2 2 2 2 2 5 2 6" xfId="13652" xr:uid="{B30A3F01-AE1F-46E6-BF38-359ACA5BE5E6}"/>
    <cellStyle name="Normal 4 3 2 2 2 2 2 5 3" xfId="6398" xr:uid="{00000000-0005-0000-0000-00001C140000}"/>
    <cellStyle name="Normal 4 3 2 2 2 2 2 5 3 2" xfId="41916" xr:uid="{2515E065-70D3-4A5C-8A09-A0C5D15950B6}"/>
    <cellStyle name="Normal 4 3 2 2 2 2 2 5 3 3" xfId="33469" xr:uid="{10AE27C5-B603-4BC7-9863-8B2D4A546C83}"/>
    <cellStyle name="Normal 4 3 2 2 2 2 2 5 3 4" xfId="25021" xr:uid="{174ADA7F-019C-4AC4-B938-D6016FE77E34}"/>
    <cellStyle name="Normal 4 3 2 2 2 2 2 5 3 5" xfId="15724" xr:uid="{A454490A-E4EE-4BBA-9CD2-11F317D4679A}"/>
    <cellStyle name="Normal 4 3 2 2 2 2 2 5 4" xfId="37699" xr:uid="{70E611BE-76DD-4CFB-9F5C-0E64305F533E}"/>
    <cellStyle name="Normal 4 3 2 2 2 2 2 5 5" xfId="29251" xr:uid="{6E232C0D-63BC-48AD-B7E8-B55FA8ADCCA9}"/>
    <cellStyle name="Normal 4 3 2 2 2 2 2 5 6" xfId="20804" xr:uid="{7EBE0950-C7F6-479B-AEE1-239D55F6B975}"/>
    <cellStyle name="Normal 4 3 2 2 2 2 2 5 7" xfId="11507" xr:uid="{0237F5D8-8A80-473F-B258-36E37ECE873F}"/>
    <cellStyle name="Normal 4 3 2 2 2 2 2 6" xfId="2528" xr:uid="{00000000-0005-0000-0000-00001D140000}"/>
    <cellStyle name="Normal 4 3 2 2 2 2 2 6 2" xfId="6811" xr:uid="{00000000-0005-0000-0000-00001E140000}"/>
    <cellStyle name="Normal 4 3 2 2 2 2 2 6 2 2" xfId="42329" xr:uid="{5F1C70F9-1CBC-4A4C-B9A2-C4AAE27371E8}"/>
    <cellStyle name="Normal 4 3 2 2 2 2 2 6 2 3" xfId="33882" xr:uid="{2EE2B517-31D9-4E47-8FDD-37F43DACF21E}"/>
    <cellStyle name="Normal 4 3 2 2 2 2 2 6 2 4" xfId="25434" xr:uid="{C2DF7417-059F-4881-976B-5A1CAD48DB53}"/>
    <cellStyle name="Normal 4 3 2 2 2 2 2 6 2 5" xfId="16137" xr:uid="{53473238-02B2-4C5A-9CBD-D009FF4093A1}"/>
    <cellStyle name="Normal 4 3 2 2 2 2 2 6 3" xfId="38112" xr:uid="{A108372D-7872-41AA-B38F-2A357BFB5F04}"/>
    <cellStyle name="Normal 4 3 2 2 2 2 2 6 4" xfId="29664" xr:uid="{D9FDFA8C-7722-4918-BF18-B89F5B5652CF}"/>
    <cellStyle name="Normal 4 3 2 2 2 2 2 6 5" xfId="21217" xr:uid="{02F5B583-CDBF-45E4-A64B-543F669692EF}"/>
    <cellStyle name="Normal 4 3 2 2 2 2 2 6 6" xfId="11920" xr:uid="{7740FC0D-5995-4D72-A9B9-451A72070C58}"/>
    <cellStyle name="Normal 4 3 2 2 2 2 2 7" xfId="4746" xr:uid="{00000000-0005-0000-0000-00001F140000}"/>
    <cellStyle name="Normal 4 3 2 2 2 2 2 7 2" xfId="40264" xr:uid="{9F899F04-F60E-4CD5-AA65-DB38C45FA486}"/>
    <cellStyle name="Normal 4 3 2 2 2 2 2 7 3" xfId="31817" xr:uid="{8C0BF6B3-B462-4AB0-9A53-21CEFC6FFA58}"/>
    <cellStyle name="Normal 4 3 2 2 2 2 2 7 4" xfId="23369" xr:uid="{F456C76F-03B3-4B42-8151-C815D15C453F}"/>
    <cellStyle name="Normal 4 3 2 2 2 2 2 7 5" xfId="14072" xr:uid="{8332FD0A-5EF9-4D01-8AC8-E0501F5064A2}"/>
    <cellStyle name="Normal 4 3 2 2 2 2 2 8" xfId="9132" xr:uid="{14F6ED12-EABF-4C82-AD59-55D351026913}"/>
    <cellStyle name="Normal 4 3 2 2 2 2 2 8 2" xfId="36047" xr:uid="{380C9FA8-55F8-4242-B25A-12267DC98F3A}"/>
    <cellStyle name="Normal 4 3 2 2 2 2 2 8 3" xfId="18455" xr:uid="{5EC9DAF4-9D97-441A-81F2-5477483E103F}"/>
    <cellStyle name="Normal 4 3 2 2 2 2 2 9" xfId="27599" xr:uid="{FB6086C9-9875-4069-9DBA-3C2E409036CF}"/>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42821" xr:uid="{14C8908B-B7A4-4CCE-B896-F81DFCEC0CF9}"/>
    <cellStyle name="Normal 4 3 2 2 2 2 3 2 2 3" xfId="34374" xr:uid="{8B9739CC-386F-4882-83F6-5ED12B0E6C60}"/>
    <cellStyle name="Normal 4 3 2 2 2 2 3 2 2 4" xfId="25926" xr:uid="{779F94B7-E3A3-4A73-A0E8-5DD8440F3307}"/>
    <cellStyle name="Normal 4 3 2 2 2 2 3 2 2 5" xfId="16629" xr:uid="{6696EC56-4A5D-481E-B430-DFE3571CD351}"/>
    <cellStyle name="Normal 4 3 2 2 2 2 3 2 3" xfId="38604" xr:uid="{6B21D351-F3DE-42AA-A982-C68AEEC93B8A}"/>
    <cellStyle name="Normal 4 3 2 2 2 2 3 2 4" xfId="30156" xr:uid="{72F66E1B-5A28-4BF1-B146-072131B8A895}"/>
    <cellStyle name="Normal 4 3 2 2 2 2 3 2 5" xfId="21709" xr:uid="{B3E473C8-5B68-4E4D-9677-D71C827505E5}"/>
    <cellStyle name="Normal 4 3 2 2 2 2 3 2 6" xfId="12412" xr:uid="{162DD379-AD0D-403C-9846-ACB7472797EC}"/>
    <cellStyle name="Normal 4 3 2 2 2 2 3 3" xfId="5158" xr:uid="{00000000-0005-0000-0000-000023140000}"/>
    <cellStyle name="Normal 4 3 2 2 2 2 3 3 2" xfId="40676" xr:uid="{3E584959-E297-4C3D-937D-E0CA821CB81B}"/>
    <cellStyle name="Normal 4 3 2 2 2 2 3 3 3" xfId="32229" xr:uid="{EDF57326-E929-4060-818B-1A80FF388FC5}"/>
    <cellStyle name="Normal 4 3 2 2 2 2 3 3 4" xfId="23781" xr:uid="{434BB53F-041C-4FA0-AD15-9A0338147C78}"/>
    <cellStyle name="Normal 4 3 2 2 2 2 3 3 5" xfId="14484" xr:uid="{A1A4A50E-3DAA-4131-B50C-DAFD3314B906}"/>
    <cellStyle name="Normal 4 3 2 2 2 2 3 4" xfId="9350" xr:uid="{DFFEAFB7-A284-4FD9-B115-C19DA011CCC7}"/>
    <cellStyle name="Normal 4 3 2 2 2 2 3 4 2" xfId="36459" xr:uid="{486BA837-1325-4F70-A355-A2F3E7CF6FB1}"/>
    <cellStyle name="Normal 4 3 2 2 2 2 3 4 3" xfId="18663" xr:uid="{BB39C5EE-F2C2-473E-8003-F6F9AAB0FE7D}"/>
    <cellStyle name="Normal 4 3 2 2 2 2 3 5" xfId="28011" xr:uid="{51F94127-62DE-4D64-927C-86BE40C10291}"/>
    <cellStyle name="Normal 4 3 2 2 2 2 3 6" xfId="19564" xr:uid="{FB0C32A1-725D-4B8E-8292-41902AF1ABA1}"/>
    <cellStyle name="Normal 4 3 2 2 2 2 3 7" xfId="10267" xr:uid="{D13F25F0-ADA9-466A-8A3C-5939F6723F3C}"/>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43234" xr:uid="{E6F94F03-2544-43FC-8E80-BEC829F3FE21}"/>
    <cellStyle name="Normal 4 3 2 2 2 2 4 2 2 3" xfId="34787" xr:uid="{88F89B45-E7D4-4D9B-BC0E-139988A43B23}"/>
    <cellStyle name="Normal 4 3 2 2 2 2 4 2 2 4" xfId="26339" xr:uid="{B3FD3CA5-4BED-49E9-8852-0517CB071901}"/>
    <cellStyle name="Normal 4 3 2 2 2 2 4 2 2 5" xfId="17042" xr:uid="{3321D479-E7F0-4CBD-9E18-78F81A7B9140}"/>
    <cellStyle name="Normal 4 3 2 2 2 2 4 2 3" xfId="39017" xr:uid="{8442165C-7D81-445A-A5BF-553358CC5B8E}"/>
    <cellStyle name="Normal 4 3 2 2 2 2 4 2 4" xfId="30569" xr:uid="{57F20C09-2473-4BED-84E7-C8343DE6D58E}"/>
    <cellStyle name="Normal 4 3 2 2 2 2 4 2 5" xfId="22122" xr:uid="{DC0C080F-3C4B-4C9D-AD9D-F4D15ADDF391}"/>
    <cellStyle name="Normal 4 3 2 2 2 2 4 2 6" xfId="12825" xr:uid="{CEB133A9-4AC8-4B43-8083-DBBE9DFB752C}"/>
    <cellStyle name="Normal 4 3 2 2 2 2 4 3" xfId="5571" xr:uid="{00000000-0005-0000-0000-000027140000}"/>
    <cellStyle name="Normal 4 3 2 2 2 2 4 3 2" xfId="41089" xr:uid="{893B7EAA-26A0-47AC-BB27-E4CD09595071}"/>
    <cellStyle name="Normal 4 3 2 2 2 2 4 3 3" xfId="32642" xr:uid="{B10356B3-5090-4269-B752-0BBAAF7F5F10}"/>
    <cellStyle name="Normal 4 3 2 2 2 2 4 3 4" xfId="24194" xr:uid="{DDBD7166-6641-4E4A-90EE-84465F79ACBF}"/>
    <cellStyle name="Normal 4 3 2 2 2 2 4 3 5" xfId="14897" xr:uid="{5A89EF5C-9342-4CEC-975C-92F2BB5D20A0}"/>
    <cellStyle name="Normal 4 3 2 2 2 2 4 4" xfId="36872" xr:uid="{BA9E72A9-91D5-4DB9-82E0-3AEEEFC80DFD}"/>
    <cellStyle name="Normal 4 3 2 2 2 2 4 5" xfId="28424" xr:uid="{AC9C5D51-C422-485B-AA5A-013918B7FC63}"/>
    <cellStyle name="Normal 4 3 2 2 2 2 4 6" xfId="19977" xr:uid="{D6EA3DF6-0215-47EF-9B8D-2159EB1AF876}"/>
    <cellStyle name="Normal 4 3 2 2 2 2 4 7" xfId="10680" xr:uid="{6CC793E9-BABD-476A-8816-6E74D7D856EF}"/>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43647" xr:uid="{6C21E5CB-A4DA-4486-AC0D-FEA117819C4A}"/>
    <cellStyle name="Normal 4 3 2 2 2 2 5 2 2 3" xfId="35200" xr:uid="{B6A0621A-29A6-4C4E-83F9-0FFC62175332}"/>
    <cellStyle name="Normal 4 3 2 2 2 2 5 2 2 4" xfId="26752" xr:uid="{38B2C076-D9B1-4029-B2E2-767C01552F15}"/>
    <cellStyle name="Normal 4 3 2 2 2 2 5 2 2 5" xfId="17455" xr:uid="{288C4DE4-6B23-4879-9FE1-C89943CC712F}"/>
    <cellStyle name="Normal 4 3 2 2 2 2 5 2 3" xfId="39430" xr:uid="{C662D1D7-90CF-4B12-8F2A-F41DEEFAF230}"/>
    <cellStyle name="Normal 4 3 2 2 2 2 5 2 4" xfId="30982" xr:uid="{21AA63F7-1F55-4A7B-83C4-68013A4E8EDC}"/>
    <cellStyle name="Normal 4 3 2 2 2 2 5 2 5" xfId="22535" xr:uid="{198016DD-04C7-443E-9081-6546C0703923}"/>
    <cellStyle name="Normal 4 3 2 2 2 2 5 2 6" xfId="13238" xr:uid="{F3208F96-2A1A-4467-BD15-3A3BAED8B84C}"/>
    <cellStyle name="Normal 4 3 2 2 2 2 5 3" xfId="5984" xr:uid="{00000000-0005-0000-0000-00002B140000}"/>
    <cellStyle name="Normal 4 3 2 2 2 2 5 3 2" xfId="41502" xr:uid="{D1C2C5DE-18F4-4322-A5F4-E98635C2FCC3}"/>
    <cellStyle name="Normal 4 3 2 2 2 2 5 3 3" xfId="33055" xr:uid="{AC0732E4-CC31-4B84-AA6F-8B5A1C1CD971}"/>
    <cellStyle name="Normal 4 3 2 2 2 2 5 3 4" xfId="24607" xr:uid="{346E829C-1091-4BC8-A21B-582B12D2EE98}"/>
    <cellStyle name="Normal 4 3 2 2 2 2 5 3 5" xfId="15310" xr:uid="{457A7738-7AAF-4429-96FA-D82620BE1EC4}"/>
    <cellStyle name="Normal 4 3 2 2 2 2 5 4" xfId="37285" xr:uid="{7E174BFB-4406-481B-A68E-A200B0F780D2}"/>
    <cellStyle name="Normal 4 3 2 2 2 2 5 5" xfId="28837" xr:uid="{BB0AA262-6FAC-476E-B3C2-8224849EC8D8}"/>
    <cellStyle name="Normal 4 3 2 2 2 2 5 6" xfId="20390" xr:uid="{631B82B8-9F38-4723-8880-455D03817719}"/>
    <cellStyle name="Normal 4 3 2 2 2 2 5 7" xfId="11093" xr:uid="{977F957C-C51D-4DF2-A76C-F3C7A22805BF}"/>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44060" xr:uid="{1493A4C2-E7CE-45A7-B75D-91B8384A2608}"/>
    <cellStyle name="Normal 4 3 2 2 2 2 6 2 2 3" xfId="35613" xr:uid="{F6EF8BA5-F3A0-4D58-8AA9-68CA45136824}"/>
    <cellStyle name="Normal 4 3 2 2 2 2 6 2 2 4" xfId="27165" xr:uid="{629E991F-7AD7-41D1-9021-065130338D2B}"/>
    <cellStyle name="Normal 4 3 2 2 2 2 6 2 2 5" xfId="17868" xr:uid="{45AB0D7C-3FF1-476A-BF35-E2C19693D607}"/>
    <cellStyle name="Normal 4 3 2 2 2 2 6 2 3" xfId="39843" xr:uid="{5AC34C84-9D40-4030-A160-5BB8770AE828}"/>
    <cellStyle name="Normal 4 3 2 2 2 2 6 2 4" xfId="31395" xr:uid="{493DD1BF-8551-4E1C-9ED8-E3A9CA9D0D1E}"/>
    <cellStyle name="Normal 4 3 2 2 2 2 6 2 5" xfId="22948" xr:uid="{FDC9F7CE-4872-41B5-A8C8-A217587F2509}"/>
    <cellStyle name="Normal 4 3 2 2 2 2 6 2 6" xfId="13651" xr:uid="{2FC2EFA4-A001-4865-93F5-13EFEA077AAA}"/>
    <cellStyle name="Normal 4 3 2 2 2 2 6 3" xfId="6397" xr:uid="{00000000-0005-0000-0000-00002F140000}"/>
    <cellStyle name="Normal 4 3 2 2 2 2 6 3 2" xfId="41915" xr:uid="{ACFF3528-EC41-42D1-8F0F-32841A852086}"/>
    <cellStyle name="Normal 4 3 2 2 2 2 6 3 3" xfId="33468" xr:uid="{99E82BA0-6E22-4D1E-8449-5DC1B91CBA76}"/>
    <cellStyle name="Normal 4 3 2 2 2 2 6 3 4" xfId="25020" xr:uid="{2B01E308-1F11-48AE-A349-65CFEEFCC425}"/>
    <cellStyle name="Normal 4 3 2 2 2 2 6 3 5" xfId="15723" xr:uid="{EFB61DB9-91E9-40E7-B1E3-BF960742F057}"/>
    <cellStyle name="Normal 4 3 2 2 2 2 6 4" xfId="37698" xr:uid="{C0BA3EA1-184C-47B4-994D-418305FA8A4E}"/>
    <cellStyle name="Normal 4 3 2 2 2 2 6 5" xfId="29250" xr:uid="{281705FD-F16F-4FD2-8E40-4EC9E189F8CF}"/>
    <cellStyle name="Normal 4 3 2 2 2 2 6 6" xfId="20803" xr:uid="{15E87E47-BBD7-4BE7-AB15-D3B6BBB32172}"/>
    <cellStyle name="Normal 4 3 2 2 2 2 6 7" xfId="11506" xr:uid="{E828256E-8B4A-41DD-920A-37A0B47EB166}"/>
    <cellStyle name="Normal 4 3 2 2 2 2 7" xfId="2527" xr:uid="{00000000-0005-0000-0000-000030140000}"/>
    <cellStyle name="Normal 4 3 2 2 2 2 7 2" xfId="6810" xr:uid="{00000000-0005-0000-0000-000031140000}"/>
    <cellStyle name="Normal 4 3 2 2 2 2 7 2 2" xfId="42328" xr:uid="{B488C930-F5E2-45EB-83D1-E1F0CE31B435}"/>
    <cellStyle name="Normal 4 3 2 2 2 2 7 2 3" xfId="33881" xr:uid="{A0FE6A34-40E5-44AA-BF66-5301C5602C89}"/>
    <cellStyle name="Normal 4 3 2 2 2 2 7 2 4" xfId="25433" xr:uid="{B2EC7F6D-6918-49DE-9A68-DBFEFE126600}"/>
    <cellStyle name="Normal 4 3 2 2 2 2 7 2 5" xfId="16136" xr:uid="{AA5147BA-5082-41D2-9128-14C467C26823}"/>
    <cellStyle name="Normal 4 3 2 2 2 2 7 3" xfId="38111" xr:uid="{2D54FF25-E567-4731-AC7B-4B21C58D7291}"/>
    <cellStyle name="Normal 4 3 2 2 2 2 7 4" xfId="29663" xr:uid="{CE058089-632E-4D60-89E6-4007B82AD1CF}"/>
    <cellStyle name="Normal 4 3 2 2 2 2 7 5" xfId="21216" xr:uid="{D2052791-A2DB-45A3-B25A-A6D3C613D29B}"/>
    <cellStyle name="Normal 4 3 2 2 2 2 7 6" xfId="11919" xr:uid="{DD8864BE-EC38-481B-8709-FE7C6792AB29}"/>
    <cellStyle name="Normal 4 3 2 2 2 2 8" xfId="4745" xr:uid="{00000000-0005-0000-0000-000032140000}"/>
    <cellStyle name="Normal 4 3 2 2 2 2 8 2" xfId="40263" xr:uid="{3C30FD57-6A25-4BBB-8A40-ED628811CF0E}"/>
    <cellStyle name="Normal 4 3 2 2 2 2 8 3" xfId="31816" xr:uid="{58667376-E80B-4215-A2C1-2BB56E4BAF55}"/>
    <cellStyle name="Normal 4 3 2 2 2 2 8 4" xfId="23368" xr:uid="{C50C23A3-326E-48A9-8EE1-F002289E52FB}"/>
    <cellStyle name="Normal 4 3 2 2 2 2 8 5" xfId="14071" xr:uid="{5BB844DA-80C1-4E43-B1FB-E57B296CB460}"/>
    <cellStyle name="Normal 4 3 2 2 2 2 9" xfId="8925" xr:uid="{71BB8AFA-37D7-474D-A12B-C284DDE23CE9}"/>
    <cellStyle name="Normal 4 3 2 2 2 2 9 2" xfId="36046" xr:uid="{99E1D558-35A0-4BB6-8D79-03253C71B8BA}"/>
    <cellStyle name="Normal 4 3 2 2 2 2 9 3" xfId="18248" xr:uid="{37067E25-DF5E-467E-86D0-6FA9E523D401}"/>
    <cellStyle name="Normal 4 3 2 2 2 3" xfId="372" xr:uid="{00000000-0005-0000-0000-000033140000}"/>
    <cellStyle name="Normal 4 3 2 2 2 3 10" xfId="19153" xr:uid="{327FAC12-C7D4-415A-8CFF-A0117ABC1291}"/>
    <cellStyle name="Normal 4 3 2 2 2 3 11" xfId="9856" xr:uid="{57546CE0-40D9-4BA7-ADAD-F83829E77C0A}"/>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42823" xr:uid="{71101276-212C-4396-8FD8-A17DBE0912D8}"/>
    <cellStyle name="Normal 4 3 2 2 2 3 2 2 2 3" xfId="34376" xr:uid="{C315D618-8A78-4ECC-B802-3D95929A8A75}"/>
    <cellStyle name="Normal 4 3 2 2 2 3 2 2 2 4" xfId="25928" xr:uid="{B9E091FB-F0CA-4DDF-A370-8B66DC5B4281}"/>
    <cellStyle name="Normal 4 3 2 2 2 3 2 2 2 5" xfId="16631" xr:uid="{D51172AC-7943-4F55-9919-ACC5D9BB1262}"/>
    <cellStyle name="Normal 4 3 2 2 2 3 2 2 3" xfId="38606" xr:uid="{9A24E6F2-4425-42AD-99B8-8872718E87F9}"/>
    <cellStyle name="Normal 4 3 2 2 2 3 2 2 4" xfId="30158" xr:uid="{3CEEA273-554E-4D43-89F4-C4CF85FED834}"/>
    <cellStyle name="Normal 4 3 2 2 2 3 2 2 5" xfId="21711" xr:uid="{E8AAD37D-F1DC-4807-B08E-7BC04EE4FC46}"/>
    <cellStyle name="Normal 4 3 2 2 2 3 2 2 6" xfId="12414" xr:uid="{A709C5B7-A863-4D15-83BB-7B01B4993F67}"/>
    <cellStyle name="Normal 4 3 2 2 2 3 2 3" xfId="5160" xr:uid="{00000000-0005-0000-0000-000037140000}"/>
    <cellStyle name="Normal 4 3 2 2 2 3 2 3 2" xfId="40678" xr:uid="{1973B4D3-65B6-4E26-BF77-C08014FE859E}"/>
    <cellStyle name="Normal 4 3 2 2 2 3 2 3 3" xfId="32231" xr:uid="{AA5770F0-8B72-48E8-8B1F-DEBB82B4F6F5}"/>
    <cellStyle name="Normal 4 3 2 2 2 3 2 3 4" xfId="23783" xr:uid="{39FCC279-56D7-4746-A1CE-91C88B026F52}"/>
    <cellStyle name="Normal 4 3 2 2 2 3 2 3 5" xfId="14486" xr:uid="{40D327F2-055D-470D-A568-78B027662EA1}"/>
    <cellStyle name="Normal 4 3 2 2 2 3 2 4" xfId="9454" xr:uid="{B81F5EAA-7D8E-43B5-94D7-313E66088BA5}"/>
    <cellStyle name="Normal 4 3 2 2 2 3 2 4 2" xfId="36461" xr:uid="{FCB43373-B073-40D1-B39C-AD4237885F7A}"/>
    <cellStyle name="Normal 4 3 2 2 2 3 2 4 3" xfId="18767" xr:uid="{49303976-DEDE-440A-AF38-B5DD7FDD9D4F}"/>
    <cellStyle name="Normal 4 3 2 2 2 3 2 5" xfId="28013" xr:uid="{BB8FA42A-69ED-4097-A4F6-A546D4179E24}"/>
    <cellStyle name="Normal 4 3 2 2 2 3 2 6" xfId="19566" xr:uid="{392EFB60-F047-49E4-B231-12818EAB5EBA}"/>
    <cellStyle name="Normal 4 3 2 2 2 3 2 7" xfId="10269" xr:uid="{F9E4FE91-270F-420E-8933-588756F40ED2}"/>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43236" xr:uid="{028F9560-3466-42FB-9398-969EA3AC7821}"/>
    <cellStyle name="Normal 4 3 2 2 2 3 3 2 2 3" xfId="34789" xr:uid="{C47CF081-7ADB-49DB-88E3-A70FC43B6E1C}"/>
    <cellStyle name="Normal 4 3 2 2 2 3 3 2 2 4" xfId="26341" xr:uid="{D5E6C4E0-4BEA-4FC3-B7EB-74854D156569}"/>
    <cellStyle name="Normal 4 3 2 2 2 3 3 2 2 5" xfId="17044" xr:uid="{53153612-CAD1-4197-9B1F-E56B0890085A}"/>
    <cellStyle name="Normal 4 3 2 2 2 3 3 2 3" xfId="39019" xr:uid="{23D7ABB7-7B66-436B-AAA3-144C7F04BE85}"/>
    <cellStyle name="Normal 4 3 2 2 2 3 3 2 4" xfId="30571" xr:uid="{A30C9634-0A8A-4928-99C5-64287122B0DB}"/>
    <cellStyle name="Normal 4 3 2 2 2 3 3 2 5" xfId="22124" xr:uid="{DCFEEBD9-E286-47B1-8296-CAEC2FAE157A}"/>
    <cellStyle name="Normal 4 3 2 2 2 3 3 2 6" xfId="12827" xr:uid="{A3EAC630-3466-44CF-ADCF-4E9A4D363F79}"/>
    <cellStyle name="Normal 4 3 2 2 2 3 3 3" xfId="5573" xr:uid="{00000000-0005-0000-0000-00003B140000}"/>
    <cellStyle name="Normal 4 3 2 2 2 3 3 3 2" xfId="41091" xr:uid="{FE23C386-170B-4A23-8EFA-1A303AE05D35}"/>
    <cellStyle name="Normal 4 3 2 2 2 3 3 3 3" xfId="32644" xr:uid="{ED810A1E-791D-492D-9C96-AD1F510321F9}"/>
    <cellStyle name="Normal 4 3 2 2 2 3 3 3 4" xfId="24196" xr:uid="{891F3C55-795E-4539-AD2E-E5476D853DA4}"/>
    <cellStyle name="Normal 4 3 2 2 2 3 3 3 5" xfId="14899" xr:uid="{AD385BE5-A61E-4FBA-9D48-BC6A1F1DBB44}"/>
    <cellStyle name="Normal 4 3 2 2 2 3 3 4" xfId="36874" xr:uid="{905E7308-EC76-42F2-8EB4-2D8FFBC4A7D1}"/>
    <cellStyle name="Normal 4 3 2 2 2 3 3 5" xfId="28426" xr:uid="{D4C082E0-90CB-40F5-B800-D323A9191CC1}"/>
    <cellStyle name="Normal 4 3 2 2 2 3 3 6" xfId="19979" xr:uid="{9D1A9DD3-2F09-41D7-A381-746A581ADD8E}"/>
    <cellStyle name="Normal 4 3 2 2 2 3 3 7" xfId="10682" xr:uid="{46A81216-DC95-4913-8160-B9B24F507C1E}"/>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43649" xr:uid="{1CB31EA2-39DD-4949-95C7-80072EEE5B39}"/>
    <cellStyle name="Normal 4 3 2 2 2 3 4 2 2 3" xfId="35202" xr:uid="{AEED8D61-91C7-4327-930F-8F176FA0EAA9}"/>
    <cellStyle name="Normal 4 3 2 2 2 3 4 2 2 4" xfId="26754" xr:uid="{98DA0532-78E0-48C8-B9EC-B780B7CD379E}"/>
    <cellStyle name="Normal 4 3 2 2 2 3 4 2 2 5" xfId="17457" xr:uid="{6F0A3269-5035-4CD2-B808-126D2279573D}"/>
    <cellStyle name="Normal 4 3 2 2 2 3 4 2 3" xfId="39432" xr:uid="{96D05859-0596-46BD-96AB-4C02C8440E67}"/>
    <cellStyle name="Normal 4 3 2 2 2 3 4 2 4" xfId="30984" xr:uid="{3ED710E0-9B44-41A8-9133-342AFFEC0A88}"/>
    <cellStyle name="Normal 4 3 2 2 2 3 4 2 5" xfId="22537" xr:uid="{F5675CA2-2433-468B-A13D-A6D23CC3FC1C}"/>
    <cellStyle name="Normal 4 3 2 2 2 3 4 2 6" xfId="13240" xr:uid="{7F89F4B5-EB2B-4EB2-A1BA-0755EBC7BAB2}"/>
    <cellStyle name="Normal 4 3 2 2 2 3 4 3" xfId="5986" xr:uid="{00000000-0005-0000-0000-00003F140000}"/>
    <cellStyle name="Normal 4 3 2 2 2 3 4 3 2" xfId="41504" xr:uid="{10DE98BA-03EB-4998-BB47-B3756DEFFF4A}"/>
    <cellStyle name="Normal 4 3 2 2 2 3 4 3 3" xfId="33057" xr:uid="{6874C5BB-5572-4137-A080-AB76C8C06458}"/>
    <cellStyle name="Normal 4 3 2 2 2 3 4 3 4" xfId="24609" xr:uid="{AD730CF1-191C-49DC-8A17-0A4E417B8EE6}"/>
    <cellStyle name="Normal 4 3 2 2 2 3 4 3 5" xfId="15312" xr:uid="{5927F182-6660-49EC-A4E7-D27281162CAC}"/>
    <cellStyle name="Normal 4 3 2 2 2 3 4 4" xfId="37287" xr:uid="{CCF7B68B-F8E0-45E6-8F8C-2AF8E8C196BA}"/>
    <cellStyle name="Normal 4 3 2 2 2 3 4 5" xfId="28839" xr:uid="{4E1938E9-AE95-4175-AA51-5C1B32782A08}"/>
    <cellStyle name="Normal 4 3 2 2 2 3 4 6" xfId="20392" xr:uid="{58F29407-9A45-41C6-8A5D-3EF8AF29916D}"/>
    <cellStyle name="Normal 4 3 2 2 2 3 4 7" xfId="11095" xr:uid="{E835C800-1859-4902-BF5E-AD3E438724C3}"/>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44062" xr:uid="{A2F081A0-BBCF-4ECE-93C9-E71EB05F43C2}"/>
    <cellStyle name="Normal 4 3 2 2 2 3 5 2 2 3" xfId="35615" xr:uid="{C364BEF3-6A63-462F-9E05-835735C59BB5}"/>
    <cellStyle name="Normal 4 3 2 2 2 3 5 2 2 4" xfId="27167" xr:uid="{3ECD6EA4-9332-4371-8746-6ECB8F1EED20}"/>
    <cellStyle name="Normal 4 3 2 2 2 3 5 2 2 5" xfId="17870" xr:uid="{2ED87619-BE94-4F7E-9FE8-51E75490CD26}"/>
    <cellStyle name="Normal 4 3 2 2 2 3 5 2 3" xfId="39845" xr:uid="{58FE48CE-D400-4095-B8E3-04B7F76066DF}"/>
    <cellStyle name="Normal 4 3 2 2 2 3 5 2 4" xfId="31397" xr:uid="{965AE869-3182-4148-8A0F-B6259776728E}"/>
    <cellStyle name="Normal 4 3 2 2 2 3 5 2 5" xfId="22950" xr:uid="{8C3EF611-B353-4C67-A3DA-6AD2AEFC808A}"/>
    <cellStyle name="Normal 4 3 2 2 2 3 5 2 6" xfId="13653" xr:uid="{95CE6A8E-0191-43BC-B1AB-B4FC3AD82136}"/>
    <cellStyle name="Normal 4 3 2 2 2 3 5 3" xfId="6399" xr:uid="{00000000-0005-0000-0000-000043140000}"/>
    <cellStyle name="Normal 4 3 2 2 2 3 5 3 2" xfId="41917" xr:uid="{EBD5305B-17DB-4BF2-B571-292D06E4E262}"/>
    <cellStyle name="Normal 4 3 2 2 2 3 5 3 3" xfId="33470" xr:uid="{95CDD4CA-4588-4B2F-828A-F64B1A947561}"/>
    <cellStyle name="Normal 4 3 2 2 2 3 5 3 4" xfId="25022" xr:uid="{B8A64986-18F7-4E07-93BF-187CA290370A}"/>
    <cellStyle name="Normal 4 3 2 2 2 3 5 3 5" xfId="15725" xr:uid="{509B2469-0F3F-4E16-A9C8-BC68C46E52F9}"/>
    <cellStyle name="Normal 4 3 2 2 2 3 5 4" xfId="37700" xr:uid="{8B51F843-48D7-412F-B9D8-6426DBE48BDE}"/>
    <cellStyle name="Normal 4 3 2 2 2 3 5 5" xfId="29252" xr:uid="{0D6F3D62-B544-49BE-813D-D86DA02F4FB6}"/>
    <cellStyle name="Normal 4 3 2 2 2 3 5 6" xfId="20805" xr:uid="{A67B2306-5D97-48C2-8915-7F5D65CCECC5}"/>
    <cellStyle name="Normal 4 3 2 2 2 3 5 7" xfId="11508" xr:uid="{B80A1020-5AFC-47CB-80D4-B094169D7219}"/>
    <cellStyle name="Normal 4 3 2 2 2 3 6" xfId="2529" xr:uid="{00000000-0005-0000-0000-000044140000}"/>
    <cellStyle name="Normal 4 3 2 2 2 3 6 2" xfId="6812" xr:uid="{00000000-0005-0000-0000-000045140000}"/>
    <cellStyle name="Normal 4 3 2 2 2 3 6 2 2" xfId="42330" xr:uid="{812DEE73-4478-418A-8870-B092C31B98EC}"/>
    <cellStyle name="Normal 4 3 2 2 2 3 6 2 3" xfId="33883" xr:uid="{BDFBDB22-1485-4431-9E99-77AC388CDF88}"/>
    <cellStyle name="Normal 4 3 2 2 2 3 6 2 4" xfId="25435" xr:uid="{DB9AED6E-F30E-4B24-B64D-5010D70223B5}"/>
    <cellStyle name="Normal 4 3 2 2 2 3 6 2 5" xfId="16138" xr:uid="{397127BB-45E0-4F41-A715-E3009A8086F2}"/>
    <cellStyle name="Normal 4 3 2 2 2 3 6 3" xfId="38113" xr:uid="{623FC1F5-B7CF-4FB5-A76F-3359ABAA4025}"/>
    <cellStyle name="Normal 4 3 2 2 2 3 6 4" xfId="29665" xr:uid="{0B70C9BB-8BC0-4CE6-B9DD-CF448CC3F781}"/>
    <cellStyle name="Normal 4 3 2 2 2 3 6 5" xfId="21218" xr:uid="{1EE3486D-17BD-497B-84E3-08A918C97C3D}"/>
    <cellStyle name="Normal 4 3 2 2 2 3 6 6" xfId="11921" xr:uid="{54CB6584-217B-4A59-AC66-707CA4783CBA}"/>
    <cellStyle name="Normal 4 3 2 2 2 3 7" xfId="4747" xr:uid="{00000000-0005-0000-0000-000046140000}"/>
    <cellStyle name="Normal 4 3 2 2 2 3 7 2" xfId="40265" xr:uid="{BE35715B-86CA-451C-A051-A959EFA8C2F8}"/>
    <cellStyle name="Normal 4 3 2 2 2 3 7 3" xfId="31818" xr:uid="{4A6D7E6C-D635-4A39-B7ED-E424A77422D7}"/>
    <cellStyle name="Normal 4 3 2 2 2 3 7 4" xfId="23370" xr:uid="{077236A5-3CBB-486D-B8C0-DD8ED5366434}"/>
    <cellStyle name="Normal 4 3 2 2 2 3 7 5" xfId="14073" xr:uid="{B2B14069-F167-4416-82DF-2908599E3213}"/>
    <cellStyle name="Normal 4 3 2 2 2 3 8" xfId="9029" xr:uid="{CC421D7E-69EF-4D96-A95C-E67F046F8D14}"/>
    <cellStyle name="Normal 4 3 2 2 2 3 8 2" xfId="36048" xr:uid="{9BC287A7-2501-4D2B-8BA1-FC11ED12B4A5}"/>
    <cellStyle name="Normal 4 3 2 2 2 3 8 3" xfId="18352" xr:uid="{D24A810E-4B49-4E25-856B-2879D7FE1B07}"/>
    <cellStyle name="Normal 4 3 2 2 2 3 9" xfId="27600" xr:uid="{56843E56-CCA6-408E-AEDE-FF28ADC6F83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42820" xr:uid="{0614A06E-4C28-4141-95DE-8BBC83EF1BA5}"/>
    <cellStyle name="Normal 4 3 2 2 2 4 2 2 3" xfId="34373" xr:uid="{5D92420E-1431-4E17-9CAA-84FC9106F60D}"/>
    <cellStyle name="Normal 4 3 2 2 2 4 2 2 4" xfId="25925" xr:uid="{ACF92622-5CCD-493A-86DB-FEDCC9D12FB6}"/>
    <cellStyle name="Normal 4 3 2 2 2 4 2 2 5" xfId="16628" xr:uid="{CF5FCA1B-F94C-4B8E-BE11-270690ED66F5}"/>
    <cellStyle name="Normal 4 3 2 2 2 4 2 3" xfId="38603" xr:uid="{9D8FE637-A307-4344-854A-3CCF9590FCB6}"/>
    <cellStyle name="Normal 4 3 2 2 2 4 2 4" xfId="30155" xr:uid="{E1BBF5CC-566A-4632-B54E-8579BB20FCA8}"/>
    <cellStyle name="Normal 4 3 2 2 2 4 2 5" xfId="21708" xr:uid="{DAFA2ECE-C077-4A7B-A9CD-2C221AAD580E}"/>
    <cellStyle name="Normal 4 3 2 2 2 4 2 6" xfId="12411" xr:uid="{6449BF65-F9BA-43B7-900F-8C32C7200EC3}"/>
    <cellStyle name="Normal 4 3 2 2 2 4 3" xfId="5157" xr:uid="{00000000-0005-0000-0000-00004A140000}"/>
    <cellStyle name="Normal 4 3 2 2 2 4 3 2" xfId="40675" xr:uid="{3B85E81C-6E52-414E-BA14-A33B0712F942}"/>
    <cellStyle name="Normal 4 3 2 2 2 4 3 3" xfId="32228" xr:uid="{DE8A1EFC-DB7E-4B59-8F48-A908921BB48B}"/>
    <cellStyle name="Normal 4 3 2 2 2 4 3 4" xfId="23780" xr:uid="{F73EF233-6F17-4C3D-B683-238A4CD59BE5}"/>
    <cellStyle name="Normal 4 3 2 2 2 4 3 5" xfId="14483" xr:uid="{F51148E2-F6E0-4CF0-8DF6-328D69F26558}"/>
    <cellStyle name="Normal 4 3 2 2 2 4 4" xfId="9247" xr:uid="{70D9D224-DB0B-42B4-B4A9-BC88F455C395}"/>
    <cellStyle name="Normal 4 3 2 2 2 4 4 2" xfId="36458" xr:uid="{2762C2F0-5A12-4D9E-88EA-86206E4F3C7F}"/>
    <cellStyle name="Normal 4 3 2 2 2 4 4 3" xfId="18560" xr:uid="{758A9688-2289-4630-8577-DF426D41F504}"/>
    <cellStyle name="Normal 4 3 2 2 2 4 5" xfId="28010" xr:uid="{28E0414D-5DD7-4C11-AA3C-BD3FBAEF1967}"/>
    <cellStyle name="Normal 4 3 2 2 2 4 6" xfId="19563" xr:uid="{EF463C83-CC30-44BF-87FC-BDDD8BF77875}"/>
    <cellStyle name="Normal 4 3 2 2 2 4 7" xfId="10266" xr:uid="{9EDC65C3-63D6-4A21-ADE9-F875515F9F02}"/>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43233" xr:uid="{73DBAF86-8CCA-4FB4-8517-D08420E63B9E}"/>
    <cellStyle name="Normal 4 3 2 2 2 5 2 2 3" xfId="34786" xr:uid="{085168BE-52D0-413E-87FF-50AE2DAEA4CA}"/>
    <cellStyle name="Normal 4 3 2 2 2 5 2 2 4" xfId="26338" xr:uid="{3C5925D2-0E12-4C6B-BCA0-35AD58CA7A69}"/>
    <cellStyle name="Normal 4 3 2 2 2 5 2 2 5" xfId="17041" xr:uid="{9A12D443-264B-4D94-AB2B-C034C119E405}"/>
    <cellStyle name="Normal 4 3 2 2 2 5 2 3" xfId="39016" xr:uid="{7DE1E9D4-7801-49D4-87C7-ADFEF360222C}"/>
    <cellStyle name="Normal 4 3 2 2 2 5 2 4" xfId="30568" xr:uid="{DACB87CB-6FF2-402E-9942-E12BA1D181EE}"/>
    <cellStyle name="Normal 4 3 2 2 2 5 2 5" xfId="22121" xr:uid="{F55CBC8F-8CD5-4D70-87AA-B7440B605BB3}"/>
    <cellStyle name="Normal 4 3 2 2 2 5 2 6" xfId="12824" xr:uid="{C797D828-DC2A-4BB4-B8D1-2DA16336EDC3}"/>
    <cellStyle name="Normal 4 3 2 2 2 5 3" xfId="5570" xr:uid="{00000000-0005-0000-0000-00004E140000}"/>
    <cellStyle name="Normal 4 3 2 2 2 5 3 2" xfId="41088" xr:uid="{85C77A61-C908-4AAD-9D48-79541F87C8C9}"/>
    <cellStyle name="Normal 4 3 2 2 2 5 3 3" xfId="32641" xr:uid="{376BC5DF-7F8C-4B01-9DF8-5E3FA53B697A}"/>
    <cellStyle name="Normal 4 3 2 2 2 5 3 4" xfId="24193" xr:uid="{E85B6F4D-B83A-49D1-9238-BB74CA7DE84E}"/>
    <cellStyle name="Normal 4 3 2 2 2 5 3 5" xfId="14896" xr:uid="{3100924E-98EF-4507-BC80-205240355DB0}"/>
    <cellStyle name="Normal 4 3 2 2 2 5 4" xfId="36871" xr:uid="{6AE6B4FF-E11F-4028-B3BB-E92171A97082}"/>
    <cellStyle name="Normal 4 3 2 2 2 5 5" xfId="28423" xr:uid="{9A916D0A-56A5-4C04-8DB7-1A2A2B79BABE}"/>
    <cellStyle name="Normal 4 3 2 2 2 5 6" xfId="19976" xr:uid="{18B9DA30-2456-4ECE-BA48-0707AEEB8998}"/>
    <cellStyle name="Normal 4 3 2 2 2 5 7" xfId="10679" xr:uid="{BBDD5E0F-4FC4-4019-8AD8-D0EFA996F2C7}"/>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43646" xr:uid="{46D8E1EF-E0BD-4DB3-8040-8A6F4969E939}"/>
    <cellStyle name="Normal 4 3 2 2 2 6 2 2 3" xfId="35199" xr:uid="{935C747C-98F2-4F73-8E19-D72B9BD7426B}"/>
    <cellStyle name="Normal 4 3 2 2 2 6 2 2 4" xfId="26751" xr:uid="{57875427-7460-4CDD-9950-F628B0FFFA9C}"/>
    <cellStyle name="Normal 4 3 2 2 2 6 2 2 5" xfId="17454" xr:uid="{80E6C9A9-DA2B-44EF-8241-28F89A24D133}"/>
    <cellStyle name="Normal 4 3 2 2 2 6 2 3" xfId="39429" xr:uid="{6E449E43-CDEF-4398-A7EA-0EDBA44AD6B5}"/>
    <cellStyle name="Normal 4 3 2 2 2 6 2 4" xfId="30981" xr:uid="{1E4ED808-7195-42F6-9E99-09D87BF47FB4}"/>
    <cellStyle name="Normal 4 3 2 2 2 6 2 5" xfId="22534" xr:uid="{A5003F20-D979-4D98-9FC9-1ED5C21F56A4}"/>
    <cellStyle name="Normal 4 3 2 2 2 6 2 6" xfId="13237" xr:uid="{4599341C-AB10-49AF-BC94-9653834E773A}"/>
    <cellStyle name="Normal 4 3 2 2 2 6 3" xfId="5983" xr:uid="{00000000-0005-0000-0000-000052140000}"/>
    <cellStyle name="Normal 4 3 2 2 2 6 3 2" xfId="41501" xr:uid="{87C5A191-8068-420E-98B0-83746B0D7086}"/>
    <cellStyle name="Normal 4 3 2 2 2 6 3 3" xfId="33054" xr:uid="{6F5A0F02-3E1F-43D7-A032-2C57DC338368}"/>
    <cellStyle name="Normal 4 3 2 2 2 6 3 4" xfId="24606" xr:uid="{A1117019-E2C2-4790-93D0-7EB022F1CAA7}"/>
    <cellStyle name="Normal 4 3 2 2 2 6 3 5" xfId="15309" xr:uid="{621D6457-A588-4D15-85AD-C89762739BFC}"/>
    <cellStyle name="Normal 4 3 2 2 2 6 4" xfId="37284" xr:uid="{3426BF8E-DCA8-48BD-B7D1-A6035C118E74}"/>
    <cellStyle name="Normal 4 3 2 2 2 6 5" xfId="28836" xr:uid="{63CE759F-9445-4C86-B8EC-E97A9A1653A7}"/>
    <cellStyle name="Normal 4 3 2 2 2 6 6" xfId="20389" xr:uid="{C8E4B69A-8354-47D6-A81E-E73AC214B692}"/>
    <cellStyle name="Normal 4 3 2 2 2 6 7" xfId="11092" xr:uid="{BBBFA46B-2D51-43A0-878F-C0DB0D30F068}"/>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44059" xr:uid="{644CFABA-30B4-49D7-96F7-24E14C6AC2A1}"/>
    <cellStyle name="Normal 4 3 2 2 2 7 2 2 3" xfId="35612" xr:uid="{0A5DBE8B-7108-46FA-815E-F07107E1535D}"/>
    <cellStyle name="Normal 4 3 2 2 2 7 2 2 4" xfId="27164" xr:uid="{0D5B1E6A-0EB9-44A8-BE8A-29459DC7CCC3}"/>
    <cellStyle name="Normal 4 3 2 2 2 7 2 2 5" xfId="17867" xr:uid="{55F1E617-3ECE-4A09-A607-4153936BA7D1}"/>
    <cellStyle name="Normal 4 3 2 2 2 7 2 3" xfId="39842" xr:uid="{F0EFCE53-2E8F-4FF9-BFA3-58371D72028B}"/>
    <cellStyle name="Normal 4 3 2 2 2 7 2 4" xfId="31394" xr:uid="{A94FD643-FEE8-41B6-B2B9-7B01D59C8D48}"/>
    <cellStyle name="Normal 4 3 2 2 2 7 2 5" xfId="22947" xr:uid="{ECBFCB80-2964-4DE5-A898-DDA40B9F85B9}"/>
    <cellStyle name="Normal 4 3 2 2 2 7 2 6" xfId="13650" xr:uid="{C7A3F122-3647-4AF3-927C-C670989D76CC}"/>
    <cellStyle name="Normal 4 3 2 2 2 7 3" xfId="6396" xr:uid="{00000000-0005-0000-0000-000056140000}"/>
    <cellStyle name="Normal 4 3 2 2 2 7 3 2" xfId="41914" xr:uid="{C4FAFC61-3278-4D41-BC20-0B0085C0B2AA}"/>
    <cellStyle name="Normal 4 3 2 2 2 7 3 3" xfId="33467" xr:uid="{A65C8EA0-2CEC-4E56-8692-6C5D0F84D84C}"/>
    <cellStyle name="Normal 4 3 2 2 2 7 3 4" xfId="25019" xr:uid="{1CBD1151-6BE5-4556-B509-5686E5FA739C}"/>
    <cellStyle name="Normal 4 3 2 2 2 7 3 5" xfId="15722" xr:uid="{E803F23C-B672-40E8-81FE-D143649AB5A3}"/>
    <cellStyle name="Normal 4 3 2 2 2 7 4" xfId="37697" xr:uid="{CB447BE2-20F6-47A1-AFE0-5984D3EA17D5}"/>
    <cellStyle name="Normal 4 3 2 2 2 7 5" xfId="29249" xr:uid="{34B022BA-392F-44E6-9A3D-712B5DF61C6A}"/>
    <cellStyle name="Normal 4 3 2 2 2 7 6" xfId="20802" xr:uid="{DF7DE30E-1D2F-4683-9F20-7B3B8E26621E}"/>
    <cellStyle name="Normal 4 3 2 2 2 7 7" xfId="11505" xr:uid="{8836E200-AC3C-4671-BBD6-BEA16E4FFC2F}"/>
    <cellStyle name="Normal 4 3 2 2 2 8" xfId="2526" xr:uid="{00000000-0005-0000-0000-000057140000}"/>
    <cellStyle name="Normal 4 3 2 2 2 8 2" xfId="6809" xr:uid="{00000000-0005-0000-0000-000058140000}"/>
    <cellStyle name="Normal 4 3 2 2 2 8 2 2" xfId="42327" xr:uid="{C299E880-2EFF-41EB-8A81-9BB5AE1DE6E7}"/>
    <cellStyle name="Normal 4 3 2 2 2 8 2 3" xfId="33880" xr:uid="{6A64C4E1-9FD3-4447-BC72-A4087BB5193E}"/>
    <cellStyle name="Normal 4 3 2 2 2 8 2 4" xfId="25432" xr:uid="{02538EF3-2BF7-4717-A589-34FED9AD72DA}"/>
    <cellStyle name="Normal 4 3 2 2 2 8 2 5" xfId="16135" xr:uid="{759CF3CE-54C4-4A26-80B3-BA736EAE7191}"/>
    <cellStyle name="Normal 4 3 2 2 2 8 3" xfId="38110" xr:uid="{791DE004-3A6E-4278-BBE1-EEB59C8CA768}"/>
    <cellStyle name="Normal 4 3 2 2 2 8 4" xfId="29662" xr:uid="{B50B1BBD-3D3D-46E7-A533-9C5CF19686B2}"/>
    <cellStyle name="Normal 4 3 2 2 2 8 5" xfId="21215" xr:uid="{BCA15303-AEFE-4AD6-8AE1-66D4B3CE6C1F}"/>
    <cellStyle name="Normal 4 3 2 2 2 8 6" xfId="11918" xr:uid="{34966936-5645-4A65-A83B-B0DF90C0AF5F}"/>
    <cellStyle name="Normal 4 3 2 2 2 9" xfId="4744" xr:uid="{00000000-0005-0000-0000-000059140000}"/>
    <cellStyle name="Normal 4 3 2 2 2 9 2" xfId="40262" xr:uid="{87BBAD1E-715A-4FD1-AE0C-A522FE829C5D}"/>
    <cellStyle name="Normal 4 3 2 2 2 9 3" xfId="31815" xr:uid="{6FE79953-55C0-4341-98B4-3766B5D94140}"/>
    <cellStyle name="Normal 4 3 2 2 2 9 4" xfId="23367" xr:uid="{0E91C68B-1460-4866-AE22-CBE5C72312AD}"/>
    <cellStyle name="Normal 4 3 2 2 2 9 5" xfId="14070" xr:uid="{0E349C07-422D-4D99-9584-35A6BE97D614}"/>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10 2" xfId="36049" xr:uid="{E8A70395-59F4-4FA9-8A82-5DCA82880690}"/>
    <cellStyle name="Normal 4 3 3 10 3" xfId="18144" xr:uid="{17DE990C-ED58-4F41-8F03-0D5ED2BABB83}"/>
    <cellStyle name="Normal 4 3 3 11" xfId="27601" xr:uid="{A1367E1B-214A-4358-A5A1-61C12CDBDBC4}"/>
    <cellStyle name="Normal 4 3 3 12" xfId="19154" xr:uid="{D65AF044-97B1-42E7-A5D7-51C0B3139C09}"/>
    <cellStyle name="Normal 4 3 3 13" xfId="9857" xr:uid="{4F685741-F4C7-41F6-8DB8-A5C6CC8948D6}"/>
    <cellStyle name="Normal 4 3 3 2" xfId="375" xr:uid="{00000000-0005-0000-0000-00005E140000}"/>
    <cellStyle name="Normal 4 3 3 2 10" xfId="27602" xr:uid="{77F71570-EB69-48FA-B586-EC0E23FB9CF3}"/>
    <cellStyle name="Normal 4 3 3 2 11" xfId="19155" xr:uid="{2DFECA58-963A-4DCC-A6F3-9F2D8C9A0158}"/>
    <cellStyle name="Normal 4 3 3 2 12" xfId="9858" xr:uid="{287B3A14-0F8D-4F95-80F0-339095EAFF8B}"/>
    <cellStyle name="Normal 4 3 3 2 2" xfId="376" xr:uid="{00000000-0005-0000-0000-00005F140000}"/>
    <cellStyle name="Normal 4 3 3 2 2 10" xfId="19156" xr:uid="{DEF41210-7538-42DA-9D23-312FE33EC0D2}"/>
    <cellStyle name="Normal 4 3 3 2 2 11" xfId="9859" xr:uid="{F117E049-86DE-4933-BB5F-6FAF4F071408}"/>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42826" xr:uid="{E60C59AE-438C-436B-9481-2072095F1F11}"/>
    <cellStyle name="Normal 4 3 3 2 2 2 2 2 3" xfId="34379" xr:uid="{4107BF68-27A3-4629-A1C0-01FE99005FDE}"/>
    <cellStyle name="Normal 4 3 3 2 2 2 2 2 4" xfId="25931" xr:uid="{F6CDA2BB-DC7B-4CA9-969B-CCBF9786D265}"/>
    <cellStyle name="Normal 4 3 3 2 2 2 2 2 5" xfId="16634" xr:uid="{1FBD6EBA-59FD-4757-9150-90BC2404B6FF}"/>
    <cellStyle name="Normal 4 3 3 2 2 2 2 3" xfId="38609" xr:uid="{2643FF35-DD40-402F-A656-15716E7D8895}"/>
    <cellStyle name="Normal 4 3 3 2 2 2 2 4" xfId="30161" xr:uid="{B824CFF9-F7C3-420A-AC68-A67BD4DDBC8F}"/>
    <cellStyle name="Normal 4 3 3 2 2 2 2 5" xfId="21714" xr:uid="{2EE8EDC6-4E11-45AC-83ED-81A7165843A6}"/>
    <cellStyle name="Normal 4 3 3 2 2 2 2 6" xfId="12417" xr:uid="{62377BD5-344F-461A-A874-AC4C908546AD}"/>
    <cellStyle name="Normal 4 3 3 2 2 2 3" xfId="5163" xr:uid="{00000000-0005-0000-0000-000063140000}"/>
    <cellStyle name="Normal 4 3 3 2 2 2 3 2" xfId="40681" xr:uid="{DB986C78-9B0C-4D51-A062-F4135FD97721}"/>
    <cellStyle name="Normal 4 3 3 2 2 2 3 3" xfId="32234" xr:uid="{E5476174-B346-44B4-9B94-135F9A49B3D5}"/>
    <cellStyle name="Normal 4 3 3 2 2 2 3 4" xfId="23786" xr:uid="{A58D2B79-7EBC-4A33-B376-EA6868DB3E94}"/>
    <cellStyle name="Normal 4 3 3 2 2 2 3 5" xfId="14489" xr:uid="{E1EABC0A-CBE9-43E9-A94E-641D1746615C}"/>
    <cellStyle name="Normal 4 3 3 2 2 2 4" xfId="9556" xr:uid="{7233D5E9-9F1E-43FF-8391-DCCFDF8A705D}"/>
    <cellStyle name="Normal 4 3 3 2 2 2 4 2" xfId="36464" xr:uid="{276330EF-623D-4D8A-AE8D-29E13E7D132D}"/>
    <cellStyle name="Normal 4 3 3 2 2 2 4 3" xfId="18869" xr:uid="{6D99384B-122E-446F-82B3-63F377348C2B}"/>
    <cellStyle name="Normal 4 3 3 2 2 2 5" xfId="28016" xr:uid="{27541B42-6BFC-4C9C-A821-1F20581A0378}"/>
    <cellStyle name="Normal 4 3 3 2 2 2 6" xfId="19569" xr:uid="{6B2DCE32-396D-4EDA-8521-627F17253D08}"/>
    <cellStyle name="Normal 4 3 3 2 2 2 7" xfId="10272" xr:uid="{FF27C5B8-B9B0-4F19-8357-C5016741DD35}"/>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43239" xr:uid="{4FDB7EE4-F189-4693-BAB3-CA1691D8B90C}"/>
    <cellStyle name="Normal 4 3 3 2 2 3 2 2 3" xfId="34792" xr:uid="{DB48660C-8882-41C1-8DBD-0A495B55FC50}"/>
    <cellStyle name="Normal 4 3 3 2 2 3 2 2 4" xfId="26344" xr:uid="{AAEBAD4D-ECE4-4820-909B-00461C2ECCA2}"/>
    <cellStyle name="Normal 4 3 3 2 2 3 2 2 5" xfId="17047" xr:uid="{14353A55-2CBD-4EC6-A931-F67269F15AA2}"/>
    <cellStyle name="Normal 4 3 3 2 2 3 2 3" xfId="39022" xr:uid="{56E50CA0-BFF6-4035-AFC5-86E314A6B2B5}"/>
    <cellStyle name="Normal 4 3 3 2 2 3 2 4" xfId="30574" xr:uid="{AF0B30BC-C054-4009-902A-0D3A3A031DDF}"/>
    <cellStyle name="Normal 4 3 3 2 2 3 2 5" xfId="22127" xr:uid="{7364F160-1B8D-4B60-B062-475E3C91CAC0}"/>
    <cellStyle name="Normal 4 3 3 2 2 3 2 6" xfId="12830" xr:uid="{B0FD2885-5620-4EA8-9898-0CC9943FF965}"/>
    <cellStyle name="Normal 4 3 3 2 2 3 3" xfId="5576" xr:uid="{00000000-0005-0000-0000-000067140000}"/>
    <cellStyle name="Normal 4 3 3 2 2 3 3 2" xfId="41094" xr:uid="{441A63E6-B9EC-4C70-8B32-CAE8C19A5B70}"/>
    <cellStyle name="Normal 4 3 3 2 2 3 3 3" xfId="32647" xr:uid="{130CC1B7-EAC6-457F-8D31-4DCCBEA2A274}"/>
    <cellStyle name="Normal 4 3 3 2 2 3 3 4" xfId="24199" xr:uid="{53C06D52-1D10-452A-B2B6-0A7160A8D7BE}"/>
    <cellStyle name="Normal 4 3 3 2 2 3 3 5" xfId="14902" xr:uid="{643ED697-4F8F-42ED-91E5-CA9EACB6BD3A}"/>
    <cellStyle name="Normal 4 3 3 2 2 3 4" xfId="36877" xr:uid="{0759A16D-7905-46AE-867B-811AA8CE7E5A}"/>
    <cellStyle name="Normal 4 3 3 2 2 3 5" xfId="28429" xr:uid="{B3E99709-E1B0-415C-92F3-1CBD5EF2D831}"/>
    <cellStyle name="Normal 4 3 3 2 2 3 6" xfId="19982" xr:uid="{112EEE80-8BB4-420B-898E-FF7DDA95A933}"/>
    <cellStyle name="Normal 4 3 3 2 2 3 7" xfId="10685" xr:uid="{B2BFC333-8AE1-4611-B2AE-9791F2FB5F7F}"/>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43652" xr:uid="{5D83F551-2E67-429B-8F59-B6169FBA6493}"/>
    <cellStyle name="Normal 4 3 3 2 2 4 2 2 3" xfId="35205" xr:uid="{39A47225-279B-41DB-8AD5-6972369A4EEA}"/>
    <cellStyle name="Normal 4 3 3 2 2 4 2 2 4" xfId="26757" xr:uid="{486F9637-5EA1-4B09-8E11-90CB58D1D88E}"/>
    <cellStyle name="Normal 4 3 3 2 2 4 2 2 5" xfId="17460" xr:uid="{C90C39BA-05A7-4FDE-97AE-8CF5B9F0BC41}"/>
    <cellStyle name="Normal 4 3 3 2 2 4 2 3" xfId="39435" xr:uid="{DC209E4E-5A5F-4720-9EB2-6B360027A495}"/>
    <cellStyle name="Normal 4 3 3 2 2 4 2 4" xfId="30987" xr:uid="{885AFC20-43BF-41CA-AAC3-5DEF12BA4911}"/>
    <cellStyle name="Normal 4 3 3 2 2 4 2 5" xfId="22540" xr:uid="{1F32FE68-5993-44F2-80DE-56CB4F8983C9}"/>
    <cellStyle name="Normal 4 3 3 2 2 4 2 6" xfId="13243" xr:uid="{5053E28D-314E-4D45-A0E0-E4B436CF99DF}"/>
    <cellStyle name="Normal 4 3 3 2 2 4 3" xfId="5989" xr:uid="{00000000-0005-0000-0000-00006B140000}"/>
    <cellStyle name="Normal 4 3 3 2 2 4 3 2" xfId="41507" xr:uid="{8487A83A-488C-41A6-BD5E-EB4D13A8021B}"/>
    <cellStyle name="Normal 4 3 3 2 2 4 3 3" xfId="33060" xr:uid="{A3639907-E0BC-47DA-8C7E-BA57FF21B785}"/>
    <cellStyle name="Normal 4 3 3 2 2 4 3 4" xfId="24612" xr:uid="{EE93B175-0E72-4CE9-8AEF-643E03125A0C}"/>
    <cellStyle name="Normal 4 3 3 2 2 4 3 5" xfId="15315" xr:uid="{2CA3B8C0-17B3-4B91-89EF-19F8A062001A}"/>
    <cellStyle name="Normal 4 3 3 2 2 4 4" xfId="37290" xr:uid="{6C13C2C7-DAFC-4E7C-B06E-0357F1FEA972}"/>
    <cellStyle name="Normal 4 3 3 2 2 4 5" xfId="28842" xr:uid="{EEE9399D-79AC-43CC-BCCC-72B0982AAD26}"/>
    <cellStyle name="Normal 4 3 3 2 2 4 6" xfId="20395" xr:uid="{0CCB8D35-E8EB-4DBC-84CA-3CA17FA24611}"/>
    <cellStyle name="Normal 4 3 3 2 2 4 7" xfId="11098" xr:uid="{A49A1008-40BD-417B-A396-745322690AE5}"/>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44065" xr:uid="{871C901A-E7BF-435E-9F20-D3CF5D6C9577}"/>
    <cellStyle name="Normal 4 3 3 2 2 5 2 2 3" xfId="35618" xr:uid="{99C728B1-8EA2-4796-A5C3-6FE0222EBC41}"/>
    <cellStyle name="Normal 4 3 3 2 2 5 2 2 4" xfId="27170" xr:uid="{5D89F084-A452-4F50-A013-478C1D35E057}"/>
    <cellStyle name="Normal 4 3 3 2 2 5 2 2 5" xfId="17873" xr:uid="{FD4202D7-7B50-4121-92E8-F8F5A883C94A}"/>
    <cellStyle name="Normal 4 3 3 2 2 5 2 3" xfId="39848" xr:uid="{DCE83DF6-BA47-4A2E-B439-EEE88AFA7633}"/>
    <cellStyle name="Normal 4 3 3 2 2 5 2 4" xfId="31400" xr:uid="{C11F6790-2C90-4F78-B8CB-8119195D6069}"/>
    <cellStyle name="Normal 4 3 3 2 2 5 2 5" xfId="22953" xr:uid="{F7502648-DDCB-4097-9EE0-01BB3FD871C2}"/>
    <cellStyle name="Normal 4 3 3 2 2 5 2 6" xfId="13656" xr:uid="{E45DBB1A-1222-435C-BD3D-35B65F882912}"/>
    <cellStyle name="Normal 4 3 3 2 2 5 3" xfId="6402" xr:uid="{00000000-0005-0000-0000-00006F140000}"/>
    <cellStyle name="Normal 4 3 3 2 2 5 3 2" xfId="41920" xr:uid="{7D9D1EF7-4C4E-4F46-9FF0-27C9650356FE}"/>
    <cellStyle name="Normal 4 3 3 2 2 5 3 3" xfId="33473" xr:uid="{C23464CD-A66A-4F81-9102-1BECFE450514}"/>
    <cellStyle name="Normal 4 3 3 2 2 5 3 4" xfId="25025" xr:uid="{499C7DD5-4D70-44B6-9DE4-89A45FD71F76}"/>
    <cellStyle name="Normal 4 3 3 2 2 5 3 5" xfId="15728" xr:uid="{2694C2A7-7831-4074-BF99-DA32AC927BE7}"/>
    <cellStyle name="Normal 4 3 3 2 2 5 4" xfId="37703" xr:uid="{5348E269-EB5B-4FFF-A55F-BFEBE8E9F7A3}"/>
    <cellStyle name="Normal 4 3 3 2 2 5 5" xfId="29255" xr:uid="{58514C86-6FC5-4C80-BFB7-F0487049C843}"/>
    <cellStyle name="Normal 4 3 3 2 2 5 6" xfId="20808" xr:uid="{C7FE8AA1-36E4-45D1-969B-C0585AB125E9}"/>
    <cellStyle name="Normal 4 3 3 2 2 5 7" xfId="11511" xr:uid="{46F95451-AF47-4572-8EDF-44D7649695CD}"/>
    <cellStyle name="Normal 4 3 3 2 2 6" xfId="2532" xr:uid="{00000000-0005-0000-0000-000070140000}"/>
    <cellStyle name="Normal 4 3 3 2 2 6 2" xfId="6815" xr:uid="{00000000-0005-0000-0000-000071140000}"/>
    <cellStyle name="Normal 4 3 3 2 2 6 2 2" xfId="42333" xr:uid="{CCD21B17-510B-4A64-9810-300C67B8D451}"/>
    <cellStyle name="Normal 4 3 3 2 2 6 2 3" xfId="33886" xr:uid="{EF3F5846-5CB2-49BE-AB2B-B6B34BE9A870}"/>
    <cellStyle name="Normal 4 3 3 2 2 6 2 4" xfId="25438" xr:uid="{E1042A25-68DA-4FED-9BAC-01F4F8EA3BEB}"/>
    <cellStyle name="Normal 4 3 3 2 2 6 2 5" xfId="16141" xr:uid="{695D1520-D8F1-490F-B5E8-8FB8B5FAB8C1}"/>
    <cellStyle name="Normal 4 3 3 2 2 6 3" xfId="38116" xr:uid="{61CD37BE-35C7-4A99-8EAC-2ED74F65BB51}"/>
    <cellStyle name="Normal 4 3 3 2 2 6 4" xfId="29668" xr:uid="{ABD5C268-800E-4E0F-88B5-CEAF9E1FE8E7}"/>
    <cellStyle name="Normal 4 3 3 2 2 6 5" xfId="21221" xr:uid="{25696A1A-2EB4-4D21-99D9-646F0EF2A698}"/>
    <cellStyle name="Normal 4 3 3 2 2 6 6" xfId="11924" xr:uid="{702EB765-86DE-4704-81FB-32F26921E892}"/>
    <cellStyle name="Normal 4 3 3 2 2 7" xfId="4750" xr:uid="{00000000-0005-0000-0000-000072140000}"/>
    <cellStyle name="Normal 4 3 3 2 2 7 2" xfId="40268" xr:uid="{254D692D-59CE-4747-828A-0C950DDE8DE4}"/>
    <cellStyle name="Normal 4 3 3 2 2 7 3" xfId="31821" xr:uid="{9B649791-3695-4C9B-95D3-1A36EFA9B3A7}"/>
    <cellStyle name="Normal 4 3 3 2 2 7 4" xfId="23373" xr:uid="{4A1D0819-6E57-4A58-90A7-19B664476967}"/>
    <cellStyle name="Normal 4 3 3 2 2 7 5" xfId="14076" xr:uid="{9C9D35C4-6270-4DE8-85A1-2B03D70DD4C6}"/>
    <cellStyle name="Normal 4 3 3 2 2 8" xfId="9131" xr:uid="{D7BA3B10-6765-4B57-99D1-3AF7343772F8}"/>
    <cellStyle name="Normal 4 3 3 2 2 8 2" xfId="36051" xr:uid="{82AAC0D6-018E-45C4-846A-86E34C7DE2F2}"/>
    <cellStyle name="Normal 4 3 3 2 2 8 3" xfId="18454" xr:uid="{EC5DF1DE-D08B-4587-8328-B9C0FC58C86C}"/>
    <cellStyle name="Normal 4 3 3 2 2 9" xfId="27603" xr:uid="{E5C35FA0-8A15-4227-8D98-12DBCB63F238}"/>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42825" xr:uid="{D44F4251-A1DF-428F-A4D4-93B1D159FD55}"/>
    <cellStyle name="Normal 4 3 3 2 3 2 2 3" xfId="34378" xr:uid="{6616ABB0-CB17-4A08-9E87-1D8374F54707}"/>
    <cellStyle name="Normal 4 3 3 2 3 2 2 4" xfId="25930" xr:uid="{0C99DEB4-202A-47EA-83C9-89FB98D36104}"/>
    <cellStyle name="Normal 4 3 3 2 3 2 2 5" xfId="16633" xr:uid="{8548126E-20C6-4C73-A815-BBAA32D905A9}"/>
    <cellStyle name="Normal 4 3 3 2 3 2 3" xfId="38608" xr:uid="{F522BF37-EDF0-4461-A8D4-9DA3F0B8EFA1}"/>
    <cellStyle name="Normal 4 3 3 2 3 2 4" xfId="30160" xr:uid="{2CAC5853-4BF1-4CEE-BE00-5FA591ED59B2}"/>
    <cellStyle name="Normal 4 3 3 2 3 2 5" xfId="21713" xr:uid="{508A7D17-FDDD-4076-8A4E-60DCD08D5CDF}"/>
    <cellStyle name="Normal 4 3 3 2 3 2 6" xfId="12416" xr:uid="{57FBE75F-765F-4D78-A095-3B0579B3A13F}"/>
    <cellStyle name="Normal 4 3 3 2 3 3" xfId="5162" xr:uid="{00000000-0005-0000-0000-000076140000}"/>
    <cellStyle name="Normal 4 3 3 2 3 3 2" xfId="40680" xr:uid="{F9F9CD0C-E489-41EB-A933-0C0A1526A0DA}"/>
    <cellStyle name="Normal 4 3 3 2 3 3 3" xfId="32233" xr:uid="{14E76460-4A9E-4071-8CB6-DF7C87BF30C3}"/>
    <cellStyle name="Normal 4 3 3 2 3 3 4" xfId="23785" xr:uid="{C856A00A-EB8B-4CB0-AB82-69BBD347D5E7}"/>
    <cellStyle name="Normal 4 3 3 2 3 3 5" xfId="14488" xr:uid="{CEB812DB-5A32-4DA0-81B8-6A715936CB14}"/>
    <cellStyle name="Normal 4 3 3 2 3 4" xfId="9349" xr:uid="{E498700C-D7AE-42FC-8EB1-59BA2C1BA6B9}"/>
    <cellStyle name="Normal 4 3 3 2 3 4 2" xfId="36463" xr:uid="{C1E42E2B-6E19-47A7-AD84-83204892E648}"/>
    <cellStyle name="Normal 4 3 3 2 3 4 3" xfId="18662" xr:uid="{AFF5329C-4741-48BE-93F1-C9BF18ECEB91}"/>
    <cellStyle name="Normal 4 3 3 2 3 5" xfId="28015" xr:uid="{56EE30F4-03F3-4680-9646-9315A83B5D20}"/>
    <cellStyle name="Normal 4 3 3 2 3 6" xfId="19568" xr:uid="{E2FCDE2A-F1B1-4507-A903-3147D4C7636F}"/>
    <cellStyle name="Normal 4 3 3 2 3 7" xfId="10271" xr:uid="{110AE29E-3A57-49FF-8DD0-8CE7D1FA93F8}"/>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43238" xr:uid="{AE1C0732-A72D-4FA9-87E4-E384FFD87206}"/>
    <cellStyle name="Normal 4 3 3 2 4 2 2 3" xfId="34791" xr:uid="{B548C926-87F8-48D1-BC73-8CBBFCB0B61D}"/>
    <cellStyle name="Normal 4 3 3 2 4 2 2 4" xfId="26343" xr:uid="{270B684F-36EE-47A2-A52B-740224CB4180}"/>
    <cellStyle name="Normal 4 3 3 2 4 2 2 5" xfId="17046" xr:uid="{6AD8C25B-221C-4EDB-9BA2-0B64A8D4C942}"/>
    <cellStyle name="Normal 4 3 3 2 4 2 3" xfId="39021" xr:uid="{C0D8E16E-362A-4D0B-B780-37E0C4957890}"/>
    <cellStyle name="Normal 4 3 3 2 4 2 4" xfId="30573" xr:uid="{F79660D1-4DAE-47EA-85B0-DE3B6287A32F}"/>
    <cellStyle name="Normal 4 3 3 2 4 2 5" xfId="22126" xr:uid="{6ACCABE1-812D-4323-B490-567802DB6B1E}"/>
    <cellStyle name="Normal 4 3 3 2 4 2 6" xfId="12829" xr:uid="{4A4815FD-22D0-4361-B548-3CE28985422E}"/>
    <cellStyle name="Normal 4 3 3 2 4 3" xfId="5575" xr:uid="{00000000-0005-0000-0000-00007A140000}"/>
    <cellStyle name="Normal 4 3 3 2 4 3 2" xfId="41093" xr:uid="{1CB1B2F5-2518-41E3-97D2-EC1944B68FBE}"/>
    <cellStyle name="Normal 4 3 3 2 4 3 3" xfId="32646" xr:uid="{1A79E6D3-2AFE-4BE9-8F3E-E065548C351D}"/>
    <cellStyle name="Normal 4 3 3 2 4 3 4" xfId="24198" xr:uid="{AA0B1974-6CCE-424D-9014-5CA88E6458E0}"/>
    <cellStyle name="Normal 4 3 3 2 4 3 5" xfId="14901" xr:uid="{3EAED085-5DA5-44DB-85E7-7623CC753811}"/>
    <cellStyle name="Normal 4 3 3 2 4 4" xfId="36876" xr:uid="{1A1DF870-FD43-42A7-B606-7EBD2C5CCAAD}"/>
    <cellStyle name="Normal 4 3 3 2 4 5" xfId="28428" xr:uid="{D8DA8967-42A1-41B0-8A86-3CCAD7ADC792}"/>
    <cellStyle name="Normal 4 3 3 2 4 6" xfId="19981" xr:uid="{434D3924-A46A-4A1D-836B-9BAF5249C17E}"/>
    <cellStyle name="Normal 4 3 3 2 4 7" xfId="10684" xr:uid="{B154D825-C570-406D-838A-BCFA23BBA645}"/>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43651" xr:uid="{0891D8E4-DE1A-4A6F-9E46-C95C02BC58D1}"/>
    <cellStyle name="Normal 4 3 3 2 5 2 2 3" xfId="35204" xr:uid="{C7650E71-ED70-435B-A4BC-EC8B146FA6A3}"/>
    <cellStyle name="Normal 4 3 3 2 5 2 2 4" xfId="26756" xr:uid="{8E5099D6-8EBB-47A7-B7EF-02177463458C}"/>
    <cellStyle name="Normal 4 3 3 2 5 2 2 5" xfId="17459" xr:uid="{84A6596C-7438-4435-A241-B3C92CF780C5}"/>
    <cellStyle name="Normal 4 3 3 2 5 2 3" xfId="39434" xr:uid="{CCF70794-31DF-43D2-8614-B66050A97A32}"/>
    <cellStyle name="Normal 4 3 3 2 5 2 4" xfId="30986" xr:uid="{9357AD84-04F5-4249-A199-8EE79CED71F5}"/>
    <cellStyle name="Normal 4 3 3 2 5 2 5" xfId="22539" xr:uid="{42436616-0352-4DE8-9547-AAAA083A2063}"/>
    <cellStyle name="Normal 4 3 3 2 5 2 6" xfId="13242" xr:uid="{38F1E9AF-D522-4C15-8637-928F656CB94F}"/>
    <cellStyle name="Normal 4 3 3 2 5 3" xfId="5988" xr:uid="{00000000-0005-0000-0000-00007E140000}"/>
    <cellStyle name="Normal 4 3 3 2 5 3 2" xfId="41506" xr:uid="{221BFE66-531C-4252-8F38-D835D25DEBEE}"/>
    <cellStyle name="Normal 4 3 3 2 5 3 3" xfId="33059" xr:uid="{2D5A74E0-E178-463E-A8FD-31EA8181F4E5}"/>
    <cellStyle name="Normal 4 3 3 2 5 3 4" xfId="24611" xr:uid="{0CFE5E55-E387-44AD-B519-8417EB0C7361}"/>
    <cellStyle name="Normal 4 3 3 2 5 3 5" xfId="15314" xr:uid="{D753CF9D-350A-4189-BD3B-BBB57AA46A1D}"/>
    <cellStyle name="Normal 4 3 3 2 5 4" xfId="37289" xr:uid="{787DD8FA-100F-4411-8DD3-952A01DC6549}"/>
    <cellStyle name="Normal 4 3 3 2 5 5" xfId="28841" xr:uid="{AEEB27E8-2067-4925-A40F-777DE97AC873}"/>
    <cellStyle name="Normal 4 3 3 2 5 6" xfId="20394" xr:uid="{E2170FDF-995A-435D-A345-8E124C8D6A5F}"/>
    <cellStyle name="Normal 4 3 3 2 5 7" xfId="11097" xr:uid="{353D9678-A9AD-40AB-92F6-13A0F3D07177}"/>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44064" xr:uid="{A646EF41-BBD2-4C5B-B237-45FCB86A8774}"/>
    <cellStyle name="Normal 4 3 3 2 6 2 2 3" xfId="35617" xr:uid="{5031D496-7EF2-42F1-A647-B3300B6A319C}"/>
    <cellStyle name="Normal 4 3 3 2 6 2 2 4" xfId="27169" xr:uid="{6E6C596B-D5D2-4412-A4A5-46F9ACCBF70F}"/>
    <cellStyle name="Normal 4 3 3 2 6 2 2 5" xfId="17872" xr:uid="{40C0CE3E-32C6-4B93-BF0A-0BC928E7D071}"/>
    <cellStyle name="Normal 4 3 3 2 6 2 3" xfId="39847" xr:uid="{49488FBD-2EF7-44C9-8AFE-F2CCA704CDC1}"/>
    <cellStyle name="Normal 4 3 3 2 6 2 4" xfId="31399" xr:uid="{B97513A3-ED06-4109-96B1-6C81959EC868}"/>
    <cellStyle name="Normal 4 3 3 2 6 2 5" xfId="22952" xr:uid="{DB2E7628-3CAF-4946-A518-E5F0FBDEDE96}"/>
    <cellStyle name="Normal 4 3 3 2 6 2 6" xfId="13655" xr:uid="{42F36694-060E-455A-A425-5AFB0434E0F1}"/>
    <cellStyle name="Normal 4 3 3 2 6 3" xfId="6401" xr:uid="{00000000-0005-0000-0000-000082140000}"/>
    <cellStyle name="Normal 4 3 3 2 6 3 2" xfId="41919" xr:uid="{C115C2E6-C45C-4389-82D4-315CCAA16D57}"/>
    <cellStyle name="Normal 4 3 3 2 6 3 3" xfId="33472" xr:uid="{B70946C4-FE7B-4661-B6CF-3A28CB2EF62D}"/>
    <cellStyle name="Normal 4 3 3 2 6 3 4" xfId="25024" xr:uid="{3DAE0B3E-100E-48C1-9AB5-DD6EFAFD9A9B}"/>
    <cellStyle name="Normal 4 3 3 2 6 3 5" xfId="15727" xr:uid="{36B1D42A-33BB-467E-952C-76C454FF93A3}"/>
    <cellStyle name="Normal 4 3 3 2 6 4" xfId="37702" xr:uid="{D7D6E0B8-82A9-451E-8E66-7877994EEE54}"/>
    <cellStyle name="Normal 4 3 3 2 6 5" xfId="29254" xr:uid="{90081273-7CAB-4327-AC54-70EBB79A22A8}"/>
    <cellStyle name="Normal 4 3 3 2 6 6" xfId="20807" xr:uid="{1CE5C772-2C8D-44A2-A451-C7C7E80AA880}"/>
    <cellStyle name="Normal 4 3 3 2 6 7" xfId="11510" xr:uid="{3A1B3A04-96DB-4D75-9A2B-F72198B18892}"/>
    <cellStyle name="Normal 4 3 3 2 7" xfId="2531" xr:uid="{00000000-0005-0000-0000-000083140000}"/>
    <cellStyle name="Normal 4 3 3 2 7 2" xfId="6814" xr:uid="{00000000-0005-0000-0000-000084140000}"/>
    <cellStyle name="Normal 4 3 3 2 7 2 2" xfId="42332" xr:uid="{B98E6FA8-DD29-4A92-BFFF-212B056A90A5}"/>
    <cellStyle name="Normal 4 3 3 2 7 2 3" xfId="33885" xr:uid="{312A3E3F-593B-4812-8B7E-F6158A388D79}"/>
    <cellStyle name="Normal 4 3 3 2 7 2 4" xfId="25437" xr:uid="{92E1E009-8AAA-4EE9-9129-C6D692346EE7}"/>
    <cellStyle name="Normal 4 3 3 2 7 2 5" xfId="16140" xr:uid="{AC7AD0C8-A03A-4E85-8FF2-0653CD3A6FAA}"/>
    <cellStyle name="Normal 4 3 3 2 7 3" xfId="38115" xr:uid="{82D0C93C-6333-4996-AB2C-B6A1EC229410}"/>
    <cellStyle name="Normal 4 3 3 2 7 4" xfId="29667" xr:uid="{D6063CC8-407E-4A54-84A5-4A23C06A451F}"/>
    <cellStyle name="Normal 4 3 3 2 7 5" xfId="21220" xr:uid="{EF1D401C-5CD4-43AE-94EF-5EBA8A4B92FD}"/>
    <cellStyle name="Normal 4 3 3 2 7 6" xfId="11923" xr:uid="{C56F3CBB-1510-4A87-BCEF-02C05F660ADF}"/>
    <cellStyle name="Normal 4 3 3 2 8" xfId="4749" xr:uid="{00000000-0005-0000-0000-000085140000}"/>
    <cellStyle name="Normal 4 3 3 2 8 2" xfId="40267" xr:uid="{43F06520-E143-468E-96CD-701986E56F48}"/>
    <cellStyle name="Normal 4 3 3 2 8 3" xfId="31820" xr:uid="{BD4CE783-A954-4570-A667-E6567B0E4E8C}"/>
    <cellStyle name="Normal 4 3 3 2 8 4" xfId="23372" xr:uid="{352B24DD-A2FD-4F7B-90B6-C0BDB30F768F}"/>
    <cellStyle name="Normal 4 3 3 2 8 5" xfId="14075" xr:uid="{EBF0954A-1B9D-4D7E-8AC5-B05439B9B5C5}"/>
    <cellStyle name="Normal 4 3 3 2 9" xfId="8924" xr:uid="{F9E914C5-63E8-4CB8-8EA1-7427CE35C4AA}"/>
    <cellStyle name="Normal 4 3 3 2 9 2" xfId="36050" xr:uid="{36B4E7B0-A457-4108-A857-D8E132821F63}"/>
    <cellStyle name="Normal 4 3 3 2 9 3" xfId="18247" xr:uid="{5CA10BB8-9EC5-4405-8FFB-836E90E0F213}"/>
    <cellStyle name="Normal 4 3 3 3" xfId="377" xr:uid="{00000000-0005-0000-0000-000086140000}"/>
    <cellStyle name="Normal 4 3 3 3 10" xfId="19157" xr:uid="{DC9E6550-6B5A-4A1E-A3EE-5FA88F395319}"/>
    <cellStyle name="Normal 4 3 3 3 11" xfId="9860" xr:uid="{70E66C56-CB7A-43E0-8300-92A3C5401F03}"/>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42827" xr:uid="{59B58DBD-FBBF-4734-B37C-223E04226840}"/>
    <cellStyle name="Normal 4 3 3 3 2 2 2 3" xfId="34380" xr:uid="{D228BAFB-6536-4757-82B3-775A69CDA49B}"/>
    <cellStyle name="Normal 4 3 3 3 2 2 2 4" xfId="25932" xr:uid="{AA7E584C-B5A6-4348-91A6-789C0B54D642}"/>
    <cellStyle name="Normal 4 3 3 3 2 2 2 5" xfId="16635" xr:uid="{E2A77480-BDD6-427F-88E0-8EB3478F10EE}"/>
    <cellStyle name="Normal 4 3 3 3 2 2 3" xfId="38610" xr:uid="{78FD8BB6-699E-47F3-B337-659F73DFD696}"/>
    <cellStyle name="Normal 4 3 3 3 2 2 4" xfId="30162" xr:uid="{38B7A48E-6915-4B3E-B191-A280BBB54162}"/>
    <cellStyle name="Normal 4 3 3 3 2 2 5" xfId="21715" xr:uid="{36817ADF-6057-4D5A-B9C6-085D9CD389A1}"/>
    <cellStyle name="Normal 4 3 3 3 2 2 6" xfId="12418" xr:uid="{7607E52D-FEA2-4F03-8BFB-6A8B60DA051A}"/>
    <cellStyle name="Normal 4 3 3 3 2 3" xfId="5164" xr:uid="{00000000-0005-0000-0000-00008A140000}"/>
    <cellStyle name="Normal 4 3 3 3 2 3 2" xfId="40682" xr:uid="{3C47AC36-14B2-4F75-9189-FACC5482431F}"/>
    <cellStyle name="Normal 4 3 3 3 2 3 3" xfId="32235" xr:uid="{F7EB90E3-CD78-4DB4-B06E-8A9C759D5758}"/>
    <cellStyle name="Normal 4 3 3 3 2 3 4" xfId="23787" xr:uid="{125A08C1-2C7E-4C36-8E1B-CDEA44E3EFCE}"/>
    <cellStyle name="Normal 4 3 3 3 2 3 5" xfId="14490" xr:uid="{B62C4B30-EE9C-4F12-B2E3-B876472D5FC6}"/>
    <cellStyle name="Normal 4 3 3 3 2 4" xfId="9453" xr:uid="{18D68920-503C-42C1-A733-EBE17DC6D008}"/>
    <cellStyle name="Normal 4 3 3 3 2 4 2" xfId="36465" xr:uid="{3DA6CEC2-2788-47BD-B776-A32EDB8C8F22}"/>
    <cellStyle name="Normal 4 3 3 3 2 4 3" xfId="18766" xr:uid="{58F2A93A-7E1F-4A51-B23F-C075929CA863}"/>
    <cellStyle name="Normal 4 3 3 3 2 5" xfId="28017" xr:uid="{5009FD01-E6C5-4643-8BE6-2448E620D8E3}"/>
    <cellStyle name="Normal 4 3 3 3 2 6" xfId="19570" xr:uid="{94812757-4017-4D86-8A48-60AB6DB05BA6}"/>
    <cellStyle name="Normal 4 3 3 3 2 7" xfId="10273" xr:uid="{D3864D31-1172-4E15-85D8-C132967BFF8A}"/>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43240" xr:uid="{CBA66FFA-3349-4731-9440-5EBBF971B45B}"/>
    <cellStyle name="Normal 4 3 3 3 3 2 2 3" xfId="34793" xr:uid="{4AB46546-9848-43B0-B6D6-0D53F5560121}"/>
    <cellStyle name="Normal 4 3 3 3 3 2 2 4" xfId="26345" xr:uid="{8AB9575C-35B2-4195-9578-942C54C03DB8}"/>
    <cellStyle name="Normal 4 3 3 3 3 2 2 5" xfId="17048" xr:uid="{279924B8-4637-4C12-8EC9-4B48F9C796F3}"/>
    <cellStyle name="Normal 4 3 3 3 3 2 3" xfId="39023" xr:uid="{E6C11E9F-FD97-4D3F-85E1-6CA1EFB9E520}"/>
    <cellStyle name="Normal 4 3 3 3 3 2 4" xfId="30575" xr:uid="{9513EDAC-FF7D-41C7-84B7-65720A591E86}"/>
    <cellStyle name="Normal 4 3 3 3 3 2 5" xfId="22128" xr:uid="{B7677E6E-E830-4A78-83E8-F00F64C5839D}"/>
    <cellStyle name="Normal 4 3 3 3 3 2 6" xfId="12831" xr:uid="{44FFF5C9-46A4-454D-9E17-564919DA34F8}"/>
    <cellStyle name="Normal 4 3 3 3 3 3" xfId="5577" xr:uid="{00000000-0005-0000-0000-00008E140000}"/>
    <cellStyle name="Normal 4 3 3 3 3 3 2" xfId="41095" xr:uid="{2ACDAA93-3612-4E0B-B989-1A76D0585AE5}"/>
    <cellStyle name="Normal 4 3 3 3 3 3 3" xfId="32648" xr:uid="{E9514D88-51C7-4C76-827E-21F38220E049}"/>
    <cellStyle name="Normal 4 3 3 3 3 3 4" xfId="24200" xr:uid="{036CEDE1-3287-4715-86AB-2F8110E7C890}"/>
    <cellStyle name="Normal 4 3 3 3 3 3 5" xfId="14903" xr:uid="{AA12D2DF-BC02-4D65-AB49-390E80CA5D68}"/>
    <cellStyle name="Normal 4 3 3 3 3 4" xfId="36878" xr:uid="{4007B4DD-D06D-433C-9CA7-C180FA37DEF9}"/>
    <cellStyle name="Normal 4 3 3 3 3 5" xfId="28430" xr:uid="{E4A6F8F8-D9B0-4CD4-8DF0-2EC8DB28E4D8}"/>
    <cellStyle name="Normal 4 3 3 3 3 6" xfId="19983" xr:uid="{BBEE8ED5-A1DB-4938-818E-DC1C7495EC2A}"/>
    <cellStyle name="Normal 4 3 3 3 3 7" xfId="10686" xr:uid="{D438B690-EF38-4EF7-B2BF-DA52E4BC3CD4}"/>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43653" xr:uid="{650780E7-9BB5-4A73-8A38-5911F4C6611D}"/>
    <cellStyle name="Normal 4 3 3 3 4 2 2 3" xfId="35206" xr:uid="{B832E5C7-5B36-4C1C-BD05-3B384914E1A7}"/>
    <cellStyle name="Normal 4 3 3 3 4 2 2 4" xfId="26758" xr:uid="{9EB9DC3E-7B43-4DEE-B7B8-103D7ADAFC33}"/>
    <cellStyle name="Normal 4 3 3 3 4 2 2 5" xfId="17461" xr:uid="{9EBA1667-766A-45A5-8050-90681F358B48}"/>
    <cellStyle name="Normal 4 3 3 3 4 2 3" xfId="39436" xr:uid="{9D315157-CF32-4837-AB7E-0146452CE324}"/>
    <cellStyle name="Normal 4 3 3 3 4 2 4" xfId="30988" xr:uid="{D5AD7EA3-E49F-4B63-B1B1-369EB7C074F3}"/>
    <cellStyle name="Normal 4 3 3 3 4 2 5" xfId="22541" xr:uid="{A3A1B13D-66FA-4A2D-8E30-2232CB487CFD}"/>
    <cellStyle name="Normal 4 3 3 3 4 2 6" xfId="13244" xr:uid="{CAB820C8-1DA4-4878-80DE-5CB223601B33}"/>
    <cellStyle name="Normal 4 3 3 3 4 3" xfId="5990" xr:uid="{00000000-0005-0000-0000-000092140000}"/>
    <cellStyle name="Normal 4 3 3 3 4 3 2" xfId="41508" xr:uid="{D7201BCC-4815-47E4-ACE5-FD15FFCFF26E}"/>
    <cellStyle name="Normal 4 3 3 3 4 3 3" xfId="33061" xr:uid="{832C58BC-4525-47A2-A8F8-05B2815C844E}"/>
    <cellStyle name="Normal 4 3 3 3 4 3 4" xfId="24613" xr:uid="{58761098-8480-4EAD-BB68-3765B8C7CCB0}"/>
    <cellStyle name="Normal 4 3 3 3 4 3 5" xfId="15316" xr:uid="{22268CD5-DF58-41B4-A0EC-847DBCCA58E3}"/>
    <cellStyle name="Normal 4 3 3 3 4 4" xfId="37291" xr:uid="{8C2479DB-8293-47ED-B0C6-3BB7E850A579}"/>
    <cellStyle name="Normal 4 3 3 3 4 5" xfId="28843" xr:uid="{03615177-897A-4363-8A6C-2BD01770A4FD}"/>
    <cellStyle name="Normal 4 3 3 3 4 6" xfId="20396" xr:uid="{196BC4EA-C22D-4210-AC8B-18BEC3DF6A3F}"/>
    <cellStyle name="Normal 4 3 3 3 4 7" xfId="11099" xr:uid="{AB3DD8EB-16B8-425A-9806-BA7FE20891BB}"/>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44066" xr:uid="{2FAC340D-3FBC-4052-B96D-372A9C523F35}"/>
    <cellStyle name="Normal 4 3 3 3 5 2 2 3" xfId="35619" xr:uid="{175C14E0-B570-4758-BFED-1F4E1E181712}"/>
    <cellStyle name="Normal 4 3 3 3 5 2 2 4" xfId="27171" xr:uid="{560B5454-9B99-43B4-9DE9-BA3A2B3FAFA0}"/>
    <cellStyle name="Normal 4 3 3 3 5 2 2 5" xfId="17874" xr:uid="{7525AC10-DF88-4F28-AF66-6142E89C90DE}"/>
    <cellStyle name="Normal 4 3 3 3 5 2 3" xfId="39849" xr:uid="{58EB7041-C72E-4572-931C-7FDC355606F1}"/>
    <cellStyle name="Normal 4 3 3 3 5 2 4" xfId="31401" xr:uid="{655D7E6C-5357-4D19-90DA-ED4CF45E50A2}"/>
    <cellStyle name="Normal 4 3 3 3 5 2 5" xfId="22954" xr:uid="{4320B7DC-C3F9-401B-A71D-717314A8F718}"/>
    <cellStyle name="Normal 4 3 3 3 5 2 6" xfId="13657" xr:uid="{FB492286-5F5A-431D-AC47-8FCFDFF90F97}"/>
    <cellStyle name="Normal 4 3 3 3 5 3" xfId="6403" xr:uid="{00000000-0005-0000-0000-000096140000}"/>
    <cellStyle name="Normal 4 3 3 3 5 3 2" xfId="41921" xr:uid="{9CD15590-3A9A-408C-A291-221BE80FA3B6}"/>
    <cellStyle name="Normal 4 3 3 3 5 3 3" xfId="33474" xr:uid="{9B8629FE-6FF3-47DB-89F9-7B5FE39EB6FD}"/>
    <cellStyle name="Normal 4 3 3 3 5 3 4" xfId="25026" xr:uid="{C1474BD2-E577-42E6-8227-476860DD312F}"/>
    <cellStyle name="Normal 4 3 3 3 5 3 5" xfId="15729" xr:uid="{CB4B9760-11F6-413F-9E9C-33E7E7645D19}"/>
    <cellStyle name="Normal 4 3 3 3 5 4" xfId="37704" xr:uid="{964D18DC-0C3F-412A-AC6F-EE736349F856}"/>
    <cellStyle name="Normal 4 3 3 3 5 5" xfId="29256" xr:uid="{3995FE24-6FF8-4597-A526-135F5AD62F5B}"/>
    <cellStyle name="Normal 4 3 3 3 5 6" xfId="20809" xr:uid="{2E46AA77-BAB1-4783-8592-FD4DCAB55943}"/>
    <cellStyle name="Normal 4 3 3 3 5 7" xfId="11512" xr:uid="{1AB1F17C-BF47-46DD-8FE2-608ABFB59C7D}"/>
    <cellStyle name="Normal 4 3 3 3 6" xfId="2533" xr:uid="{00000000-0005-0000-0000-000097140000}"/>
    <cellStyle name="Normal 4 3 3 3 6 2" xfId="6816" xr:uid="{00000000-0005-0000-0000-000098140000}"/>
    <cellStyle name="Normal 4 3 3 3 6 2 2" xfId="42334" xr:uid="{655F8F25-1D56-43A3-B8C2-4C1361BDF9AF}"/>
    <cellStyle name="Normal 4 3 3 3 6 2 3" xfId="33887" xr:uid="{8A2A5FBB-5B69-4DE8-BB8F-9E5739634B71}"/>
    <cellStyle name="Normal 4 3 3 3 6 2 4" xfId="25439" xr:uid="{E356BDEC-349D-474A-996C-968E6AB7C22D}"/>
    <cellStyle name="Normal 4 3 3 3 6 2 5" xfId="16142" xr:uid="{BE391010-F980-4A26-AC98-402A16FAB274}"/>
    <cellStyle name="Normal 4 3 3 3 6 3" xfId="38117" xr:uid="{ED75B68E-6BB6-4551-A142-5370A7E58DFC}"/>
    <cellStyle name="Normal 4 3 3 3 6 4" xfId="29669" xr:uid="{B09B50AB-B6D1-4DA2-B30D-4FAA206D3DAA}"/>
    <cellStyle name="Normal 4 3 3 3 6 5" xfId="21222" xr:uid="{F9F7022D-C30C-42B7-B7A3-4DE28310D143}"/>
    <cellStyle name="Normal 4 3 3 3 6 6" xfId="11925" xr:uid="{D888F7EA-22F0-4367-BA9C-38A311DF89C5}"/>
    <cellStyle name="Normal 4 3 3 3 7" xfId="4751" xr:uid="{00000000-0005-0000-0000-000099140000}"/>
    <cellStyle name="Normal 4 3 3 3 7 2" xfId="40269" xr:uid="{48CA2548-CA22-4975-9DF0-DC536CE7384F}"/>
    <cellStyle name="Normal 4 3 3 3 7 3" xfId="31822" xr:uid="{5670A3E7-7A37-490D-ACF5-56272FA4F34E}"/>
    <cellStyle name="Normal 4 3 3 3 7 4" xfId="23374" xr:uid="{CEAA1893-350F-4C32-AE6C-97EA8C265C99}"/>
    <cellStyle name="Normal 4 3 3 3 7 5" xfId="14077" xr:uid="{335B7125-5B66-4428-B537-B0B78307BAAD}"/>
    <cellStyle name="Normal 4 3 3 3 8" xfId="9028" xr:uid="{A0BD85BE-0D8B-455E-B326-708B8FF8A8C8}"/>
    <cellStyle name="Normal 4 3 3 3 8 2" xfId="36052" xr:uid="{F4075385-F044-4E92-9C16-2441A52AEAAA}"/>
    <cellStyle name="Normal 4 3 3 3 8 3" xfId="18351" xr:uid="{6FF82496-7289-4B02-B0E8-CD1082E57F12}"/>
    <cellStyle name="Normal 4 3 3 3 9" xfId="27604" xr:uid="{268B812B-1D04-4547-8D2D-209D60DE40B4}"/>
    <cellStyle name="Normal 4 3 3 4" xfId="849" xr:uid="{00000000-0005-0000-0000-00009A140000}"/>
    <cellStyle name="Normal 4 3 3 4 2" xfId="3084" xr:uid="{00000000-0005-0000-0000-00009B140000}"/>
    <cellStyle name="Normal 4 3 3 4 2 2" xfId="7306" xr:uid="{00000000-0005-0000-0000-00009C140000}"/>
    <cellStyle name="Normal 4 3 3 4 2 2 2" xfId="42824" xr:uid="{34C41020-F7C7-4E80-B015-F95FAEB9FE51}"/>
    <cellStyle name="Normal 4 3 3 4 2 2 3" xfId="34377" xr:uid="{42926CAC-E71C-4E1D-8C33-948AB5A164CC}"/>
    <cellStyle name="Normal 4 3 3 4 2 2 4" xfId="25929" xr:uid="{29A79073-603C-49AA-9EFD-68D29B39CB2B}"/>
    <cellStyle name="Normal 4 3 3 4 2 2 5" xfId="16632" xr:uid="{F7609FA5-83F2-4069-AE02-DC7EF4F5B6DF}"/>
    <cellStyle name="Normal 4 3 3 4 2 3" xfId="38607" xr:uid="{C4430F2C-466F-4CA6-A7BD-8CC5D00E3A07}"/>
    <cellStyle name="Normal 4 3 3 4 2 4" xfId="30159" xr:uid="{A61E2FF8-1FD3-444D-B3E5-E718CBFF61FB}"/>
    <cellStyle name="Normal 4 3 3 4 2 5" xfId="21712" xr:uid="{0AEF237B-A3BD-4C35-9E58-9795C96017A2}"/>
    <cellStyle name="Normal 4 3 3 4 2 6" xfId="12415" xr:uid="{7903D54C-9396-49AE-9F4C-BDEDAC318796}"/>
    <cellStyle name="Normal 4 3 3 4 3" xfId="5161" xr:uid="{00000000-0005-0000-0000-00009D140000}"/>
    <cellStyle name="Normal 4 3 3 4 3 2" xfId="40679" xr:uid="{63C56A45-F410-4517-A84E-494A63422CEE}"/>
    <cellStyle name="Normal 4 3 3 4 3 3" xfId="32232" xr:uid="{54B7BE60-F649-4E26-80F8-FAB5D6714351}"/>
    <cellStyle name="Normal 4 3 3 4 3 4" xfId="23784" xr:uid="{CF382A07-7C1D-4973-986D-D0804388F5DD}"/>
    <cellStyle name="Normal 4 3 3 4 3 5" xfId="14487" xr:uid="{E38C6C39-C1D4-4BE9-8DF4-DF81AAEECD67}"/>
    <cellStyle name="Normal 4 3 3 4 4" xfId="9246" xr:uid="{E1107DA9-8F13-4216-80A2-CEA1D2EF57FC}"/>
    <cellStyle name="Normal 4 3 3 4 4 2" xfId="36462" xr:uid="{8991237F-CD60-4FF4-810E-FC9A7B0AEE39}"/>
    <cellStyle name="Normal 4 3 3 4 4 3" xfId="18559" xr:uid="{5F51BA05-BDDD-4087-9EB5-0429AC6FA211}"/>
    <cellStyle name="Normal 4 3 3 4 5" xfId="28014" xr:uid="{E72C6E3E-EEE1-430E-AF31-CAFA9E7A8466}"/>
    <cellStyle name="Normal 4 3 3 4 6" xfId="19567" xr:uid="{53763353-5F19-4C02-8892-3472E2D484D1}"/>
    <cellStyle name="Normal 4 3 3 4 7" xfId="10270" xr:uid="{E11241A9-02F0-43F0-9B04-567E45D83812}"/>
    <cellStyle name="Normal 4 3 3 5" xfId="1267" xr:uid="{00000000-0005-0000-0000-00009E140000}"/>
    <cellStyle name="Normal 4 3 3 5 2" xfId="3497" xr:uid="{00000000-0005-0000-0000-00009F140000}"/>
    <cellStyle name="Normal 4 3 3 5 2 2" xfId="7719" xr:uid="{00000000-0005-0000-0000-0000A0140000}"/>
    <cellStyle name="Normal 4 3 3 5 2 2 2" xfId="43237" xr:uid="{4799492D-7B48-451E-A2BF-1DB387F7B34C}"/>
    <cellStyle name="Normal 4 3 3 5 2 2 3" xfId="34790" xr:uid="{492E0617-22D0-44E9-87D6-B70461F460ED}"/>
    <cellStyle name="Normal 4 3 3 5 2 2 4" xfId="26342" xr:uid="{FE43FF20-04D8-4D1B-8F86-798B41240894}"/>
    <cellStyle name="Normal 4 3 3 5 2 2 5" xfId="17045" xr:uid="{F6329043-37D0-448A-A6DF-AC41DB39F3DF}"/>
    <cellStyle name="Normal 4 3 3 5 2 3" xfId="39020" xr:uid="{FE592F30-4B46-40A8-B1ED-AE43073B9B5A}"/>
    <cellStyle name="Normal 4 3 3 5 2 4" xfId="30572" xr:uid="{520D2654-A348-4F8F-AB6C-F9DDFCCC56C4}"/>
    <cellStyle name="Normal 4 3 3 5 2 5" xfId="22125" xr:uid="{81580DF8-8A47-4D41-B59B-04F4A0C0B64F}"/>
    <cellStyle name="Normal 4 3 3 5 2 6" xfId="12828" xr:uid="{522134C5-78BA-4121-B0DF-B1AC14AF0D5C}"/>
    <cellStyle name="Normal 4 3 3 5 3" xfId="5574" xr:uid="{00000000-0005-0000-0000-0000A1140000}"/>
    <cellStyle name="Normal 4 3 3 5 3 2" xfId="41092" xr:uid="{58AEA2B7-1BB2-4B32-9F39-A25F7B1940CE}"/>
    <cellStyle name="Normal 4 3 3 5 3 3" xfId="32645" xr:uid="{DE5973BE-13A8-4C32-A880-D5E7EEF4A881}"/>
    <cellStyle name="Normal 4 3 3 5 3 4" xfId="24197" xr:uid="{D8AA22F3-2998-4623-A5BB-3431E93FF032}"/>
    <cellStyle name="Normal 4 3 3 5 3 5" xfId="14900" xr:uid="{2732B4B8-0B1F-443B-B607-3FFAAA0D251E}"/>
    <cellStyle name="Normal 4 3 3 5 4" xfId="36875" xr:uid="{28BC588F-F6C0-499F-BB6F-AA40E93A429A}"/>
    <cellStyle name="Normal 4 3 3 5 5" xfId="28427" xr:uid="{6B1A13B9-5A3A-41D4-8B44-45FF8017B608}"/>
    <cellStyle name="Normal 4 3 3 5 6" xfId="19980" xr:uid="{49F2D340-BDC9-4F63-9D6E-E71D2E68E126}"/>
    <cellStyle name="Normal 4 3 3 5 7" xfId="10683" xr:uid="{E7F0174A-9606-46D0-9472-E68A2323B042}"/>
    <cellStyle name="Normal 4 3 3 6" xfId="1680" xr:uid="{00000000-0005-0000-0000-0000A2140000}"/>
    <cellStyle name="Normal 4 3 3 6 2" xfId="3910" xr:uid="{00000000-0005-0000-0000-0000A3140000}"/>
    <cellStyle name="Normal 4 3 3 6 2 2" xfId="8132" xr:uid="{00000000-0005-0000-0000-0000A4140000}"/>
    <cellStyle name="Normal 4 3 3 6 2 2 2" xfId="43650" xr:uid="{1E05135C-78E3-47EF-A1F8-CC9C5CAB556E}"/>
    <cellStyle name="Normal 4 3 3 6 2 2 3" xfId="35203" xr:uid="{37777CDE-A95C-403A-B788-90664F069551}"/>
    <cellStyle name="Normal 4 3 3 6 2 2 4" xfId="26755" xr:uid="{31CDFA64-10F8-4730-B07E-E98484E4258F}"/>
    <cellStyle name="Normal 4 3 3 6 2 2 5" xfId="17458" xr:uid="{247B1B4F-0264-4F65-9081-8722AE485456}"/>
    <cellStyle name="Normal 4 3 3 6 2 3" xfId="39433" xr:uid="{D0A61C0C-8D3E-478F-8EC2-4E3FE4FDEED6}"/>
    <cellStyle name="Normal 4 3 3 6 2 4" xfId="30985" xr:uid="{DAAA5947-3354-4838-B909-6FAD5AB77697}"/>
    <cellStyle name="Normal 4 3 3 6 2 5" xfId="22538" xr:uid="{4F049DF0-71F6-47AF-93A9-979C52DE7599}"/>
    <cellStyle name="Normal 4 3 3 6 2 6" xfId="13241" xr:uid="{24919C67-9A68-47CA-B6AF-48D6FD09AF3F}"/>
    <cellStyle name="Normal 4 3 3 6 3" xfId="5987" xr:uid="{00000000-0005-0000-0000-0000A5140000}"/>
    <cellStyle name="Normal 4 3 3 6 3 2" xfId="41505" xr:uid="{BE3DBD28-DB88-4A71-B780-74D4E890190F}"/>
    <cellStyle name="Normal 4 3 3 6 3 3" xfId="33058" xr:uid="{72FE81FC-0E29-419F-9F76-7FF10386C922}"/>
    <cellStyle name="Normal 4 3 3 6 3 4" xfId="24610" xr:uid="{B7CB368A-595D-4335-AD48-19EED7FDCCA6}"/>
    <cellStyle name="Normal 4 3 3 6 3 5" xfId="15313" xr:uid="{9A685FBF-132A-44A4-8C9A-F44F1CD0E85D}"/>
    <cellStyle name="Normal 4 3 3 6 4" xfId="37288" xr:uid="{852C9749-5F1A-4652-8C8D-6345280D43D8}"/>
    <cellStyle name="Normal 4 3 3 6 5" xfId="28840" xr:uid="{9C87C287-D40A-4F1C-93DF-450DF05F447E}"/>
    <cellStyle name="Normal 4 3 3 6 6" xfId="20393" xr:uid="{A6638501-C7F4-46C9-BC30-1E9FD0D1584F}"/>
    <cellStyle name="Normal 4 3 3 6 7" xfId="11096" xr:uid="{DA66BF9F-36C8-48C6-91E2-6C43DAAC83CA}"/>
    <cellStyle name="Normal 4 3 3 7" xfId="2094" xr:uid="{00000000-0005-0000-0000-0000A6140000}"/>
    <cellStyle name="Normal 4 3 3 7 2" xfId="4323" xr:uid="{00000000-0005-0000-0000-0000A7140000}"/>
    <cellStyle name="Normal 4 3 3 7 2 2" xfId="8545" xr:uid="{00000000-0005-0000-0000-0000A8140000}"/>
    <cellStyle name="Normal 4 3 3 7 2 2 2" xfId="44063" xr:uid="{46769B2F-1BEA-4A77-9EB4-355646D9C154}"/>
    <cellStyle name="Normal 4 3 3 7 2 2 3" xfId="35616" xr:uid="{9E879802-9784-4876-A021-836FDB1CA93B}"/>
    <cellStyle name="Normal 4 3 3 7 2 2 4" xfId="27168" xr:uid="{EE45BC36-678C-4E8A-B1F7-42782AF7938B}"/>
    <cellStyle name="Normal 4 3 3 7 2 2 5" xfId="17871" xr:uid="{67F9EB56-B321-47FC-9A36-C75D0A1779EB}"/>
    <cellStyle name="Normal 4 3 3 7 2 3" xfId="39846" xr:uid="{A9D264B8-D1B1-485A-820A-5380D5CB9F8F}"/>
    <cellStyle name="Normal 4 3 3 7 2 4" xfId="31398" xr:uid="{78F9D7AF-7E00-43A2-B741-F4776C2C37E5}"/>
    <cellStyle name="Normal 4 3 3 7 2 5" xfId="22951" xr:uid="{FDCF4E5A-791D-4D80-B8EC-35C16A5E5246}"/>
    <cellStyle name="Normal 4 3 3 7 2 6" xfId="13654" xr:uid="{BF5C36CB-0080-40AB-91D8-9E92A53C9F28}"/>
    <cellStyle name="Normal 4 3 3 7 3" xfId="6400" xr:uid="{00000000-0005-0000-0000-0000A9140000}"/>
    <cellStyle name="Normal 4 3 3 7 3 2" xfId="41918" xr:uid="{4D1E7C72-C1AC-4B1D-B0B3-037EBC033EFA}"/>
    <cellStyle name="Normal 4 3 3 7 3 3" xfId="33471" xr:uid="{708EBBB7-9E82-49B9-998C-E35C6025B07A}"/>
    <cellStyle name="Normal 4 3 3 7 3 4" xfId="25023" xr:uid="{1EA57F8F-63D4-49D4-9D1D-EE140C516942}"/>
    <cellStyle name="Normal 4 3 3 7 3 5" xfId="15726" xr:uid="{64F9523C-C7DF-4FCB-8987-28A3E5948A34}"/>
    <cellStyle name="Normal 4 3 3 7 4" xfId="37701" xr:uid="{E49AA325-7D5F-4F06-8CFB-26D8743C1CA5}"/>
    <cellStyle name="Normal 4 3 3 7 5" xfId="29253" xr:uid="{9B730EDC-0F21-4384-8341-C2B5240A8910}"/>
    <cellStyle name="Normal 4 3 3 7 6" xfId="20806" xr:uid="{7B909474-FD12-4138-B1BF-D6E86246220C}"/>
    <cellStyle name="Normal 4 3 3 7 7" xfId="11509" xr:uid="{8BEF8B31-94F9-4049-B69F-40BEAB0BE486}"/>
    <cellStyle name="Normal 4 3 3 8" xfId="2530" xr:uid="{00000000-0005-0000-0000-0000AA140000}"/>
    <cellStyle name="Normal 4 3 3 8 2" xfId="6813" xr:uid="{00000000-0005-0000-0000-0000AB140000}"/>
    <cellStyle name="Normal 4 3 3 8 2 2" xfId="42331" xr:uid="{0F9C376A-A641-4573-A2BF-6A2A4FDD2175}"/>
    <cellStyle name="Normal 4 3 3 8 2 3" xfId="33884" xr:uid="{932173E9-4F93-4DBE-B836-5877221253D6}"/>
    <cellStyle name="Normal 4 3 3 8 2 4" xfId="25436" xr:uid="{DCA17416-3A13-4783-B8AD-B4A774F291EC}"/>
    <cellStyle name="Normal 4 3 3 8 2 5" xfId="16139" xr:uid="{64CEB333-BE47-4120-98C7-CF11428E19DD}"/>
    <cellStyle name="Normal 4 3 3 8 3" xfId="38114" xr:uid="{A87ED378-5940-426A-9AA0-EDA2CA8EBCE1}"/>
    <cellStyle name="Normal 4 3 3 8 4" xfId="29666" xr:uid="{FAA6E782-45ED-4E32-952D-24713E3081A2}"/>
    <cellStyle name="Normal 4 3 3 8 5" xfId="21219" xr:uid="{33275FC2-E9FA-4F3E-B138-FFC1A58BF837}"/>
    <cellStyle name="Normal 4 3 3 8 6" xfId="11922" xr:uid="{601959EF-0B4F-4DD8-A7EE-4742758009F6}"/>
    <cellStyle name="Normal 4 3 3 9" xfId="4748" xr:uid="{00000000-0005-0000-0000-0000AC140000}"/>
    <cellStyle name="Normal 4 3 3 9 2" xfId="40266" xr:uid="{CA877FED-77CF-433C-9A32-CCBD62464655}"/>
    <cellStyle name="Normal 4 3 3 9 3" xfId="31819" xr:uid="{504285BB-4E64-483C-A36E-9527AC836BF9}"/>
    <cellStyle name="Normal 4 3 3 9 4" xfId="23371" xr:uid="{510E5260-8644-436A-87CD-AC7FCF01B5B4}"/>
    <cellStyle name="Normal 4 3 3 9 5" xfId="14074" xr:uid="{EFB1277D-4D3C-493F-8E40-A2BC31BC7990}"/>
    <cellStyle name="Normal 4 3 4" xfId="842" xr:uid="{00000000-0005-0000-0000-0000AD140000}"/>
    <cellStyle name="Normal 4 3 4 2" xfId="3079" xr:uid="{00000000-0005-0000-0000-0000AE140000}"/>
    <cellStyle name="Normal 4 3 4 2 2" xfId="7301" xr:uid="{00000000-0005-0000-0000-0000AF140000}"/>
    <cellStyle name="Normal 4 3 4 2 2 2" xfId="42819" xr:uid="{33923DC1-2470-4AC8-99ED-3FFB8AD0B4C8}"/>
    <cellStyle name="Normal 4 3 4 2 2 3" xfId="34372" xr:uid="{EEB89F84-8537-47DC-A825-A53B6ADE20DD}"/>
    <cellStyle name="Normal 4 3 4 2 2 4" xfId="25924" xr:uid="{0F5657D6-1E08-40B4-8353-847A959D49B7}"/>
    <cellStyle name="Normal 4 3 4 2 2 5" xfId="16627" xr:uid="{178544CD-C163-4C82-8BEB-FFCBEEA0A870}"/>
    <cellStyle name="Normal 4 3 4 2 3" xfId="38602" xr:uid="{BCED4A9D-0822-486C-AE1A-8CA0E5FC4AC5}"/>
    <cellStyle name="Normal 4 3 4 2 4" xfId="30154" xr:uid="{94BB9AC7-EAE5-45BD-8A83-4F8C096E161C}"/>
    <cellStyle name="Normal 4 3 4 2 5" xfId="21707" xr:uid="{D6309086-00F1-4D3D-A91A-D1F58F0C2694}"/>
    <cellStyle name="Normal 4 3 4 2 6" xfId="12410" xr:uid="{C41DB970-4747-4406-8DF3-799A35356F40}"/>
    <cellStyle name="Normal 4 3 4 3" xfId="5156" xr:uid="{00000000-0005-0000-0000-0000B0140000}"/>
    <cellStyle name="Normal 4 3 4 3 2" xfId="40674" xr:uid="{366064E5-6CC2-47E7-A145-4768C642FC72}"/>
    <cellStyle name="Normal 4 3 4 3 3" xfId="32227" xr:uid="{3C727BDA-7308-434B-9A00-4CF3FEF3C944}"/>
    <cellStyle name="Normal 4 3 4 3 4" xfId="23779" xr:uid="{50235084-36FE-4888-8DF3-974FDB5501B4}"/>
    <cellStyle name="Normal 4 3 4 3 5" xfId="14482" xr:uid="{777A409F-F3F0-4C39-89F9-AA2A15D7AEF7}"/>
    <cellStyle name="Normal 4 3 4 4" xfId="9608" xr:uid="{C2EFFD2B-01D5-4B2B-BD85-BB4245D6A35E}"/>
    <cellStyle name="Normal 4 3 4 4 2" xfId="36457" xr:uid="{75097981-05FD-482B-B436-46C26789A852}"/>
    <cellStyle name="Normal 4 3 4 4 3" xfId="18907" xr:uid="{5C278909-A916-426F-A93E-0F3D44F5779F}"/>
    <cellStyle name="Normal 4 3 4 5" xfId="28009" xr:uid="{92CA7D01-7D4A-4FAE-9E52-6FD78DD7D153}"/>
    <cellStyle name="Normal 4 3 4 6" xfId="19562" xr:uid="{24B97A28-30E7-4D00-BE31-C79F85413B31}"/>
    <cellStyle name="Normal 4 3 4 7" xfId="10265" xr:uid="{8E780B69-07E1-4E8A-8A62-95BD2597D7AD}"/>
    <cellStyle name="Normal 4 3 5" xfId="1262" xr:uid="{00000000-0005-0000-0000-0000B1140000}"/>
    <cellStyle name="Normal 4 3 5 2" xfId="3492" xr:uid="{00000000-0005-0000-0000-0000B2140000}"/>
    <cellStyle name="Normal 4 3 5 2 2" xfId="7714" xr:uid="{00000000-0005-0000-0000-0000B3140000}"/>
    <cellStyle name="Normal 4 3 5 2 2 2" xfId="43232" xr:uid="{98B6DCBB-44EB-4163-A137-3699780F5DDA}"/>
    <cellStyle name="Normal 4 3 5 2 2 3" xfId="34785" xr:uid="{3930673D-C949-4BD7-967B-55378621B936}"/>
    <cellStyle name="Normal 4 3 5 2 2 4" xfId="26337" xr:uid="{41AE532F-E4E4-4087-B32B-796CD117F7C6}"/>
    <cellStyle name="Normal 4 3 5 2 2 5" xfId="17040" xr:uid="{79130E59-2BF7-42F1-833B-D48DA350C694}"/>
    <cellStyle name="Normal 4 3 5 2 3" xfId="39015" xr:uid="{E062E22A-65DC-4259-A897-0E9F61EEEF19}"/>
    <cellStyle name="Normal 4 3 5 2 4" xfId="30567" xr:uid="{7D50FFCA-CCB2-44EA-829F-1E6717412508}"/>
    <cellStyle name="Normal 4 3 5 2 5" xfId="22120" xr:uid="{53E48DC7-8B5C-4E45-A347-9764F096157A}"/>
    <cellStyle name="Normal 4 3 5 2 6" xfId="12823" xr:uid="{EFF417E8-DD9B-4766-A4D1-ACB1584F33D8}"/>
    <cellStyle name="Normal 4 3 5 3" xfId="5569" xr:uid="{00000000-0005-0000-0000-0000B4140000}"/>
    <cellStyle name="Normal 4 3 5 3 2" xfId="41087" xr:uid="{B74B3205-6395-49C6-8D28-2AE70A1071DC}"/>
    <cellStyle name="Normal 4 3 5 3 3" xfId="32640" xr:uid="{57EFEB33-A24B-4601-8134-2F9DCC25E761}"/>
    <cellStyle name="Normal 4 3 5 3 4" xfId="24192" xr:uid="{DE488AAA-1504-42CB-941B-50F173A7AD23}"/>
    <cellStyle name="Normal 4 3 5 3 5" xfId="14895" xr:uid="{008F9666-FEE8-41EA-BCF6-A3E3D3331834}"/>
    <cellStyle name="Normal 4 3 5 4" xfId="36870" xr:uid="{D89E029E-2A58-4A6C-BC08-5E9057B988B3}"/>
    <cellStyle name="Normal 4 3 5 5" xfId="28422" xr:uid="{AF79B838-79AA-41BE-9F4C-A4B040E1FF1D}"/>
    <cellStyle name="Normal 4 3 5 6" xfId="19975" xr:uid="{9A6017BA-C392-44DF-8B58-F984FDD56E78}"/>
    <cellStyle name="Normal 4 3 5 7" xfId="10678" xr:uid="{FDD3B2EB-98F2-4E39-A5F2-BBB316FE7413}"/>
    <cellStyle name="Normal 4 3 6" xfId="1675" xr:uid="{00000000-0005-0000-0000-0000B5140000}"/>
    <cellStyle name="Normal 4 3 6 2" xfId="3905" xr:uid="{00000000-0005-0000-0000-0000B6140000}"/>
    <cellStyle name="Normal 4 3 6 2 2" xfId="8127" xr:uid="{00000000-0005-0000-0000-0000B7140000}"/>
    <cellStyle name="Normal 4 3 6 2 2 2" xfId="43645" xr:uid="{6468B2C6-4544-4D14-9D91-74515C431E0E}"/>
    <cellStyle name="Normal 4 3 6 2 2 3" xfId="35198" xr:uid="{9AF0A0E3-9C19-45F2-92C1-1BD6E2C94E62}"/>
    <cellStyle name="Normal 4 3 6 2 2 4" xfId="26750" xr:uid="{B9728E66-A3EF-4A63-8925-EF88C69D8BD8}"/>
    <cellStyle name="Normal 4 3 6 2 2 5" xfId="17453" xr:uid="{CED51444-6ACF-4636-99FB-E646CAB21CB2}"/>
    <cellStyle name="Normal 4 3 6 2 3" xfId="39428" xr:uid="{CAC29DF0-910F-41FE-AEA2-C57DC542FA09}"/>
    <cellStyle name="Normal 4 3 6 2 4" xfId="30980" xr:uid="{80DF2B5B-FC17-4C65-ABD0-4D653FDDD513}"/>
    <cellStyle name="Normal 4 3 6 2 5" xfId="22533" xr:uid="{DA3AFB9C-759C-4960-AB70-8C84922241F4}"/>
    <cellStyle name="Normal 4 3 6 2 6" xfId="13236" xr:uid="{8DA10394-FC4C-4BDF-BF11-E1DFA8D10AF7}"/>
    <cellStyle name="Normal 4 3 6 3" xfId="5982" xr:uid="{00000000-0005-0000-0000-0000B8140000}"/>
    <cellStyle name="Normal 4 3 6 3 2" xfId="41500" xr:uid="{F3347FBF-0D22-49C5-A59D-2F8836C6E918}"/>
    <cellStyle name="Normal 4 3 6 3 3" xfId="33053" xr:uid="{9F96E4A9-CE2E-40C7-AC8C-1D1777D0D220}"/>
    <cellStyle name="Normal 4 3 6 3 4" xfId="24605" xr:uid="{2B2A6B37-4187-4CFC-9199-8DA215E4F056}"/>
    <cellStyle name="Normal 4 3 6 3 5" xfId="15308" xr:uid="{2B6412EA-3D3E-4EAC-9E64-3C3F5EED8DEB}"/>
    <cellStyle name="Normal 4 3 6 4" xfId="37283" xr:uid="{0CC2169F-6D56-4487-93FC-97066C8EE99F}"/>
    <cellStyle name="Normal 4 3 6 5" xfId="28835" xr:uid="{9BB33EAD-84CB-4E8A-96DC-57D3A4007485}"/>
    <cellStyle name="Normal 4 3 6 6" xfId="20388" xr:uid="{EEC149B5-8B64-4413-B6DE-8DA52A746C69}"/>
    <cellStyle name="Normal 4 3 6 7" xfId="11091" xr:uid="{EA73D6E2-27E6-413A-BCCF-684911620F4C}"/>
    <cellStyle name="Normal 4 3 7" xfId="2089" xr:uid="{00000000-0005-0000-0000-0000B9140000}"/>
    <cellStyle name="Normal 4 3 7 2" xfId="4318" xr:uid="{00000000-0005-0000-0000-0000BA140000}"/>
    <cellStyle name="Normal 4 3 7 2 2" xfId="8540" xr:uid="{00000000-0005-0000-0000-0000BB140000}"/>
    <cellStyle name="Normal 4 3 7 2 2 2" xfId="44058" xr:uid="{56916601-4E91-4407-BD8F-DE4ACE3C1C7F}"/>
    <cellStyle name="Normal 4 3 7 2 2 3" xfId="35611" xr:uid="{5C5A4474-3E87-47CF-9F3E-B844D9C43742}"/>
    <cellStyle name="Normal 4 3 7 2 2 4" xfId="27163" xr:uid="{E475B950-8883-48D5-B04F-EB1A0CB98F87}"/>
    <cellStyle name="Normal 4 3 7 2 2 5" xfId="17866" xr:uid="{BCF2A6AF-5B4E-48BC-B2DE-26CB1309EE0E}"/>
    <cellStyle name="Normal 4 3 7 2 3" xfId="39841" xr:uid="{23BDBB1A-7495-4F86-A90A-4CC09530FB24}"/>
    <cellStyle name="Normal 4 3 7 2 4" xfId="31393" xr:uid="{6CE1D920-D0F1-4A55-AD68-1ABB211351DB}"/>
    <cellStyle name="Normal 4 3 7 2 5" xfId="22946" xr:uid="{CAD9CEA1-7449-4166-945A-9E30D405A24D}"/>
    <cellStyle name="Normal 4 3 7 2 6" xfId="13649" xr:uid="{1725CE9B-A698-4122-9F11-E622FC8E5B75}"/>
    <cellStyle name="Normal 4 3 7 3" xfId="6395" xr:uid="{00000000-0005-0000-0000-0000BC140000}"/>
    <cellStyle name="Normal 4 3 7 3 2" xfId="41913" xr:uid="{987467FE-C9F9-4771-9E90-45ABF762D66E}"/>
    <cellStyle name="Normal 4 3 7 3 3" xfId="33466" xr:uid="{6408B116-9500-411D-A5A7-28C4BABC9E5E}"/>
    <cellStyle name="Normal 4 3 7 3 4" xfId="25018" xr:uid="{0329A8FF-6E91-4ABF-B6D3-DF957DB90863}"/>
    <cellStyle name="Normal 4 3 7 3 5" xfId="15721" xr:uid="{0432B9EC-2C9A-40D8-8D94-DF5A94EBB2A5}"/>
    <cellStyle name="Normal 4 3 7 4" xfId="37696" xr:uid="{7CAC3B3D-EBC6-49A6-B3C1-1402B062EE70}"/>
    <cellStyle name="Normal 4 3 7 5" xfId="29248" xr:uid="{B95234DB-5F79-4EAA-B65C-8F25E613754F}"/>
    <cellStyle name="Normal 4 3 7 6" xfId="20801" xr:uid="{1B1B61FD-F408-4D90-B249-E7A658378DE9}"/>
    <cellStyle name="Normal 4 3 7 7" xfId="11504" xr:uid="{93753287-F7B1-400F-B334-A9C8983EA73D}"/>
    <cellStyle name="Normal 4 3 8" xfId="2525" xr:uid="{00000000-0005-0000-0000-0000BD140000}"/>
    <cellStyle name="Normal 4 3 8 2" xfId="6808" xr:uid="{00000000-0005-0000-0000-0000BE140000}"/>
    <cellStyle name="Normal 4 3 8 2 2" xfId="42326" xr:uid="{3EA8A0FE-0052-4EE7-89E2-F99016C05A69}"/>
    <cellStyle name="Normal 4 3 8 2 3" xfId="33879" xr:uid="{BE3CCA1D-C8E7-4ED4-AD67-E8CCD3B8D3C4}"/>
    <cellStyle name="Normal 4 3 8 2 4" xfId="25431" xr:uid="{76E871E8-F574-419E-836E-D44D69691EE4}"/>
    <cellStyle name="Normal 4 3 8 2 5" xfId="16134" xr:uid="{23499335-ADDB-4B2F-BA9E-ADAC1DB4C649}"/>
    <cellStyle name="Normal 4 3 8 3" xfId="38109" xr:uid="{3B2122A7-16C7-4EE1-884D-E8FA7CE2A370}"/>
    <cellStyle name="Normal 4 3 8 4" xfId="29661" xr:uid="{19623B64-B9FA-4EC2-9A0B-F9EE4E1C7A64}"/>
    <cellStyle name="Normal 4 3 8 5" xfId="21214" xr:uid="{31D209FC-A8FB-413C-BD5C-0773D336CFD0}"/>
    <cellStyle name="Normal 4 3 8 6" xfId="11917" xr:uid="{B172C045-6C35-424B-BBA9-B465827507FE}"/>
    <cellStyle name="Normal 4 3 9" xfId="4743" xr:uid="{00000000-0005-0000-0000-0000BF140000}"/>
    <cellStyle name="Normal 4 3 9 2" xfId="40261" xr:uid="{6487420E-5ED8-43E3-A325-9284D50420D4}"/>
    <cellStyle name="Normal 4 3 9 3" xfId="31814" xr:uid="{32F60E6C-F6C0-45BD-AE96-CDC86DB53974}"/>
    <cellStyle name="Normal 4 3 9 4" xfId="23366" xr:uid="{72096505-0273-4E11-A575-A0565CDDD143}"/>
    <cellStyle name="Normal 4 3 9 5" xfId="14069" xr:uid="{C43D1F2F-3DBC-4770-BF53-D2391A412253}"/>
    <cellStyle name="Normal 4 4" xfId="378" xr:uid="{00000000-0005-0000-0000-0000C0140000}"/>
    <cellStyle name="Normal 4 4 10" xfId="2534" xr:uid="{00000000-0005-0000-0000-0000C1140000}"/>
    <cellStyle name="Normal 4 4 10 2" xfId="6817" xr:uid="{00000000-0005-0000-0000-0000C2140000}"/>
    <cellStyle name="Normal 4 4 10 2 2" xfId="42335" xr:uid="{43A148E8-8290-47C9-BAA6-E34012C757DD}"/>
    <cellStyle name="Normal 4 4 10 2 3" xfId="33888" xr:uid="{F2DFBB52-442F-4E0E-B3E4-868DB2908AA2}"/>
    <cellStyle name="Normal 4 4 10 2 4" xfId="25440" xr:uid="{1E1090EF-E14E-4BD4-9B2C-CCA3F22B950F}"/>
    <cellStyle name="Normal 4 4 10 2 5" xfId="16143" xr:uid="{5750F666-B8CB-4AAA-9E1A-4002D2EBCF8A}"/>
    <cellStyle name="Normal 4 4 10 3" xfId="38118" xr:uid="{CAE17D39-F39D-46F1-9EB6-07FCCB985BCE}"/>
    <cellStyle name="Normal 4 4 10 4" xfId="29670" xr:uid="{3636AE08-794D-4D92-A8E1-501E6F310331}"/>
    <cellStyle name="Normal 4 4 10 5" xfId="21223" xr:uid="{6068B3B6-76AB-4ACE-9E47-E9AEE0A49B6B}"/>
    <cellStyle name="Normal 4 4 10 6" xfId="11926" xr:uid="{42E5A2F4-1DFD-47AD-B0A0-C3262AB2877C}"/>
    <cellStyle name="Normal 4 4 11" xfId="4752" xr:uid="{00000000-0005-0000-0000-0000C3140000}"/>
    <cellStyle name="Normal 4 4 11 2" xfId="40270" xr:uid="{593099B8-A8B3-42A2-A49B-422953F945F6}"/>
    <cellStyle name="Normal 4 4 11 3" xfId="31823" xr:uid="{82B3111D-14D7-443B-8A8E-97B6F7CDB08B}"/>
    <cellStyle name="Normal 4 4 11 4" xfId="23375" xr:uid="{6D6333B7-5ED7-4B62-A61D-C60C66E7CC89}"/>
    <cellStyle name="Normal 4 4 11 5" xfId="14078" xr:uid="{5C77BA56-4F67-4877-989B-A0035BE1156D}"/>
    <cellStyle name="Normal 4 4 12" xfId="8749" xr:uid="{A91736B6-873D-4B1A-8B29-18DC69E5E65F}"/>
    <cellStyle name="Normal 4 4 12 2" xfId="36053" xr:uid="{50AE3EEE-3D3A-4189-A869-FD47C1885505}"/>
    <cellStyle name="Normal 4 4 12 3" xfId="18072" xr:uid="{3647335A-277D-4FE1-9C61-E14D4053F689}"/>
    <cellStyle name="Normal 4 4 13" xfId="27605" xr:uid="{80D440D0-2B46-4414-B9DC-0448D311ED7D}"/>
    <cellStyle name="Normal 4 4 14" xfId="19158" xr:uid="{9D968622-EE18-426A-B77A-409B4B20B226}"/>
    <cellStyle name="Normal 4 4 15" xfId="9861" xr:uid="{E0F1DFD4-1B2C-49E0-ADC5-5F4093C5E941}"/>
    <cellStyle name="Normal 4 4 2" xfId="379" xr:uid="{00000000-0005-0000-0000-0000C4140000}"/>
    <cellStyle name="Normal 4 4 2 10" xfId="4753" xr:uid="{00000000-0005-0000-0000-0000C5140000}"/>
    <cellStyle name="Normal 4 4 2 10 2" xfId="40271" xr:uid="{4A6D5B05-0D85-444C-94D6-E937C920374C}"/>
    <cellStyle name="Normal 4 4 2 10 3" xfId="31824" xr:uid="{68B68E56-84B8-43DC-8AE2-CD3AC419ED6F}"/>
    <cellStyle name="Normal 4 4 2 10 4" xfId="23376" xr:uid="{2ECC854F-D962-461A-8A49-007713A276BD}"/>
    <cellStyle name="Normal 4 4 2 10 5" xfId="14079" xr:uid="{D5970976-E122-4A83-BE7D-F718F740C874}"/>
    <cellStyle name="Normal 4 4 2 11" xfId="8781" xr:uid="{12B8F0AD-1EB8-4D0A-9CAD-21DEEFEDAE41}"/>
    <cellStyle name="Normal 4 4 2 11 2" xfId="36054" xr:uid="{79FF054D-0873-4B51-A1DC-283C124CFC42}"/>
    <cellStyle name="Normal 4 4 2 11 3" xfId="18104" xr:uid="{36ACDA55-A11B-468C-8925-2D77A46391BE}"/>
    <cellStyle name="Normal 4 4 2 12" xfId="27606" xr:uid="{E93A422E-0312-4ED7-B4B5-F39F3392ECF2}"/>
    <cellStyle name="Normal 4 4 2 13" xfId="19159" xr:uid="{FBDE0DEF-FD62-45D5-A6AC-5A63DF451BEA}"/>
    <cellStyle name="Normal 4 4 2 14" xfId="9862" xr:uid="{026FA170-3507-4718-B802-81D2D548012D}"/>
    <cellStyle name="Normal 4 4 2 2" xfId="380" xr:uid="{00000000-0005-0000-0000-0000C6140000}"/>
    <cellStyle name="Normal 4 4 2 2 10" xfId="8824" xr:uid="{FF218EA8-00A9-476B-AA88-FBBBBED2D06B}"/>
    <cellStyle name="Normal 4 4 2 2 10 2" xfId="36055" xr:uid="{0CF66C3B-328E-41AA-8B02-D4F6F9578CDF}"/>
    <cellStyle name="Normal 4 4 2 2 10 3" xfId="18147" xr:uid="{49D0F2C5-D92C-49C5-971A-0E3AC26A3312}"/>
    <cellStyle name="Normal 4 4 2 2 11" xfId="27607" xr:uid="{FA769EEA-48FE-4151-B8EF-6766373003AA}"/>
    <cellStyle name="Normal 4 4 2 2 12" xfId="19160" xr:uid="{D89EC181-B9C6-496D-BCE2-2DEFA1B5444E}"/>
    <cellStyle name="Normal 4 4 2 2 13" xfId="9863" xr:uid="{B5A95619-46FE-470E-849E-E3DC00E16FDB}"/>
    <cellStyle name="Normal 4 4 2 2 2" xfId="381" xr:uid="{00000000-0005-0000-0000-0000C7140000}"/>
    <cellStyle name="Normal 4 4 2 2 2 10" xfId="27608" xr:uid="{5D21C945-6561-4C80-9B12-F58402A17FD0}"/>
    <cellStyle name="Normal 4 4 2 2 2 11" xfId="19161" xr:uid="{8371C2B8-0833-44BA-BC01-AA1E8C2CEE78}"/>
    <cellStyle name="Normal 4 4 2 2 2 12" xfId="9864" xr:uid="{424A69EA-63D2-49D6-AD15-82B5E73409D1}"/>
    <cellStyle name="Normal 4 4 2 2 2 2" xfId="382" xr:uid="{00000000-0005-0000-0000-0000C8140000}"/>
    <cellStyle name="Normal 4 4 2 2 2 2 10" xfId="19162" xr:uid="{7F1E84EC-6CF8-439F-B8FC-AEC01251D1A6}"/>
    <cellStyle name="Normal 4 4 2 2 2 2 11" xfId="9865" xr:uid="{7C85342C-244B-4FE2-8F5A-E82B74C28E33}"/>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42832" xr:uid="{9D3F3229-44C4-4F9A-8046-FD8A23F50928}"/>
    <cellStyle name="Normal 4 4 2 2 2 2 2 2 2 3" xfId="34385" xr:uid="{66E08A21-7790-40AC-9586-D7B445F8BAC3}"/>
    <cellStyle name="Normal 4 4 2 2 2 2 2 2 2 4" xfId="25937" xr:uid="{7D5672B0-E355-4583-BFE3-B3515C593D62}"/>
    <cellStyle name="Normal 4 4 2 2 2 2 2 2 2 5" xfId="16640" xr:uid="{E9C2B150-440A-40FF-B5CE-650494D65B81}"/>
    <cellStyle name="Normal 4 4 2 2 2 2 2 2 3" xfId="38615" xr:uid="{AB917DB3-C2E0-414B-B9B0-9F176782AEE9}"/>
    <cellStyle name="Normal 4 4 2 2 2 2 2 2 4" xfId="30167" xr:uid="{FE829058-997E-4902-A64D-32CDAF0BC755}"/>
    <cellStyle name="Normal 4 4 2 2 2 2 2 2 5" xfId="21720" xr:uid="{DD3923ED-1E31-4FE1-BF96-CCFC99FD4A7C}"/>
    <cellStyle name="Normal 4 4 2 2 2 2 2 2 6" xfId="12423" xr:uid="{37A2E5D5-19F7-4620-89C6-8895347FE4BA}"/>
    <cellStyle name="Normal 4 4 2 2 2 2 2 3" xfId="5169" xr:uid="{00000000-0005-0000-0000-0000CC140000}"/>
    <cellStyle name="Normal 4 4 2 2 2 2 2 3 2" xfId="40687" xr:uid="{1DE2AAB1-CFF9-476F-A273-4CEFEFA21807}"/>
    <cellStyle name="Normal 4 4 2 2 2 2 2 3 3" xfId="32240" xr:uid="{AFCB985B-4E31-4B2B-A799-F123AE975F52}"/>
    <cellStyle name="Normal 4 4 2 2 2 2 2 3 4" xfId="23792" xr:uid="{0F932EDF-5F12-41C1-A214-AD06CA43D990}"/>
    <cellStyle name="Normal 4 4 2 2 2 2 2 3 5" xfId="14495" xr:uid="{BF67EF35-4206-4363-8746-F18C83EE40F3}"/>
    <cellStyle name="Normal 4 4 2 2 2 2 2 4" xfId="9559" xr:uid="{6E5E886C-D83F-47E6-AD2B-552CC2A98FD0}"/>
    <cellStyle name="Normal 4 4 2 2 2 2 2 4 2" xfId="36470" xr:uid="{24CB584C-D5CF-4F6F-BFB7-91360BBBFCC8}"/>
    <cellStyle name="Normal 4 4 2 2 2 2 2 4 3" xfId="18872" xr:uid="{2C744E22-7054-4025-8127-157170CA1495}"/>
    <cellStyle name="Normal 4 4 2 2 2 2 2 5" xfId="28022" xr:uid="{3CD08950-F0C9-4C0C-9FEF-533044CC09B0}"/>
    <cellStyle name="Normal 4 4 2 2 2 2 2 6" xfId="19575" xr:uid="{38CAFFBD-3727-4D74-ABD1-E9E98CC579B7}"/>
    <cellStyle name="Normal 4 4 2 2 2 2 2 7" xfId="10278" xr:uid="{F81B153C-5056-44DC-A5AD-40A54FC01333}"/>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43245" xr:uid="{98CD538D-7BB3-4CFD-B760-03E43D8DA875}"/>
    <cellStyle name="Normal 4 4 2 2 2 2 3 2 2 3" xfId="34798" xr:uid="{6494ABEF-B131-4A7B-A31E-D8238191BE8A}"/>
    <cellStyle name="Normal 4 4 2 2 2 2 3 2 2 4" xfId="26350" xr:uid="{120C9FE2-85D5-4AD7-A944-37BE64AC086C}"/>
    <cellStyle name="Normal 4 4 2 2 2 2 3 2 2 5" xfId="17053" xr:uid="{84C8FF22-665E-42C7-8829-D74058C7A245}"/>
    <cellStyle name="Normal 4 4 2 2 2 2 3 2 3" xfId="39028" xr:uid="{52C5E1BE-568F-4F2F-A960-B052E54684CE}"/>
    <cellStyle name="Normal 4 4 2 2 2 2 3 2 4" xfId="30580" xr:uid="{4F1E6BD3-58A3-4DAC-9289-5E646E5E5F9F}"/>
    <cellStyle name="Normal 4 4 2 2 2 2 3 2 5" xfId="22133" xr:uid="{2AB78546-2731-46C1-99D4-FB4FCC2F83E6}"/>
    <cellStyle name="Normal 4 4 2 2 2 2 3 2 6" xfId="12836" xr:uid="{218E81AB-BD3D-4B67-B92F-D3784F7B0243}"/>
    <cellStyle name="Normal 4 4 2 2 2 2 3 3" xfId="5582" xr:uid="{00000000-0005-0000-0000-0000D0140000}"/>
    <cellStyle name="Normal 4 4 2 2 2 2 3 3 2" xfId="41100" xr:uid="{7AA52497-3108-4F59-A859-3996A1E98F0F}"/>
    <cellStyle name="Normal 4 4 2 2 2 2 3 3 3" xfId="32653" xr:uid="{1F0CC8CD-A302-4D28-86B8-372BC8C0EA5A}"/>
    <cellStyle name="Normal 4 4 2 2 2 2 3 3 4" xfId="24205" xr:uid="{4AE4B2F4-FCB4-4DDD-8D61-CF6D0BBCCF0A}"/>
    <cellStyle name="Normal 4 4 2 2 2 2 3 3 5" xfId="14908" xr:uid="{93590F88-024A-4866-9347-D3D9A8FDE546}"/>
    <cellStyle name="Normal 4 4 2 2 2 2 3 4" xfId="36883" xr:uid="{AE865A2E-0975-42D9-B13D-FA8017038F07}"/>
    <cellStyle name="Normal 4 4 2 2 2 2 3 5" xfId="28435" xr:uid="{FBF1AA74-83A5-4361-9CB3-4B8525274BB2}"/>
    <cellStyle name="Normal 4 4 2 2 2 2 3 6" xfId="19988" xr:uid="{E83F28D2-8077-4EC5-858A-C60EC678BFC5}"/>
    <cellStyle name="Normal 4 4 2 2 2 2 3 7" xfId="10691" xr:uid="{B76E0837-5FB9-4D90-B8DD-3EF4AF102243}"/>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43658" xr:uid="{B9A59821-F554-4CF1-BFEB-D8078E07FC45}"/>
    <cellStyle name="Normal 4 4 2 2 2 2 4 2 2 3" xfId="35211" xr:uid="{55A43B36-D8C4-4CB3-966E-40FB2BD49DF2}"/>
    <cellStyle name="Normal 4 4 2 2 2 2 4 2 2 4" xfId="26763" xr:uid="{92A19986-726D-4D00-89AF-51AD86D8ED77}"/>
    <cellStyle name="Normal 4 4 2 2 2 2 4 2 2 5" xfId="17466" xr:uid="{55A43AA6-480C-4348-BCBA-0AE7CC4E1155}"/>
    <cellStyle name="Normal 4 4 2 2 2 2 4 2 3" xfId="39441" xr:uid="{3FBFC896-CF6D-451A-BF4C-86C93A924034}"/>
    <cellStyle name="Normal 4 4 2 2 2 2 4 2 4" xfId="30993" xr:uid="{EA21F1C5-FF9D-4F79-A996-CBE34E31A3A1}"/>
    <cellStyle name="Normal 4 4 2 2 2 2 4 2 5" xfId="22546" xr:uid="{F358EE7A-9891-4829-8DAC-6BCE68CE6C93}"/>
    <cellStyle name="Normal 4 4 2 2 2 2 4 2 6" xfId="13249" xr:uid="{8E0C129E-169A-4374-ADC4-59FEFDEBBBBF}"/>
    <cellStyle name="Normal 4 4 2 2 2 2 4 3" xfId="5995" xr:uid="{00000000-0005-0000-0000-0000D4140000}"/>
    <cellStyle name="Normal 4 4 2 2 2 2 4 3 2" xfId="41513" xr:uid="{BE995856-E80D-4E8D-B722-F24D57F77F70}"/>
    <cellStyle name="Normal 4 4 2 2 2 2 4 3 3" xfId="33066" xr:uid="{EE659049-0163-4A0F-BE8A-29D162EF9C3B}"/>
    <cellStyle name="Normal 4 4 2 2 2 2 4 3 4" xfId="24618" xr:uid="{908AE8B8-6C37-42E9-9229-7D39C38494E1}"/>
    <cellStyle name="Normal 4 4 2 2 2 2 4 3 5" xfId="15321" xr:uid="{6C93C209-EB86-49FC-A9E5-E97DBE7F0787}"/>
    <cellStyle name="Normal 4 4 2 2 2 2 4 4" xfId="37296" xr:uid="{2212AAFC-7798-46AF-883C-73664F55B3CD}"/>
    <cellStyle name="Normal 4 4 2 2 2 2 4 5" xfId="28848" xr:uid="{8410C430-497F-49E9-86AC-56317B23DC10}"/>
    <cellStyle name="Normal 4 4 2 2 2 2 4 6" xfId="20401" xr:uid="{AF6AC334-400E-4D4B-810E-9C0E65193F16}"/>
    <cellStyle name="Normal 4 4 2 2 2 2 4 7" xfId="11104" xr:uid="{C1E0FBF0-2DEC-43F7-95D2-32D768FBD063}"/>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44071" xr:uid="{880271F0-FD6A-44D1-9D54-AFCC010DC848}"/>
    <cellStyle name="Normal 4 4 2 2 2 2 5 2 2 3" xfId="35624" xr:uid="{F99C67DE-6D53-4F00-A9C8-5CA5C96E92EA}"/>
    <cellStyle name="Normal 4 4 2 2 2 2 5 2 2 4" xfId="27176" xr:uid="{3CC6A83F-302A-461F-9745-C023AB9211E8}"/>
    <cellStyle name="Normal 4 4 2 2 2 2 5 2 2 5" xfId="17879" xr:uid="{D5AC4A88-8CC6-4D0A-AAB6-C5EE0893E7F6}"/>
    <cellStyle name="Normal 4 4 2 2 2 2 5 2 3" xfId="39854" xr:uid="{DDB05DF4-8A6F-4377-862E-FC5B9BE547F8}"/>
    <cellStyle name="Normal 4 4 2 2 2 2 5 2 4" xfId="31406" xr:uid="{2412E458-2546-450D-A926-A580CEB17CAF}"/>
    <cellStyle name="Normal 4 4 2 2 2 2 5 2 5" xfId="22959" xr:uid="{3B6D3DAF-82B6-455B-91A8-3C3643BDAC6F}"/>
    <cellStyle name="Normal 4 4 2 2 2 2 5 2 6" xfId="13662" xr:uid="{3DF884FE-77FA-4744-A7FD-192F79A1451C}"/>
    <cellStyle name="Normal 4 4 2 2 2 2 5 3" xfId="6408" xr:uid="{00000000-0005-0000-0000-0000D8140000}"/>
    <cellStyle name="Normal 4 4 2 2 2 2 5 3 2" xfId="41926" xr:uid="{65E6997C-D982-45B7-B50F-C89A4DA67476}"/>
    <cellStyle name="Normal 4 4 2 2 2 2 5 3 3" xfId="33479" xr:uid="{5FFBF3FA-D4EB-40F7-AA78-A3683117E673}"/>
    <cellStyle name="Normal 4 4 2 2 2 2 5 3 4" xfId="25031" xr:uid="{13BEEA9D-9ADC-413A-976A-8C001E4E9486}"/>
    <cellStyle name="Normal 4 4 2 2 2 2 5 3 5" xfId="15734" xr:uid="{228A787E-8515-489D-93C6-32A94104F22A}"/>
    <cellStyle name="Normal 4 4 2 2 2 2 5 4" xfId="37709" xr:uid="{1C64936A-BFD2-456A-8617-6DFE5C7FFD72}"/>
    <cellStyle name="Normal 4 4 2 2 2 2 5 5" xfId="29261" xr:uid="{F31C82C0-61FD-4E75-8DA8-15F572BF1F33}"/>
    <cellStyle name="Normal 4 4 2 2 2 2 5 6" xfId="20814" xr:uid="{879C28CC-BF61-4DA4-ADB4-CC350CC1166E}"/>
    <cellStyle name="Normal 4 4 2 2 2 2 5 7" xfId="11517" xr:uid="{D1F73DA4-DE3E-44CD-8A34-8A8CE15A21CE}"/>
    <cellStyle name="Normal 4 4 2 2 2 2 6" xfId="2538" xr:uid="{00000000-0005-0000-0000-0000D9140000}"/>
    <cellStyle name="Normal 4 4 2 2 2 2 6 2" xfId="6821" xr:uid="{00000000-0005-0000-0000-0000DA140000}"/>
    <cellStyle name="Normal 4 4 2 2 2 2 6 2 2" xfId="42339" xr:uid="{DD9D2EC1-61F0-4C05-8455-FA31E4845D0C}"/>
    <cellStyle name="Normal 4 4 2 2 2 2 6 2 3" xfId="33892" xr:uid="{137233DF-F6B6-48CF-AE55-4C36B6D432EB}"/>
    <cellStyle name="Normal 4 4 2 2 2 2 6 2 4" xfId="25444" xr:uid="{891B2B45-CAE4-46AC-9CFF-A71B84F852F6}"/>
    <cellStyle name="Normal 4 4 2 2 2 2 6 2 5" xfId="16147" xr:uid="{E1BA99DA-1B4D-4D7F-BF18-BCD814505A00}"/>
    <cellStyle name="Normal 4 4 2 2 2 2 6 3" xfId="38122" xr:uid="{6F1BAA4F-2688-41E5-B38D-0315A065D699}"/>
    <cellStyle name="Normal 4 4 2 2 2 2 6 4" xfId="29674" xr:uid="{02FC7B7C-A5A8-40A6-873E-8AAB7C869B2C}"/>
    <cellStyle name="Normal 4 4 2 2 2 2 6 5" xfId="21227" xr:uid="{17BC60BB-17A1-49A8-BC56-7C0E3CC9408F}"/>
    <cellStyle name="Normal 4 4 2 2 2 2 6 6" xfId="11930" xr:uid="{FF0A7DCB-9588-45CB-A3FC-2259B0E89104}"/>
    <cellStyle name="Normal 4 4 2 2 2 2 7" xfId="4756" xr:uid="{00000000-0005-0000-0000-0000DB140000}"/>
    <cellStyle name="Normal 4 4 2 2 2 2 7 2" xfId="40274" xr:uid="{556DD0AD-E413-468D-A966-478510CD2510}"/>
    <cellStyle name="Normal 4 4 2 2 2 2 7 3" xfId="31827" xr:uid="{70DD7C8A-1D36-4CE1-8525-FEE6ABB98590}"/>
    <cellStyle name="Normal 4 4 2 2 2 2 7 4" xfId="23379" xr:uid="{80BD2415-E48E-455E-A54D-01F55DA48C33}"/>
    <cellStyle name="Normal 4 4 2 2 2 2 7 5" xfId="14082" xr:uid="{4F1F8287-837D-403B-89A4-54D84A6FDE52}"/>
    <cellStyle name="Normal 4 4 2 2 2 2 8" xfId="9134" xr:uid="{B37D4C66-6754-4A5E-BFF7-77694E4355C2}"/>
    <cellStyle name="Normal 4 4 2 2 2 2 8 2" xfId="36057" xr:uid="{A4FB4D37-2168-4925-9A2E-BB9E093DE9B5}"/>
    <cellStyle name="Normal 4 4 2 2 2 2 8 3" xfId="18457" xr:uid="{DAE8351E-1AD6-4191-A7AF-904A3BADCABB}"/>
    <cellStyle name="Normal 4 4 2 2 2 2 9" xfId="27609" xr:uid="{B0256AC9-DFE2-4B3D-B3F4-AB5108BAB634}"/>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42831" xr:uid="{F5CC8BB9-B552-43BC-A691-B4F8359AD17E}"/>
    <cellStyle name="Normal 4 4 2 2 2 3 2 2 3" xfId="34384" xr:uid="{0CD92F7C-9C5E-4D6B-B6FE-7E2D32521533}"/>
    <cellStyle name="Normal 4 4 2 2 2 3 2 2 4" xfId="25936" xr:uid="{2FB7813F-5EE9-4E23-A657-7C895D282565}"/>
    <cellStyle name="Normal 4 4 2 2 2 3 2 2 5" xfId="16639" xr:uid="{0FF15296-0A18-45F7-A89A-A18E0753E12D}"/>
    <cellStyle name="Normal 4 4 2 2 2 3 2 3" xfId="38614" xr:uid="{84A00DCF-E08D-4072-83DB-A25E311C1E3D}"/>
    <cellStyle name="Normal 4 4 2 2 2 3 2 4" xfId="30166" xr:uid="{8F979089-D385-455C-B436-2DF4D4F8798C}"/>
    <cellStyle name="Normal 4 4 2 2 2 3 2 5" xfId="21719" xr:uid="{6D714F27-062C-41A4-9BA0-DD9C77295F7B}"/>
    <cellStyle name="Normal 4 4 2 2 2 3 2 6" xfId="12422" xr:uid="{EB33D5BC-EBC7-444E-8948-5467E8E0B70E}"/>
    <cellStyle name="Normal 4 4 2 2 2 3 3" xfId="5168" xr:uid="{00000000-0005-0000-0000-0000DF140000}"/>
    <cellStyle name="Normal 4 4 2 2 2 3 3 2" xfId="40686" xr:uid="{BB79F6F1-63A0-4406-BE5A-4A3945FB6562}"/>
    <cellStyle name="Normal 4 4 2 2 2 3 3 3" xfId="32239" xr:uid="{3621AF6D-F0DC-4E75-8552-F7038CA0D861}"/>
    <cellStyle name="Normal 4 4 2 2 2 3 3 4" xfId="23791" xr:uid="{B5725080-C61C-41D5-A5EF-A09B62FD26AD}"/>
    <cellStyle name="Normal 4 4 2 2 2 3 3 5" xfId="14494" xr:uid="{468293B8-A993-44A9-9544-58F54244C344}"/>
    <cellStyle name="Normal 4 4 2 2 2 3 4" xfId="9352" xr:uid="{76F31DA2-44D0-447F-BA9C-6271BA6AAE96}"/>
    <cellStyle name="Normal 4 4 2 2 2 3 4 2" xfId="36469" xr:uid="{5BD34956-8EB5-47A8-BBEB-CE1AC4F03D71}"/>
    <cellStyle name="Normal 4 4 2 2 2 3 4 3" xfId="18665" xr:uid="{2F01EE11-5208-4A4E-B630-A6D4686DF0A3}"/>
    <cellStyle name="Normal 4 4 2 2 2 3 5" xfId="28021" xr:uid="{08FF58B1-D111-4474-B0BE-C4457F71F52D}"/>
    <cellStyle name="Normal 4 4 2 2 2 3 6" xfId="19574" xr:uid="{BF8093BC-D831-4C20-8835-78A6EB366877}"/>
    <cellStyle name="Normal 4 4 2 2 2 3 7" xfId="10277" xr:uid="{57F292C2-B421-4ABA-A5EB-66573ACC3AB9}"/>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43244" xr:uid="{78A4313B-A727-491C-94D5-A73E3D3466C6}"/>
    <cellStyle name="Normal 4 4 2 2 2 4 2 2 3" xfId="34797" xr:uid="{F31832CC-945F-4EE6-83B7-168F0910CF78}"/>
    <cellStyle name="Normal 4 4 2 2 2 4 2 2 4" xfId="26349" xr:uid="{21EC3F87-9639-43D7-BF08-4E06D672D46B}"/>
    <cellStyle name="Normal 4 4 2 2 2 4 2 2 5" xfId="17052" xr:uid="{650A62B7-C171-4540-B8FC-ACB04C5B1125}"/>
    <cellStyle name="Normal 4 4 2 2 2 4 2 3" xfId="39027" xr:uid="{9EC7877B-F176-4B1F-AC40-0837F2ABFAD5}"/>
    <cellStyle name="Normal 4 4 2 2 2 4 2 4" xfId="30579" xr:uid="{5411D1EE-110B-4D0B-A4E7-A1D625FBDAE5}"/>
    <cellStyle name="Normal 4 4 2 2 2 4 2 5" xfId="22132" xr:uid="{77D9CC37-0624-49AB-805B-A44D16E121B6}"/>
    <cellStyle name="Normal 4 4 2 2 2 4 2 6" xfId="12835" xr:uid="{9B5C1237-6E0F-4D74-9028-91F1C11822DB}"/>
    <cellStyle name="Normal 4 4 2 2 2 4 3" xfId="5581" xr:uid="{00000000-0005-0000-0000-0000E3140000}"/>
    <cellStyle name="Normal 4 4 2 2 2 4 3 2" xfId="41099" xr:uid="{6DE54198-626D-4286-BDDA-8AC34E675D2D}"/>
    <cellStyle name="Normal 4 4 2 2 2 4 3 3" xfId="32652" xr:uid="{1F020E30-C374-41E4-A691-37B1C4AE0B1D}"/>
    <cellStyle name="Normal 4 4 2 2 2 4 3 4" xfId="24204" xr:uid="{089FA3EB-E917-4B85-A4B6-9611211A5ACF}"/>
    <cellStyle name="Normal 4 4 2 2 2 4 3 5" xfId="14907" xr:uid="{A9B9967D-79EF-48CD-ACF7-E3C92084165A}"/>
    <cellStyle name="Normal 4 4 2 2 2 4 4" xfId="36882" xr:uid="{88A9987C-D112-4BA1-8A56-ADEBAB3F2609}"/>
    <cellStyle name="Normal 4 4 2 2 2 4 5" xfId="28434" xr:uid="{E2672C6F-711E-4F98-8F93-8C47280256E3}"/>
    <cellStyle name="Normal 4 4 2 2 2 4 6" xfId="19987" xr:uid="{6835CBAF-11A3-443E-9DC9-D6FEB38FC41D}"/>
    <cellStyle name="Normal 4 4 2 2 2 4 7" xfId="10690" xr:uid="{13153137-C2BB-4D35-B67A-EB26CD2E5B5B}"/>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43657" xr:uid="{43C2E071-75D7-4AEA-8A4B-A9A287E989A1}"/>
    <cellStyle name="Normal 4 4 2 2 2 5 2 2 3" xfId="35210" xr:uid="{68B724DD-A1FC-47DE-AB24-9CE0E25228DF}"/>
    <cellStyle name="Normal 4 4 2 2 2 5 2 2 4" xfId="26762" xr:uid="{8974773D-518E-4EE7-91B0-DE92C4E1C5F2}"/>
    <cellStyle name="Normal 4 4 2 2 2 5 2 2 5" xfId="17465" xr:uid="{5F70C585-97E6-4EC3-A840-23CF53068C21}"/>
    <cellStyle name="Normal 4 4 2 2 2 5 2 3" xfId="39440" xr:uid="{7518AA2D-A7A3-4424-97C9-50B12460D4E6}"/>
    <cellStyle name="Normal 4 4 2 2 2 5 2 4" xfId="30992" xr:uid="{B0154C49-EF22-45AD-86D7-38B81E958599}"/>
    <cellStyle name="Normal 4 4 2 2 2 5 2 5" xfId="22545" xr:uid="{C9FDE397-E7EC-4461-B5B8-7F08833C6819}"/>
    <cellStyle name="Normal 4 4 2 2 2 5 2 6" xfId="13248" xr:uid="{72CB846E-B1CD-412C-B7D4-48BDDE7A490D}"/>
    <cellStyle name="Normal 4 4 2 2 2 5 3" xfId="5994" xr:uid="{00000000-0005-0000-0000-0000E7140000}"/>
    <cellStyle name="Normal 4 4 2 2 2 5 3 2" xfId="41512" xr:uid="{66E35078-2267-47C0-A566-751E12E40DDC}"/>
    <cellStyle name="Normal 4 4 2 2 2 5 3 3" xfId="33065" xr:uid="{60468876-2D3C-4479-8B3E-F3CF4D089C67}"/>
    <cellStyle name="Normal 4 4 2 2 2 5 3 4" xfId="24617" xr:uid="{EFA5F562-B54B-4876-A8F6-7F4249164B66}"/>
    <cellStyle name="Normal 4 4 2 2 2 5 3 5" xfId="15320" xr:uid="{2E4BA861-47F8-4E6E-88CD-6C0109E1B271}"/>
    <cellStyle name="Normal 4 4 2 2 2 5 4" xfId="37295" xr:uid="{0B3D6810-46D6-4917-9DE0-CA9592A6761D}"/>
    <cellStyle name="Normal 4 4 2 2 2 5 5" xfId="28847" xr:uid="{778FA743-E24E-4151-9BE4-6DC8392FFFC8}"/>
    <cellStyle name="Normal 4 4 2 2 2 5 6" xfId="20400" xr:uid="{F6B531C3-4D58-4D05-93B6-59A40C877327}"/>
    <cellStyle name="Normal 4 4 2 2 2 5 7" xfId="11103" xr:uid="{83FE875C-0CF1-4FB3-A46D-CFB1B009E382}"/>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44070" xr:uid="{3EE9D31B-0C34-476E-9722-98D9AC05B73D}"/>
    <cellStyle name="Normal 4 4 2 2 2 6 2 2 3" xfId="35623" xr:uid="{34039CD6-007D-412A-B6ED-A63B589D6054}"/>
    <cellStyle name="Normal 4 4 2 2 2 6 2 2 4" xfId="27175" xr:uid="{2AFF60A1-9713-4443-8E4A-350C7A58B8BA}"/>
    <cellStyle name="Normal 4 4 2 2 2 6 2 2 5" xfId="17878" xr:uid="{F84FE52A-C86D-41BE-AE76-F300A85ECFC9}"/>
    <cellStyle name="Normal 4 4 2 2 2 6 2 3" xfId="39853" xr:uid="{5D0BE1A0-D0E1-4641-8A45-AB0F27555542}"/>
    <cellStyle name="Normal 4 4 2 2 2 6 2 4" xfId="31405" xr:uid="{DB8FD7F4-9902-4681-8FA0-45EC8E7595E7}"/>
    <cellStyle name="Normal 4 4 2 2 2 6 2 5" xfId="22958" xr:uid="{F3DE01B5-0F44-49E6-9FB8-1258AAAE8C3F}"/>
    <cellStyle name="Normal 4 4 2 2 2 6 2 6" xfId="13661" xr:uid="{D915C878-802E-4AF4-AB5F-D19CF38E6F9F}"/>
    <cellStyle name="Normal 4 4 2 2 2 6 3" xfId="6407" xr:uid="{00000000-0005-0000-0000-0000EB140000}"/>
    <cellStyle name="Normal 4 4 2 2 2 6 3 2" xfId="41925" xr:uid="{49FA880A-FE54-43DF-A294-6789CFFEB0DB}"/>
    <cellStyle name="Normal 4 4 2 2 2 6 3 3" xfId="33478" xr:uid="{09A47E7F-2B6A-40F7-9260-717C7AD48FA9}"/>
    <cellStyle name="Normal 4 4 2 2 2 6 3 4" xfId="25030" xr:uid="{6E1217BD-6A7F-473E-8186-6DAEDF57B2D3}"/>
    <cellStyle name="Normal 4 4 2 2 2 6 3 5" xfId="15733" xr:uid="{5741653C-276F-4301-848C-E42B4FDAF3B5}"/>
    <cellStyle name="Normal 4 4 2 2 2 6 4" xfId="37708" xr:uid="{F81E7610-B264-42DB-8674-D7C01B93E05D}"/>
    <cellStyle name="Normal 4 4 2 2 2 6 5" xfId="29260" xr:uid="{5E2C4129-C4D9-47E3-BBBB-650004A9DB76}"/>
    <cellStyle name="Normal 4 4 2 2 2 6 6" xfId="20813" xr:uid="{B85D5855-6F13-4989-B1BE-5432CDC407FA}"/>
    <cellStyle name="Normal 4 4 2 2 2 6 7" xfId="11516" xr:uid="{A2191D3C-1A7B-4C1F-8B7A-0AC6C61B5468}"/>
    <cellStyle name="Normal 4 4 2 2 2 7" xfId="2537" xr:uid="{00000000-0005-0000-0000-0000EC140000}"/>
    <cellStyle name="Normal 4 4 2 2 2 7 2" xfId="6820" xr:uid="{00000000-0005-0000-0000-0000ED140000}"/>
    <cellStyle name="Normal 4 4 2 2 2 7 2 2" xfId="42338" xr:uid="{4C834B5D-C8E9-46F2-A514-66812C6F6E17}"/>
    <cellStyle name="Normal 4 4 2 2 2 7 2 3" xfId="33891" xr:uid="{383CFBED-3DCC-414A-BE97-4D0349E45FDB}"/>
    <cellStyle name="Normal 4 4 2 2 2 7 2 4" xfId="25443" xr:uid="{66E6C1B0-95B5-4D68-B3C4-685ED58CE6BD}"/>
    <cellStyle name="Normal 4 4 2 2 2 7 2 5" xfId="16146" xr:uid="{21B6F7D2-D439-41C1-B08C-E162BC8C94C3}"/>
    <cellStyle name="Normal 4 4 2 2 2 7 3" xfId="38121" xr:uid="{B80A804A-857E-4D54-9769-E3E7190451D9}"/>
    <cellStyle name="Normal 4 4 2 2 2 7 4" xfId="29673" xr:uid="{32139461-DF4E-4D06-A116-70F2EF74F09B}"/>
    <cellStyle name="Normal 4 4 2 2 2 7 5" xfId="21226" xr:uid="{38DF1496-AEAC-449D-82DB-2264FCCED1BB}"/>
    <cellStyle name="Normal 4 4 2 2 2 7 6" xfId="11929" xr:uid="{E2D7EE7D-BBB8-4A8C-8D29-398CF52FD007}"/>
    <cellStyle name="Normal 4 4 2 2 2 8" xfId="4755" xr:uid="{00000000-0005-0000-0000-0000EE140000}"/>
    <cellStyle name="Normal 4 4 2 2 2 8 2" xfId="40273" xr:uid="{40106907-DBED-441A-8F9D-034BBFEEC7E2}"/>
    <cellStyle name="Normal 4 4 2 2 2 8 3" xfId="31826" xr:uid="{C7199DB7-ED7F-4D03-A3D1-8B5B167A5691}"/>
    <cellStyle name="Normal 4 4 2 2 2 8 4" xfId="23378" xr:uid="{E2A40E13-7B6E-48F2-B597-483CE61AF71F}"/>
    <cellStyle name="Normal 4 4 2 2 2 8 5" xfId="14081" xr:uid="{8A026C56-C5DC-4DA2-B66B-0FBD84AE92E1}"/>
    <cellStyle name="Normal 4 4 2 2 2 9" xfId="8927" xr:uid="{195B9197-F273-4D3B-B7A6-9CBAA360D528}"/>
    <cellStyle name="Normal 4 4 2 2 2 9 2" xfId="36056" xr:uid="{345F1E72-F51F-46CB-A195-0DBAA1E1C12A}"/>
    <cellStyle name="Normal 4 4 2 2 2 9 3" xfId="18250" xr:uid="{F24E52C6-B6FC-4130-A6CE-E9C1A8C4B26B}"/>
    <cellStyle name="Normal 4 4 2 2 3" xfId="383" xr:uid="{00000000-0005-0000-0000-0000EF140000}"/>
    <cellStyle name="Normal 4 4 2 2 3 10" xfId="19163" xr:uid="{7C484238-492D-4003-ADCB-9D9BFEA37563}"/>
    <cellStyle name="Normal 4 4 2 2 3 11" xfId="9866" xr:uid="{CCB62A88-8E45-4812-B61E-74A17B17F3E5}"/>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42833" xr:uid="{62E6D394-8DDE-4906-B30C-36F238F1D289}"/>
    <cellStyle name="Normal 4 4 2 2 3 2 2 2 3" xfId="34386" xr:uid="{D92D1534-D0D9-4809-9CD1-8F48F4DE03B1}"/>
    <cellStyle name="Normal 4 4 2 2 3 2 2 2 4" xfId="25938" xr:uid="{26EED490-8D12-4958-9C6F-1F9BF5476BF5}"/>
    <cellStyle name="Normal 4 4 2 2 3 2 2 2 5" xfId="16641" xr:uid="{526ADF57-8752-4C45-9627-3D9DA383E8E3}"/>
    <cellStyle name="Normal 4 4 2 2 3 2 2 3" xfId="38616" xr:uid="{C6DA115B-D78D-45D7-B46E-D10613BD86F9}"/>
    <cellStyle name="Normal 4 4 2 2 3 2 2 4" xfId="30168" xr:uid="{DCEED03D-D5A5-40AB-91A9-B5BACBD7BE4B}"/>
    <cellStyle name="Normal 4 4 2 2 3 2 2 5" xfId="21721" xr:uid="{90BE9991-E041-44A6-AF3A-0D8800CD1444}"/>
    <cellStyle name="Normal 4 4 2 2 3 2 2 6" xfId="12424" xr:uid="{CE2553FC-0702-4DEE-8C03-4C8AE38ECC98}"/>
    <cellStyle name="Normal 4 4 2 2 3 2 3" xfId="5170" xr:uid="{00000000-0005-0000-0000-0000F3140000}"/>
    <cellStyle name="Normal 4 4 2 2 3 2 3 2" xfId="40688" xr:uid="{08B0064B-9B2A-4111-9EAC-D1CD89B048DD}"/>
    <cellStyle name="Normal 4 4 2 2 3 2 3 3" xfId="32241" xr:uid="{33106D93-8768-4DD2-9B1A-6037BDC14D49}"/>
    <cellStyle name="Normal 4 4 2 2 3 2 3 4" xfId="23793" xr:uid="{D2B3095A-FB1B-44AB-8015-5FD6E1DB5A2D}"/>
    <cellStyle name="Normal 4 4 2 2 3 2 3 5" xfId="14496" xr:uid="{2C84948A-2410-4015-971C-17545B38AA3D}"/>
    <cellStyle name="Normal 4 4 2 2 3 2 4" xfId="9456" xr:uid="{7CB0B972-68D8-4A2C-A3A7-1D2BD109E44A}"/>
    <cellStyle name="Normal 4 4 2 2 3 2 4 2" xfId="36471" xr:uid="{2EFE9B59-4C47-46F2-A019-57E254ACAAD2}"/>
    <cellStyle name="Normal 4 4 2 2 3 2 4 3" xfId="18769" xr:uid="{E21E0F7A-1E89-494F-A74F-DFF189292DFE}"/>
    <cellStyle name="Normal 4 4 2 2 3 2 5" xfId="28023" xr:uid="{5A1DEE9D-EFC9-4CF9-A409-58AFC22FD7E5}"/>
    <cellStyle name="Normal 4 4 2 2 3 2 6" xfId="19576" xr:uid="{4320745E-9DC0-4DF4-9EA5-FC52EFC4838B}"/>
    <cellStyle name="Normal 4 4 2 2 3 2 7" xfId="10279" xr:uid="{D91C2479-F1F3-4DD1-95D8-D9A6FA30FB18}"/>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43246" xr:uid="{81ED2058-F429-4FFA-958A-AF60C2B20D69}"/>
    <cellStyle name="Normal 4 4 2 2 3 3 2 2 3" xfId="34799" xr:uid="{2B7AD8AE-4EC6-4E59-9C6D-878A495D0C69}"/>
    <cellStyle name="Normal 4 4 2 2 3 3 2 2 4" xfId="26351" xr:uid="{3B18BD6C-0A0A-4D75-85F6-77AB4A415FAD}"/>
    <cellStyle name="Normal 4 4 2 2 3 3 2 2 5" xfId="17054" xr:uid="{AFA01434-63C0-484A-8564-E8B5D441A758}"/>
    <cellStyle name="Normal 4 4 2 2 3 3 2 3" xfId="39029" xr:uid="{26D48144-078F-46A2-A5DB-84C3A627DA3F}"/>
    <cellStyle name="Normal 4 4 2 2 3 3 2 4" xfId="30581" xr:uid="{DBA45E69-BC1B-42EB-AF0E-0C75859DEBCC}"/>
    <cellStyle name="Normal 4 4 2 2 3 3 2 5" xfId="22134" xr:uid="{9F6D44D7-29B0-4E8E-A37B-2B074E2E087D}"/>
    <cellStyle name="Normal 4 4 2 2 3 3 2 6" xfId="12837" xr:uid="{0D18DB6F-3EB8-4CB7-8BC8-392EE48580C7}"/>
    <cellStyle name="Normal 4 4 2 2 3 3 3" xfId="5583" xr:uid="{00000000-0005-0000-0000-0000F7140000}"/>
    <cellStyle name="Normal 4 4 2 2 3 3 3 2" xfId="41101" xr:uid="{24D27178-707A-4874-930E-A4FA5EABF678}"/>
    <cellStyle name="Normal 4 4 2 2 3 3 3 3" xfId="32654" xr:uid="{639BEAE1-7CAE-438E-B171-3B9E4EC713C0}"/>
    <cellStyle name="Normal 4 4 2 2 3 3 3 4" xfId="24206" xr:uid="{BD94140B-807B-4C21-9003-5F51D9209783}"/>
    <cellStyle name="Normal 4 4 2 2 3 3 3 5" xfId="14909" xr:uid="{D980C533-B5C1-4B5B-AAEB-C10C4D1103FC}"/>
    <cellStyle name="Normal 4 4 2 2 3 3 4" xfId="36884" xr:uid="{9D2D2ADC-E099-4A39-B53D-2FEEF3FCD2BB}"/>
    <cellStyle name="Normal 4 4 2 2 3 3 5" xfId="28436" xr:uid="{0737226E-5A56-4941-BC93-29FD770B3001}"/>
    <cellStyle name="Normal 4 4 2 2 3 3 6" xfId="19989" xr:uid="{B9FB3026-E21F-41D8-B548-4B0611098A3D}"/>
    <cellStyle name="Normal 4 4 2 2 3 3 7" xfId="10692" xr:uid="{E4368EF9-C2C3-4AA0-8A33-5900ECCCA501}"/>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43659" xr:uid="{27BBD8A5-B05C-4AF4-AAB3-C0F24DC8C290}"/>
    <cellStyle name="Normal 4 4 2 2 3 4 2 2 3" xfId="35212" xr:uid="{B8C5B235-24B5-4D4C-AB41-22F1DCD07370}"/>
    <cellStyle name="Normal 4 4 2 2 3 4 2 2 4" xfId="26764" xr:uid="{BE031404-7257-40BA-87D9-2BAC9EB4C6F3}"/>
    <cellStyle name="Normal 4 4 2 2 3 4 2 2 5" xfId="17467" xr:uid="{6F3EE460-887A-40F6-8302-B92C6CDD922D}"/>
    <cellStyle name="Normal 4 4 2 2 3 4 2 3" xfId="39442" xr:uid="{FD8F93BB-2514-403C-AF7F-352497D6CE6F}"/>
    <cellStyle name="Normal 4 4 2 2 3 4 2 4" xfId="30994" xr:uid="{7855B3FA-82BB-49C2-AB9E-9F3135848219}"/>
    <cellStyle name="Normal 4 4 2 2 3 4 2 5" xfId="22547" xr:uid="{AD52BC8E-AD3C-4545-B3FA-04200EDA628B}"/>
    <cellStyle name="Normal 4 4 2 2 3 4 2 6" xfId="13250" xr:uid="{6326EFC7-B677-4732-B98D-80C8D1515168}"/>
    <cellStyle name="Normal 4 4 2 2 3 4 3" xfId="5996" xr:uid="{00000000-0005-0000-0000-0000FB140000}"/>
    <cellStyle name="Normal 4 4 2 2 3 4 3 2" xfId="41514" xr:uid="{72F17FC8-8096-4CE8-9E90-220D0F231B88}"/>
    <cellStyle name="Normal 4 4 2 2 3 4 3 3" xfId="33067" xr:uid="{5BB6629A-0B0D-4E36-A6C4-94A0BFA6AC45}"/>
    <cellStyle name="Normal 4 4 2 2 3 4 3 4" xfId="24619" xr:uid="{CFF30407-952F-4C9A-8FA5-75C4698CBD0C}"/>
    <cellStyle name="Normal 4 4 2 2 3 4 3 5" xfId="15322" xr:uid="{2CB43079-53E8-4AE9-A4CA-09D7346D4F08}"/>
    <cellStyle name="Normal 4 4 2 2 3 4 4" xfId="37297" xr:uid="{F7566B35-739E-4CCE-B2A5-88D4A4DFEA33}"/>
    <cellStyle name="Normal 4 4 2 2 3 4 5" xfId="28849" xr:uid="{F4BCFB2A-2B6B-4896-9EED-43ADB2F06B12}"/>
    <cellStyle name="Normal 4 4 2 2 3 4 6" xfId="20402" xr:uid="{C8576F99-15DA-4E53-B388-7D6BEBFDAB77}"/>
    <cellStyle name="Normal 4 4 2 2 3 4 7" xfId="11105" xr:uid="{70B82E39-B40A-4DDA-BF81-010A3293484E}"/>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44072" xr:uid="{A5649963-4E09-4E36-AE50-32E33AB6A0F8}"/>
    <cellStyle name="Normal 4 4 2 2 3 5 2 2 3" xfId="35625" xr:uid="{69AE380B-6452-4D94-BDCA-309359CAFC0E}"/>
    <cellStyle name="Normal 4 4 2 2 3 5 2 2 4" xfId="27177" xr:uid="{D984BAFC-F8FD-47EC-9DE3-F86197C1F58A}"/>
    <cellStyle name="Normal 4 4 2 2 3 5 2 2 5" xfId="17880" xr:uid="{A07FE307-F91B-4295-B502-BDA10A9B89E9}"/>
    <cellStyle name="Normal 4 4 2 2 3 5 2 3" xfId="39855" xr:uid="{7B03745B-1A28-4910-9C4A-AAA212B42EB5}"/>
    <cellStyle name="Normal 4 4 2 2 3 5 2 4" xfId="31407" xr:uid="{0E9C4FD1-B646-4FCA-83E2-323A72999EA9}"/>
    <cellStyle name="Normal 4 4 2 2 3 5 2 5" xfId="22960" xr:uid="{859F0690-C45F-4C43-8E42-645605FD8717}"/>
    <cellStyle name="Normal 4 4 2 2 3 5 2 6" xfId="13663" xr:uid="{5B3746E2-2624-4DC3-921A-ACFE79941C9A}"/>
    <cellStyle name="Normal 4 4 2 2 3 5 3" xfId="6409" xr:uid="{00000000-0005-0000-0000-0000FF140000}"/>
    <cellStyle name="Normal 4 4 2 2 3 5 3 2" xfId="41927" xr:uid="{9552AB77-644D-4F5A-AE8E-BA5F769E0235}"/>
    <cellStyle name="Normal 4 4 2 2 3 5 3 3" xfId="33480" xr:uid="{DEF2B8F4-8324-44BB-9A4A-1E618A9B0249}"/>
    <cellStyle name="Normal 4 4 2 2 3 5 3 4" xfId="25032" xr:uid="{7E271D6A-BF01-4B92-A752-5A3010C5F0C5}"/>
    <cellStyle name="Normal 4 4 2 2 3 5 3 5" xfId="15735" xr:uid="{E9F8FC81-3830-44DB-BDC4-DCA333B020E1}"/>
    <cellStyle name="Normal 4 4 2 2 3 5 4" xfId="37710" xr:uid="{64AE43A4-6FC9-4C22-9DAA-E16546FF9086}"/>
    <cellStyle name="Normal 4 4 2 2 3 5 5" xfId="29262" xr:uid="{06876A8C-94F5-4C98-BEF3-5260B78925B2}"/>
    <cellStyle name="Normal 4 4 2 2 3 5 6" xfId="20815" xr:uid="{4058E6F7-EFAB-4DCE-AAF4-0155E1BC4BEA}"/>
    <cellStyle name="Normal 4 4 2 2 3 5 7" xfId="11518" xr:uid="{67F17F87-052C-49F2-B2DB-E4DD13266784}"/>
    <cellStyle name="Normal 4 4 2 2 3 6" xfId="2539" xr:uid="{00000000-0005-0000-0000-000000150000}"/>
    <cellStyle name="Normal 4 4 2 2 3 6 2" xfId="6822" xr:uid="{00000000-0005-0000-0000-000001150000}"/>
    <cellStyle name="Normal 4 4 2 2 3 6 2 2" xfId="42340" xr:uid="{41FBA163-51AC-4625-9D23-8A2357B281B2}"/>
    <cellStyle name="Normal 4 4 2 2 3 6 2 3" xfId="33893" xr:uid="{45BAE9A0-F180-4D90-92A9-BCF16748B1F1}"/>
    <cellStyle name="Normal 4 4 2 2 3 6 2 4" xfId="25445" xr:uid="{1F9AC5E8-E497-4813-97F1-689DB1C246C2}"/>
    <cellStyle name="Normal 4 4 2 2 3 6 2 5" xfId="16148" xr:uid="{80D498B0-4016-4459-B37F-078DFDB7B55A}"/>
    <cellStyle name="Normal 4 4 2 2 3 6 3" xfId="38123" xr:uid="{021DEBEE-9673-4177-A7CD-9E07C69C2613}"/>
    <cellStyle name="Normal 4 4 2 2 3 6 4" xfId="29675" xr:uid="{B585FB21-8675-4846-86A1-A10216429E5A}"/>
    <cellStyle name="Normal 4 4 2 2 3 6 5" xfId="21228" xr:uid="{9D90DC49-75E2-4B8B-A03D-CF90AED96A32}"/>
    <cellStyle name="Normal 4 4 2 2 3 6 6" xfId="11931" xr:uid="{827BD911-8D61-4FEE-8BCA-D6C3C9438EB8}"/>
    <cellStyle name="Normal 4 4 2 2 3 7" xfId="4757" xr:uid="{00000000-0005-0000-0000-000002150000}"/>
    <cellStyle name="Normal 4 4 2 2 3 7 2" xfId="40275" xr:uid="{939A9CD1-44F4-43E5-AA1E-133E61486B1D}"/>
    <cellStyle name="Normal 4 4 2 2 3 7 3" xfId="31828" xr:uid="{2F65E5B6-4739-41E2-B1CB-70C4B2137DEE}"/>
    <cellStyle name="Normal 4 4 2 2 3 7 4" xfId="23380" xr:uid="{20E64C60-6261-48CE-AC7F-3D81338A7616}"/>
    <cellStyle name="Normal 4 4 2 2 3 7 5" xfId="14083" xr:uid="{45CB7275-140E-4CC9-A2DB-8733BE23D4BF}"/>
    <cellStyle name="Normal 4 4 2 2 3 8" xfId="9031" xr:uid="{F1B59444-328A-4279-8A0A-A9F7E26061D5}"/>
    <cellStyle name="Normal 4 4 2 2 3 8 2" xfId="36058" xr:uid="{9922F09B-6E13-4CAB-9EFE-047FAB17E750}"/>
    <cellStyle name="Normal 4 4 2 2 3 8 3" xfId="18354" xr:uid="{B1AD380D-18F1-4FF1-94E3-629C41A0C1DD}"/>
    <cellStyle name="Normal 4 4 2 2 3 9" xfId="27610" xr:uid="{ECDBCA28-06BD-4CFB-9AD0-E9DFF60E4BFA}"/>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42830" xr:uid="{4B5AEBDD-6339-4D80-8B9C-4EA58B02EB00}"/>
    <cellStyle name="Normal 4 4 2 2 4 2 2 3" xfId="34383" xr:uid="{BEC506BD-26F9-40AE-8BF5-A94D52BA50DA}"/>
    <cellStyle name="Normal 4 4 2 2 4 2 2 4" xfId="25935" xr:uid="{053A19B9-9F2B-43FD-ADAA-199CB514D912}"/>
    <cellStyle name="Normal 4 4 2 2 4 2 2 5" xfId="16638" xr:uid="{4FAC3FE0-7EDE-44C7-A553-0C4F2293809D}"/>
    <cellStyle name="Normal 4 4 2 2 4 2 3" xfId="38613" xr:uid="{77E72651-BE1D-4ABA-8543-A62E4A67973F}"/>
    <cellStyle name="Normal 4 4 2 2 4 2 4" xfId="30165" xr:uid="{2CFC90C6-1467-49B1-8215-5C2031679A1D}"/>
    <cellStyle name="Normal 4 4 2 2 4 2 5" xfId="21718" xr:uid="{1262E408-C29F-4768-86C1-B5AE1792BCCF}"/>
    <cellStyle name="Normal 4 4 2 2 4 2 6" xfId="12421" xr:uid="{58E62B4B-C030-463E-BF5C-D1D8EA3D47E1}"/>
    <cellStyle name="Normal 4 4 2 2 4 3" xfId="5167" xr:uid="{00000000-0005-0000-0000-000006150000}"/>
    <cellStyle name="Normal 4 4 2 2 4 3 2" xfId="40685" xr:uid="{CDD3F87E-304D-4399-A20F-6B6A1228B68A}"/>
    <cellStyle name="Normal 4 4 2 2 4 3 3" xfId="32238" xr:uid="{42727220-D6BD-432F-BC97-18EBF3455A48}"/>
    <cellStyle name="Normal 4 4 2 2 4 3 4" xfId="23790" xr:uid="{99B15DC5-4867-428C-B299-AD17232273A5}"/>
    <cellStyle name="Normal 4 4 2 2 4 3 5" xfId="14493" xr:uid="{D9E0FC36-0E76-4085-B759-571F947CD44B}"/>
    <cellStyle name="Normal 4 4 2 2 4 4" xfId="9249" xr:uid="{7E4CA7C7-738D-4CFA-907A-40590344548A}"/>
    <cellStyle name="Normal 4 4 2 2 4 4 2" xfId="36468" xr:uid="{44504ACD-2893-4931-90A6-3BA11EA69FF4}"/>
    <cellStyle name="Normal 4 4 2 2 4 4 3" xfId="18562" xr:uid="{80EF80FB-27D8-4463-BCDA-83AF5F82DAD0}"/>
    <cellStyle name="Normal 4 4 2 2 4 5" xfId="28020" xr:uid="{88B1E927-DFC5-4C1D-A605-ECA9865DA33B}"/>
    <cellStyle name="Normal 4 4 2 2 4 6" xfId="19573" xr:uid="{A9BC0671-4193-4777-A769-A7FAC14FE4FE}"/>
    <cellStyle name="Normal 4 4 2 2 4 7" xfId="10276" xr:uid="{AC2A9530-DA66-4A66-9837-93F209724257}"/>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43243" xr:uid="{6F15A340-993F-4F70-A398-A11959B639F8}"/>
    <cellStyle name="Normal 4 4 2 2 5 2 2 3" xfId="34796" xr:uid="{F307CCDF-1CDF-42CE-902D-05D8740591CD}"/>
    <cellStyle name="Normal 4 4 2 2 5 2 2 4" xfId="26348" xr:uid="{18E925E4-BBF5-4FFC-B8CB-168A4DE65A89}"/>
    <cellStyle name="Normal 4 4 2 2 5 2 2 5" xfId="17051" xr:uid="{553D4177-4491-4A6A-8A60-EEBFA067203A}"/>
    <cellStyle name="Normal 4 4 2 2 5 2 3" xfId="39026" xr:uid="{8994F43F-E211-4962-B8C2-D8F65A710548}"/>
    <cellStyle name="Normal 4 4 2 2 5 2 4" xfId="30578" xr:uid="{79744B0D-9729-459D-AC2A-15BC69910848}"/>
    <cellStyle name="Normal 4 4 2 2 5 2 5" xfId="22131" xr:uid="{0C30130C-B7C8-4B12-8CFD-809BC386F634}"/>
    <cellStyle name="Normal 4 4 2 2 5 2 6" xfId="12834" xr:uid="{BE263D5B-7532-4495-8264-FD959A6786C0}"/>
    <cellStyle name="Normal 4 4 2 2 5 3" xfId="5580" xr:uid="{00000000-0005-0000-0000-00000A150000}"/>
    <cellStyle name="Normal 4 4 2 2 5 3 2" xfId="41098" xr:uid="{3BBC5A85-00F0-41E3-A407-8D8596BB9054}"/>
    <cellStyle name="Normal 4 4 2 2 5 3 3" xfId="32651" xr:uid="{03B70329-DF6D-4B1F-9312-27AC6938EDC8}"/>
    <cellStyle name="Normal 4 4 2 2 5 3 4" xfId="24203" xr:uid="{090DF735-A79B-45E6-B786-2E82A9507B27}"/>
    <cellStyle name="Normal 4 4 2 2 5 3 5" xfId="14906" xr:uid="{65C21AE8-5D44-477A-954F-817EA9911052}"/>
    <cellStyle name="Normal 4 4 2 2 5 4" xfId="36881" xr:uid="{288454B4-9D32-4980-9835-DFFA35F0C76C}"/>
    <cellStyle name="Normal 4 4 2 2 5 5" xfId="28433" xr:uid="{3A0A11BF-2A35-4626-8016-29E11FE584FA}"/>
    <cellStyle name="Normal 4 4 2 2 5 6" xfId="19986" xr:uid="{D5BF2A69-8371-49A1-BCB2-F1BAFFB3E7A1}"/>
    <cellStyle name="Normal 4 4 2 2 5 7" xfId="10689" xr:uid="{54A2174A-E9CE-4E16-A67E-3301BAC95906}"/>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43656" xr:uid="{DC25C15F-3E5E-4681-84D1-79F9C79319FB}"/>
    <cellStyle name="Normal 4 4 2 2 6 2 2 3" xfId="35209" xr:uid="{DF83666C-44AF-47AD-BDD7-2765CFAF92A3}"/>
    <cellStyle name="Normal 4 4 2 2 6 2 2 4" xfId="26761" xr:uid="{FF3E9042-5493-4BFD-80EC-4AE9B873FBE7}"/>
    <cellStyle name="Normal 4 4 2 2 6 2 2 5" xfId="17464" xr:uid="{7B56B03E-649B-412E-8B8D-4C965EC677FA}"/>
    <cellStyle name="Normal 4 4 2 2 6 2 3" xfId="39439" xr:uid="{C0A6E564-9066-448B-AC16-B1DC3A31D90E}"/>
    <cellStyle name="Normal 4 4 2 2 6 2 4" xfId="30991" xr:uid="{AC67310E-C4CE-40FB-BC45-AD3A398EC94D}"/>
    <cellStyle name="Normal 4 4 2 2 6 2 5" xfId="22544" xr:uid="{C6820702-8101-42F9-8EA2-879A3C1B6212}"/>
    <cellStyle name="Normal 4 4 2 2 6 2 6" xfId="13247" xr:uid="{B677D9F1-446E-48AC-BFE6-BFB1ED7A3828}"/>
    <cellStyle name="Normal 4 4 2 2 6 3" xfId="5993" xr:uid="{00000000-0005-0000-0000-00000E150000}"/>
    <cellStyle name="Normal 4 4 2 2 6 3 2" xfId="41511" xr:uid="{985BF603-6028-4444-9FFD-D83B152AF09D}"/>
    <cellStyle name="Normal 4 4 2 2 6 3 3" xfId="33064" xr:uid="{F534A49B-28C9-4008-B958-C1C5A08E758C}"/>
    <cellStyle name="Normal 4 4 2 2 6 3 4" xfId="24616" xr:uid="{39CF5B78-5A49-436D-9B4E-22B49637BEEF}"/>
    <cellStyle name="Normal 4 4 2 2 6 3 5" xfId="15319" xr:uid="{E37EB024-3575-49CD-BABC-3C9B0853E703}"/>
    <cellStyle name="Normal 4 4 2 2 6 4" xfId="37294" xr:uid="{99A84070-B21B-465A-991D-CCE721651559}"/>
    <cellStyle name="Normal 4 4 2 2 6 5" xfId="28846" xr:uid="{B00FAD97-438C-4CE7-BC12-6587061BE48B}"/>
    <cellStyle name="Normal 4 4 2 2 6 6" xfId="20399" xr:uid="{23B6C7CC-DF36-4C52-9831-173BAB34E5C2}"/>
    <cellStyle name="Normal 4 4 2 2 6 7" xfId="11102" xr:uid="{63DDF89D-2EFE-48D8-8AD2-5EB4BF21164E}"/>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44069" xr:uid="{A7BEC09C-045C-4CB6-B724-236A0205B779}"/>
    <cellStyle name="Normal 4 4 2 2 7 2 2 3" xfId="35622" xr:uid="{83AF9FFD-DDCC-4461-AC10-E26B78E73CCA}"/>
    <cellStyle name="Normal 4 4 2 2 7 2 2 4" xfId="27174" xr:uid="{15141048-CBA9-41EC-B758-BB9E7BCBE6E7}"/>
    <cellStyle name="Normal 4 4 2 2 7 2 2 5" xfId="17877" xr:uid="{6F6766EB-BC0D-4E4F-87FE-DE6B9171EE69}"/>
    <cellStyle name="Normal 4 4 2 2 7 2 3" xfId="39852" xr:uid="{50F7F1EA-5B3C-45B6-86B7-1BCC03CB6998}"/>
    <cellStyle name="Normal 4 4 2 2 7 2 4" xfId="31404" xr:uid="{9FB5B21B-EAC7-4F10-8D02-FBC36DDAC06F}"/>
    <cellStyle name="Normal 4 4 2 2 7 2 5" xfId="22957" xr:uid="{45C73135-458C-460F-8B45-E128C5EE23EA}"/>
    <cellStyle name="Normal 4 4 2 2 7 2 6" xfId="13660" xr:uid="{E9F7D38F-CDBD-4A69-A6E6-1BFC52ABAD8F}"/>
    <cellStyle name="Normal 4 4 2 2 7 3" xfId="6406" xr:uid="{00000000-0005-0000-0000-000012150000}"/>
    <cellStyle name="Normal 4 4 2 2 7 3 2" xfId="41924" xr:uid="{45A2EA73-F3C7-4586-B3C7-57885FB0F48B}"/>
    <cellStyle name="Normal 4 4 2 2 7 3 3" xfId="33477" xr:uid="{BC97C8ED-2EA2-4E70-ADE0-380F6C5CB353}"/>
    <cellStyle name="Normal 4 4 2 2 7 3 4" xfId="25029" xr:uid="{C2B778EB-0D0D-4CFE-8441-A1A6E2728644}"/>
    <cellStyle name="Normal 4 4 2 2 7 3 5" xfId="15732" xr:uid="{37FA7D85-C869-4F96-B0D4-5FC288128110}"/>
    <cellStyle name="Normal 4 4 2 2 7 4" xfId="37707" xr:uid="{7A80EC0E-205F-45FD-85AE-5D477723CDCA}"/>
    <cellStyle name="Normal 4 4 2 2 7 5" xfId="29259" xr:uid="{DA753C00-8C0D-4442-AE60-8E0A09E39003}"/>
    <cellStyle name="Normal 4 4 2 2 7 6" xfId="20812" xr:uid="{CAC82AF0-AD2B-4A14-8455-F9744EA93B87}"/>
    <cellStyle name="Normal 4 4 2 2 7 7" xfId="11515" xr:uid="{A55233DB-02B0-494C-AF5A-9BE529FD27B5}"/>
    <cellStyle name="Normal 4 4 2 2 8" xfId="2536" xr:uid="{00000000-0005-0000-0000-000013150000}"/>
    <cellStyle name="Normal 4 4 2 2 8 2" xfId="6819" xr:uid="{00000000-0005-0000-0000-000014150000}"/>
    <cellStyle name="Normal 4 4 2 2 8 2 2" xfId="42337" xr:uid="{35BF3513-80E3-4C81-B70F-02D4D5ECCA7E}"/>
    <cellStyle name="Normal 4 4 2 2 8 2 3" xfId="33890" xr:uid="{0121FF5A-D454-4AF0-BC41-B899A1085520}"/>
    <cellStyle name="Normal 4 4 2 2 8 2 4" xfId="25442" xr:uid="{D03498ED-3A01-4C00-9B6A-E7879636C602}"/>
    <cellStyle name="Normal 4 4 2 2 8 2 5" xfId="16145" xr:uid="{BB7FF193-A7AF-4BC3-BD19-06A51B9969C4}"/>
    <cellStyle name="Normal 4 4 2 2 8 3" xfId="38120" xr:uid="{6DF56B32-89B7-45F2-B02F-83C9660A35C8}"/>
    <cellStyle name="Normal 4 4 2 2 8 4" xfId="29672" xr:uid="{29E0CB6D-B8B8-49A7-8EDE-7D7C0C772AA5}"/>
    <cellStyle name="Normal 4 4 2 2 8 5" xfId="21225" xr:uid="{A9F692F4-763C-4AC9-B6C4-3A4A42162BE1}"/>
    <cellStyle name="Normal 4 4 2 2 8 6" xfId="11928" xr:uid="{AAC5BC77-8621-49D4-800A-818A24A66EA6}"/>
    <cellStyle name="Normal 4 4 2 2 9" xfId="4754" xr:uid="{00000000-0005-0000-0000-000015150000}"/>
    <cellStyle name="Normal 4 4 2 2 9 2" xfId="40272" xr:uid="{45CDB307-9C6B-4322-8FE6-A25BBA0369A8}"/>
    <cellStyle name="Normal 4 4 2 2 9 3" xfId="31825" xr:uid="{41E97C35-709B-44B5-ADE7-4450485CD978}"/>
    <cellStyle name="Normal 4 4 2 2 9 4" xfId="23377" xr:uid="{008125CF-BB73-4BAD-9FAA-9C188BDF8B96}"/>
    <cellStyle name="Normal 4 4 2 2 9 5" xfId="14080" xr:uid="{CE62172B-5A77-4103-B15C-C05F2512A2EE}"/>
    <cellStyle name="Normal 4 4 2 3" xfId="384" xr:uid="{00000000-0005-0000-0000-000016150000}"/>
    <cellStyle name="Normal 4 4 2 3 10" xfId="27611" xr:uid="{8BC59827-86C8-4504-817E-7A3D19005C6E}"/>
    <cellStyle name="Normal 4 4 2 3 11" xfId="19164" xr:uid="{B4325559-35B6-4848-8CCF-E38CF2DEA266}"/>
    <cellStyle name="Normal 4 4 2 3 12" xfId="9867" xr:uid="{C6AE1536-EC26-4820-8688-DB79363E37C9}"/>
    <cellStyle name="Normal 4 4 2 3 2" xfId="385" xr:uid="{00000000-0005-0000-0000-000017150000}"/>
    <cellStyle name="Normal 4 4 2 3 2 10" xfId="19165" xr:uid="{69142F75-28A3-4488-86E3-65055B166E63}"/>
    <cellStyle name="Normal 4 4 2 3 2 11" xfId="9868" xr:uid="{D3ED928C-5D3F-4CE5-B608-605FBA212BA6}"/>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42835" xr:uid="{D04F2E1B-8926-46BA-805B-40135A9E92F7}"/>
    <cellStyle name="Normal 4 4 2 3 2 2 2 2 3" xfId="34388" xr:uid="{CCBE2D1F-F62F-4387-8621-CF281BDA15F4}"/>
    <cellStyle name="Normal 4 4 2 3 2 2 2 2 4" xfId="25940" xr:uid="{48540273-B21C-4534-AAAA-18AEC3E636AE}"/>
    <cellStyle name="Normal 4 4 2 3 2 2 2 2 5" xfId="16643" xr:uid="{8DD0B978-E895-4795-9EA9-6120CAC8E9FD}"/>
    <cellStyle name="Normal 4 4 2 3 2 2 2 3" xfId="38618" xr:uid="{CF3FFBC4-1ECF-4A14-A29D-D26BA6A10883}"/>
    <cellStyle name="Normal 4 4 2 3 2 2 2 4" xfId="30170" xr:uid="{EE49A533-0899-47CB-B4A3-90D56903C7F5}"/>
    <cellStyle name="Normal 4 4 2 3 2 2 2 5" xfId="21723" xr:uid="{E1F672BB-FA24-40DB-BB7C-88E9E930DDB4}"/>
    <cellStyle name="Normal 4 4 2 3 2 2 2 6" xfId="12426" xr:uid="{E1F94E64-BBCD-418C-B826-C943884312DA}"/>
    <cellStyle name="Normal 4 4 2 3 2 2 3" xfId="5172" xr:uid="{00000000-0005-0000-0000-00001B150000}"/>
    <cellStyle name="Normal 4 4 2 3 2 2 3 2" xfId="40690" xr:uid="{6118AB02-D3BD-4D82-8252-F477718E56CB}"/>
    <cellStyle name="Normal 4 4 2 3 2 2 3 3" xfId="32243" xr:uid="{D7CD490C-76BE-492F-B770-4B15E678375B}"/>
    <cellStyle name="Normal 4 4 2 3 2 2 3 4" xfId="23795" xr:uid="{B858288F-4BF8-4D36-9073-6A8DC5CFA8B0}"/>
    <cellStyle name="Normal 4 4 2 3 2 2 3 5" xfId="14498" xr:uid="{E7E505FE-BE12-45C6-AB70-54814D2BA2A5}"/>
    <cellStyle name="Normal 4 4 2 3 2 2 4" xfId="9516" xr:uid="{93008D3B-5827-4778-B167-5B518B5BF56F}"/>
    <cellStyle name="Normal 4 4 2 3 2 2 4 2" xfId="36473" xr:uid="{A7B1B287-68D1-4F7D-8343-6E8F3937F21E}"/>
    <cellStyle name="Normal 4 4 2 3 2 2 4 3" xfId="18829" xr:uid="{8EB8D579-3390-4848-86C3-1F152078D1A7}"/>
    <cellStyle name="Normal 4 4 2 3 2 2 5" xfId="28025" xr:uid="{6052A428-AB5F-45FC-8C7D-3722D92737AE}"/>
    <cellStyle name="Normal 4 4 2 3 2 2 6" xfId="19578" xr:uid="{9A0651DD-9C0F-4441-A7F7-842B28AE7814}"/>
    <cellStyle name="Normal 4 4 2 3 2 2 7" xfId="10281" xr:uid="{6AF4B510-1153-4B8B-8A66-B3D6E274BFDE}"/>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43248" xr:uid="{F75B9163-8EC4-4BC3-89D1-7C0D0CCE435B}"/>
    <cellStyle name="Normal 4 4 2 3 2 3 2 2 3" xfId="34801" xr:uid="{53151787-78AE-4863-BFA2-82B9780AE5E1}"/>
    <cellStyle name="Normal 4 4 2 3 2 3 2 2 4" xfId="26353" xr:uid="{2E58C856-777D-4C8A-A18F-A8818DA92673}"/>
    <cellStyle name="Normal 4 4 2 3 2 3 2 2 5" xfId="17056" xr:uid="{FF82F4D0-2998-425C-8DE2-314A748F525C}"/>
    <cellStyle name="Normal 4 4 2 3 2 3 2 3" xfId="39031" xr:uid="{11DF10FD-2E41-4173-AA69-35EF23C3FAD5}"/>
    <cellStyle name="Normal 4 4 2 3 2 3 2 4" xfId="30583" xr:uid="{64C21BFF-2D3B-4053-B062-395403CC7603}"/>
    <cellStyle name="Normal 4 4 2 3 2 3 2 5" xfId="22136" xr:uid="{735FEEB7-9F36-4292-99AE-D050880FAD8B}"/>
    <cellStyle name="Normal 4 4 2 3 2 3 2 6" xfId="12839" xr:uid="{46E97443-E42D-4983-8998-2B9D721ACBA9}"/>
    <cellStyle name="Normal 4 4 2 3 2 3 3" xfId="5585" xr:uid="{00000000-0005-0000-0000-00001F150000}"/>
    <cellStyle name="Normal 4 4 2 3 2 3 3 2" xfId="41103" xr:uid="{088C101B-C36E-4A81-98CE-371B898FDCC4}"/>
    <cellStyle name="Normal 4 4 2 3 2 3 3 3" xfId="32656" xr:uid="{00A6DA5C-3920-46E5-9143-4837660A9D7A}"/>
    <cellStyle name="Normal 4 4 2 3 2 3 3 4" xfId="24208" xr:uid="{AEEE2001-3659-4E96-B844-4D9D2DB5467E}"/>
    <cellStyle name="Normal 4 4 2 3 2 3 3 5" xfId="14911" xr:uid="{80DB67BE-DFB7-4E12-A206-F31607ECB839}"/>
    <cellStyle name="Normal 4 4 2 3 2 3 4" xfId="36886" xr:uid="{E4067151-9F31-4196-AB71-2DB3603D42C3}"/>
    <cellStyle name="Normal 4 4 2 3 2 3 5" xfId="28438" xr:uid="{068CF4BF-836C-4C9D-8BD2-DFECE3BED4C5}"/>
    <cellStyle name="Normal 4 4 2 3 2 3 6" xfId="19991" xr:uid="{A35E0C67-18C0-4807-92E3-E67E3127794F}"/>
    <cellStyle name="Normal 4 4 2 3 2 3 7" xfId="10694" xr:uid="{23D9E870-FA92-4F63-AA27-A57EC8A155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43661" xr:uid="{5E9BA376-D845-4738-9516-1EDDD018AB5E}"/>
    <cellStyle name="Normal 4 4 2 3 2 4 2 2 3" xfId="35214" xr:uid="{4C202F0C-9D45-4C39-950F-71BE633D53FA}"/>
    <cellStyle name="Normal 4 4 2 3 2 4 2 2 4" xfId="26766" xr:uid="{78E902B6-F698-41A4-B8DC-46E454E7A245}"/>
    <cellStyle name="Normal 4 4 2 3 2 4 2 2 5" xfId="17469" xr:uid="{E86427EB-2D51-42BE-A732-9F30267A61D5}"/>
    <cellStyle name="Normal 4 4 2 3 2 4 2 3" xfId="39444" xr:uid="{A6F2F28C-A179-42A1-8196-80558A8D776D}"/>
    <cellStyle name="Normal 4 4 2 3 2 4 2 4" xfId="30996" xr:uid="{EDC759B4-BDA6-4EF3-8B4A-5617B59A4ED9}"/>
    <cellStyle name="Normal 4 4 2 3 2 4 2 5" xfId="22549" xr:uid="{BAED8E92-5EE6-4415-BF8B-561A260F6285}"/>
    <cellStyle name="Normal 4 4 2 3 2 4 2 6" xfId="13252" xr:uid="{C0840C15-29F7-4E7E-A789-3685232B2106}"/>
    <cellStyle name="Normal 4 4 2 3 2 4 3" xfId="5998" xr:uid="{00000000-0005-0000-0000-000023150000}"/>
    <cellStyle name="Normal 4 4 2 3 2 4 3 2" xfId="41516" xr:uid="{B67492C0-4EED-4386-AF3B-C41946211910}"/>
    <cellStyle name="Normal 4 4 2 3 2 4 3 3" xfId="33069" xr:uid="{5F8C91C1-D986-4424-9335-6B8CA32F2C65}"/>
    <cellStyle name="Normal 4 4 2 3 2 4 3 4" xfId="24621" xr:uid="{25231260-5A4E-44AF-99F5-00C409F6D451}"/>
    <cellStyle name="Normal 4 4 2 3 2 4 3 5" xfId="15324" xr:uid="{D756577C-6661-4A13-BB25-D7D8E7128B3F}"/>
    <cellStyle name="Normal 4 4 2 3 2 4 4" xfId="37299" xr:uid="{F0D1436E-825B-40A9-B35C-13A3457727D1}"/>
    <cellStyle name="Normal 4 4 2 3 2 4 5" xfId="28851" xr:uid="{C8A72F89-5D11-4AA1-B5AB-27A339BF548D}"/>
    <cellStyle name="Normal 4 4 2 3 2 4 6" xfId="20404" xr:uid="{0B52EB18-9836-46FC-8D14-09FAB56C5BE1}"/>
    <cellStyle name="Normal 4 4 2 3 2 4 7" xfId="11107" xr:uid="{3FC8259A-173B-4E10-87C7-DB8D031500D3}"/>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44074" xr:uid="{F7E97769-7DEF-49D1-A10C-9791E8CF9CD2}"/>
    <cellStyle name="Normal 4 4 2 3 2 5 2 2 3" xfId="35627" xr:uid="{7B5D719D-B684-454F-BD93-0C1FF5304345}"/>
    <cellStyle name="Normal 4 4 2 3 2 5 2 2 4" xfId="27179" xr:uid="{EF8DC170-F47B-4078-9810-661750D9F2FD}"/>
    <cellStyle name="Normal 4 4 2 3 2 5 2 2 5" xfId="17882" xr:uid="{9650A1AF-A74B-4730-9F2A-5D04E1282C7D}"/>
    <cellStyle name="Normal 4 4 2 3 2 5 2 3" xfId="39857" xr:uid="{A41CE9D7-F961-42F9-AA18-DDA3F631A28F}"/>
    <cellStyle name="Normal 4 4 2 3 2 5 2 4" xfId="31409" xr:uid="{CF0FFFBF-A67C-4DBC-9AB0-8985ABC3C55B}"/>
    <cellStyle name="Normal 4 4 2 3 2 5 2 5" xfId="22962" xr:uid="{A9C2CCB5-B4DB-4583-B979-74BABCBF1121}"/>
    <cellStyle name="Normal 4 4 2 3 2 5 2 6" xfId="13665" xr:uid="{CF4FC618-9075-4B78-A2B2-55B3EEA95153}"/>
    <cellStyle name="Normal 4 4 2 3 2 5 3" xfId="6411" xr:uid="{00000000-0005-0000-0000-000027150000}"/>
    <cellStyle name="Normal 4 4 2 3 2 5 3 2" xfId="41929" xr:uid="{33943281-2723-4DF8-B203-A00BF34C24C9}"/>
    <cellStyle name="Normal 4 4 2 3 2 5 3 3" xfId="33482" xr:uid="{5EC42F04-DE34-44CD-9F00-EBFC58FA92F1}"/>
    <cellStyle name="Normal 4 4 2 3 2 5 3 4" xfId="25034" xr:uid="{5859BFF2-EB33-4B60-98D4-15E2E9AC2E3D}"/>
    <cellStyle name="Normal 4 4 2 3 2 5 3 5" xfId="15737" xr:uid="{9D6A01FC-A16D-4766-B1C2-3000F3FEB99D}"/>
    <cellStyle name="Normal 4 4 2 3 2 5 4" xfId="37712" xr:uid="{1D094DCA-328F-482E-B689-BC5685150A74}"/>
    <cellStyle name="Normal 4 4 2 3 2 5 5" xfId="29264" xr:uid="{0862A2FD-1F04-417D-B4EB-17C18CB19C8C}"/>
    <cellStyle name="Normal 4 4 2 3 2 5 6" xfId="20817" xr:uid="{EB2346AF-DA5F-4C51-A782-A0DB25DD8206}"/>
    <cellStyle name="Normal 4 4 2 3 2 5 7" xfId="11520" xr:uid="{89460A6B-10D0-4B0D-ABB6-B65AAD4CE2F7}"/>
    <cellStyle name="Normal 4 4 2 3 2 6" xfId="2541" xr:uid="{00000000-0005-0000-0000-000028150000}"/>
    <cellStyle name="Normal 4 4 2 3 2 6 2" xfId="6824" xr:uid="{00000000-0005-0000-0000-000029150000}"/>
    <cellStyle name="Normal 4 4 2 3 2 6 2 2" xfId="42342" xr:uid="{19FF8147-06E6-4D08-BB6C-A829C472A899}"/>
    <cellStyle name="Normal 4 4 2 3 2 6 2 3" xfId="33895" xr:uid="{8F38B9D3-63A2-4E62-B004-D9157A6C2DD0}"/>
    <cellStyle name="Normal 4 4 2 3 2 6 2 4" xfId="25447" xr:uid="{D7973528-32BE-4D35-B9D0-0EEB895990A2}"/>
    <cellStyle name="Normal 4 4 2 3 2 6 2 5" xfId="16150" xr:uid="{2DCA758F-4DF3-4B2A-94DB-ACD8E0AE5D07}"/>
    <cellStyle name="Normal 4 4 2 3 2 6 3" xfId="38125" xr:uid="{DA70E97D-1ED0-49DF-BDAA-2133DFA0E081}"/>
    <cellStyle name="Normal 4 4 2 3 2 6 4" xfId="29677" xr:uid="{4A45C4EF-2C35-44D0-A1ED-B5D950DD8B79}"/>
    <cellStyle name="Normal 4 4 2 3 2 6 5" xfId="21230" xr:uid="{CDEAE4A9-23BD-4751-A815-8F4B5CF7D091}"/>
    <cellStyle name="Normal 4 4 2 3 2 6 6" xfId="11933" xr:uid="{D221CA95-408E-48E6-9AF6-55BEEEA8D59B}"/>
    <cellStyle name="Normal 4 4 2 3 2 7" xfId="4759" xr:uid="{00000000-0005-0000-0000-00002A150000}"/>
    <cellStyle name="Normal 4 4 2 3 2 7 2" xfId="40277" xr:uid="{9CADC7A1-1FCF-47FA-9327-FFCD6268096C}"/>
    <cellStyle name="Normal 4 4 2 3 2 7 3" xfId="31830" xr:uid="{8BB6ED55-E50D-4D10-87EB-9271804A9665}"/>
    <cellStyle name="Normal 4 4 2 3 2 7 4" xfId="23382" xr:uid="{A149F250-759D-4AD7-B2F3-DC276BC1DD6E}"/>
    <cellStyle name="Normal 4 4 2 3 2 7 5" xfId="14085" xr:uid="{DFBE0C59-E9A3-48E6-83BC-9D9AFD8DFC05}"/>
    <cellStyle name="Normal 4 4 2 3 2 8" xfId="9091" xr:uid="{9DBAED0A-05EE-4674-B1B7-8D03DBB53301}"/>
    <cellStyle name="Normal 4 4 2 3 2 8 2" xfId="36060" xr:uid="{44A88CC4-F93D-45AB-9EBD-D78CC36FD75B}"/>
    <cellStyle name="Normal 4 4 2 3 2 8 3" xfId="18414" xr:uid="{990C7F7C-E444-4F80-9EE9-BB965AE17AFB}"/>
    <cellStyle name="Normal 4 4 2 3 2 9" xfId="27612" xr:uid="{19F631A8-42F3-4577-9EA7-114AADD99D93}"/>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42834" xr:uid="{440C9273-2B5A-41F5-B35F-D04C320ABD8C}"/>
    <cellStyle name="Normal 4 4 2 3 3 2 2 3" xfId="34387" xr:uid="{12138B79-5A4C-42F9-87F0-640F523D7DEA}"/>
    <cellStyle name="Normal 4 4 2 3 3 2 2 4" xfId="25939" xr:uid="{A0FA707F-E5DA-4137-BBDD-0D4E9298FCB9}"/>
    <cellStyle name="Normal 4 4 2 3 3 2 2 5" xfId="16642" xr:uid="{CE80AB10-F724-4EC5-B1A9-0EC627D49122}"/>
    <cellStyle name="Normal 4 4 2 3 3 2 3" xfId="38617" xr:uid="{7E5B9A4D-4589-42E8-8A81-B3EFE63110A4}"/>
    <cellStyle name="Normal 4 4 2 3 3 2 4" xfId="30169" xr:uid="{203E1805-19A8-4302-8F4D-A7B039569DAC}"/>
    <cellStyle name="Normal 4 4 2 3 3 2 5" xfId="21722" xr:uid="{1DEC2927-45A5-4BB9-BD0D-32167587A14C}"/>
    <cellStyle name="Normal 4 4 2 3 3 2 6" xfId="12425" xr:uid="{A68DDA27-936B-415D-87B4-A13E047B9BB3}"/>
    <cellStyle name="Normal 4 4 2 3 3 3" xfId="5171" xr:uid="{00000000-0005-0000-0000-00002E150000}"/>
    <cellStyle name="Normal 4 4 2 3 3 3 2" xfId="40689" xr:uid="{6A309BA7-0BE2-41D8-A877-E79E1AEB89BD}"/>
    <cellStyle name="Normal 4 4 2 3 3 3 3" xfId="32242" xr:uid="{39239924-66E9-427E-B998-5A1F7561BED7}"/>
    <cellStyle name="Normal 4 4 2 3 3 3 4" xfId="23794" xr:uid="{A3D65107-56A5-4BDC-B923-82EE07164CEA}"/>
    <cellStyle name="Normal 4 4 2 3 3 3 5" xfId="14497" xr:uid="{B4358407-3E0B-43C9-933C-8F507DCB5C5E}"/>
    <cellStyle name="Normal 4 4 2 3 3 4" xfId="9309" xr:uid="{73E912F6-92AF-449E-AE53-1DEDEF686C0F}"/>
    <cellStyle name="Normal 4 4 2 3 3 4 2" xfId="36472" xr:uid="{9F33D9FE-2A82-420A-8A36-76AB4B4CD2F1}"/>
    <cellStyle name="Normal 4 4 2 3 3 4 3" xfId="18622" xr:uid="{7CE7C57F-8D8D-4058-9060-2565CCC94480}"/>
    <cellStyle name="Normal 4 4 2 3 3 5" xfId="28024" xr:uid="{BAB1461D-5BD6-4EE3-A455-68EE05455E03}"/>
    <cellStyle name="Normal 4 4 2 3 3 6" xfId="19577" xr:uid="{F73B5DE2-0778-4386-A103-0308FE640182}"/>
    <cellStyle name="Normal 4 4 2 3 3 7" xfId="10280" xr:uid="{06F4F456-251F-4F33-ACDD-55F5F680D852}"/>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43247" xr:uid="{6B986547-F155-446B-99FA-3EC55474ACE2}"/>
    <cellStyle name="Normal 4 4 2 3 4 2 2 3" xfId="34800" xr:uid="{F16B8D3C-5D41-4464-81C7-13A64AC92555}"/>
    <cellStyle name="Normal 4 4 2 3 4 2 2 4" xfId="26352" xr:uid="{5AACEE96-C600-4E2F-8CB4-2E1D39FC461C}"/>
    <cellStyle name="Normal 4 4 2 3 4 2 2 5" xfId="17055" xr:uid="{F228DE8D-BBAB-4EE0-8DDC-22B50F917538}"/>
    <cellStyle name="Normal 4 4 2 3 4 2 3" xfId="39030" xr:uid="{1AA6AD84-30BB-493E-A2D0-8673C6640954}"/>
    <cellStyle name="Normal 4 4 2 3 4 2 4" xfId="30582" xr:uid="{C3E8A113-A30A-47EC-BEEC-76D334147A80}"/>
    <cellStyle name="Normal 4 4 2 3 4 2 5" xfId="22135" xr:uid="{BBB95FAC-13B8-46F1-8611-B91741E9B597}"/>
    <cellStyle name="Normal 4 4 2 3 4 2 6" xfId="12838" xr:uid="{5BE4D77F-A073-4B2C-B2DE-570FF0FEC5C2}"/>
    <cellStyle name="Normal 4 4 2 3 4 3" xfId="5584" xr:uid="{00000000-0005-0000-0000-000032150000}"/>
    <cellStyle name="Normal 4 4 2 3 4 3 2" xfId="41102" xr:uid="{21AC3255-9CE5-4A25-9342-F96FFD6CCDF7}"/>
    <cellStyle name="Normal 4 4 2 3 4 3 3" xfId="32655" xr:uid="{43B7BB4B-1C35-4103-94F2-A306C7D0A18F}"/>
    <cellStyle name="Normal 4 4 2 3 4 3 4" xfId="24207" xr:uid="{F4783EE8-A791-454A-9B50-491B360084FC}"/>
    <cellStyle name="Normal 4 4 2 3 4 3 5" xfId="14910" xr:uid="{11EA0517-F5DA-4E88-928D-37C0F9B7DFFC}"/>
    <cellStyle name="Normal 4 4 2 3 4 4" xfId="36885" xr:uid="{EC1DFE00-374D-4AA4-96AC-F8DC5E33CDAE}"/>
    <cellStyle name="Normal 4 4 2 3 4 5" xfId="28437" xr:uid="{9038CE80-2424-4C71-A9E9-1FE989C59E52}"/>
    <cellStyle name="Normal 4 4 2 3 4 6" xfId="19990" xr:uid="{C09373BE-82AC-41F4-B209-D33E934BD7DF}"/>
    <cellStyle name="Normal 4 4 2 3 4 7" xfId="10693" xr:uid="{11AF1A86-9915-4517-BDF1-E8DA08AF4570}"/>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43660" xr:uid="{EDBC3E8A-849B-4D37-A1E3-A05ADD64A5F0}"/>
    <cellStyle name="Normal 4 4 2 3 5 2 2 3" xfId="35213" xr:uid="{2B49A67A-D3BC-46BE-B5A9-B4E99F6C356A}"/>
    <cellStyle name="Normal 4 4 2 3 5 2 2 4" xfId="26765" xr:uid="{578863F9-5873-4567-BFAE-C5953ADB5DF5}"/>
    <cellStyle name="Normal 4 4 2 3 5 2 2 5" xfId="17468" xr:uid="{7FF88EE7-BFA9-4D4F-B611-1E6E017CDE70}"/>
    <cellStyle name="Normal 4 4 2 3 5 2 3" xfId="39443" xr:uid="{951F69CC-88B7-4786-94B0-F7B6E91567B4}"/>
    <cellStyle name="Normal 4 4 2 3 5 2 4" xfId="30995" xr:uid="{E0852CC1-6C8E-4BB1-9472-8652324D683C}"/>
    <cellStyle name="Normal 4 4 2 3 5 2 5" xfId="22548" xr:uid="{DB8998CD-4809-4E4A-8362-CA0135757ED2}"/>
    <cellStyle name="Normal 4 4 2 3 5 2 6" xfId="13251" xr:uid="{4BE79F27-A5A4-47FA-80A7-902F73916F93}"/>
    <cellStyle name="Normal 4 4 2 3 5 3" xfId="5997" xr:uid="{00000000-0005-0000-0000-000036150000}"/>
    <cellStyle name="Normal 4 4 2 3 5 3 2" xfId="41515" xr:uid="{89102946-EF85-43C6-9BA5-C30C9F2D8072}"/>
    <cellStyle name="Normal 4 4 2 3 5 3 3" xfId="33068" xr:uid="{89E441F4-80C3-40E0-A2C4-A2A205FE6CFF}"/>
    <cellStyle name="Normal 4 4 2 3 5 3 4" xfId="24620" xr:uid="{6D7C35BE-7DF2-400E-AE6D-59BFAC8AED3D}"/>
    <cellStyle name="Normal 4 4 2 3 5 3 5" xfId="15323" xr:uid="{34CDAEB7-8499-475B-BE6A-36062204D2B9}"/>
    <cellStyle name="Normal 4 4 2 3 5 4" xfId="37298" xr:uid="{667F34D3-D2C9-45FB-9B23-6423223C002B}"/>
    <cellStyle name="Normal 4 4 2 3 5 5" xfId="28850" xr:uid="{CFF85CAF-55C6-433E-8F99-005093DFFE09}"/>
    <cellStyle name="Normal 4 4 2 3 5 6" xfId="20403" xr:uid="{8FD30B27-470B-459B-BBB8-83533D06CED6}"/>
    <cellStyle name="Normal 4 4 2 3 5 7" xfId="11106" xr:uid="{81A6258B-A6BD-4660-A1E3-FA5B282EC60C}"/>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44073" xr:uid="{8FA1C142-22B6-4864-BC3A-71B03DE5D412}"/>
    <cellStyle name="Normal 4 4 2 3 6 2 2 3" xfId="35626" xr:uid="{383823C0-F16F-42F8-B2CB-1E3D62C5BA6B}"/>
    <cellStyle name="Normal 4 4 2 3 6 2 2 4" xfId="27178" xr:uid="{5246FAF2-FF1A-4DB1-B146-57EEA95743D3}"/>
    <cellStyle name="Normal 4 4 2 3 6 2 2 5" xfId="17881" xr:uid="{69DE2463-598B-49D8-A549-4EEAD3814D7E}"/>
    <cellStyle name="Normal 4 4 2 3 6 2 3" xfId="39856" xr:uid="{425014E9-DCB0-4BBA-89D9-2199580BCFDD}"/>
    <cellStyle name="Normal 4 4 2 3 6 2 4" xfId="31408" xr:uid="{0DC3B84C-AAE0-47C7-9897-6BCCE5EDF90B}"/>
    <cellStyle name="Normal 4 4 2 3 6 2 5" xfId="22961" xr:uid="{8A6D2A83-8AC1-4122-8222-60AEF6D6B950}"/>
    <cellStyle name="Normal 4 4 2 3 6 2 6" xfId="13664" xr:uid="{5B0EB0DF-F375-4C9B-9633-7AB7D47E8AFE}"/>
    <cellStyle name="Normal 4 4 2 3 6 3" xfId="6410" xr:uid="{00000000-0005-0000-0000-00003A150000}"/>
    <cellStyle name="Normal 4 4 2 3 6 3 2" xfId="41928" xr:uid="{7BAFBD7E-C7E0-4488-9CB2-2C1293A3BEF8}"/>
    <cellStyle name="Normal 4 4 2 3 6 3 3" xfId="33481" xr:uid="{902DACE7-BDFD-4174-BB8A-8FAC4584FBCE}"/>
    <cellStyle name="Normal 4 4 2 3 6 3 4" xfId="25033" xr:uid="{5812D376-AA47-4B37-AA49-75AFB2E62EC3}"/>
    <cellStyle name="Normal 4 4 2 3 6 3 5" xfId="15736" xr:uid="{086AB0FA-4FD7-40B9-B4CE-2438A832D03A}"/>
    <cellStyle name="Normal 4 4 2 3 6 4" xfId="37711" xr:uid="{C3657AD8-5BB6-45CC-B930-8FFC51A76B4B}"/>
    <cellStyle name="Normal 4 4 2 3 6 5" xfId="29263" xr:uid="{C3423393-0D9E-4E72-AD1B-CBED32AE5F70}"/>
    <cellStyle name="Normal 4 4 2 3 6 6" xfId="20816" xr:uid="{4615FC57-3610-41D0-A929-279A58AECDFC}"/>
    <cellStyle name="Normal 4 4 2 3 6 7" xfId="11519" xr:uid="{8017A1B8-14AC-4894-B90F-637D59822C19}"/>
    <cellStyle name="Normal 4 4 2 3 7" xfId="2540" xr:uid="{00000000-0005-0000-0000-00003B150000}"/>
    <cellStyle name="Normal 4 4 2 3 7 2" xfId="6823" xr:uid="{00000000-0005-0000-0000-00003C150000}"/>
    <cellStyle name="Normal 4 4 2 3 7 2 2" xfId="42341" xr:uid="{53E03C81-FDAD-40C5-A36B-799A5E47EA4C}"/>
    <cellStyle name="Normal 4 4 2 3 7 2 3" xfId="33894" xr:uid="{76350832-7029-4150-9FBB-6EAA21F236EC}"/>
    <cellStyle name="Normal 4 4 2 3 7 2 4" xfId="25446" xr:uid="{43832358-C99D-44CE-B23A-130F59E7FFF2}"/>
    <cellStyle name="Normal 4 4 2 3 7 2 5" xfId="16149" xr:uid="{EF0281E9-2E5D-4B8B-9AE6-79E57425D58A}"/>
    <cellStyle name="Normal 4 4 2 3 7 3" xfId="38124" xr:uid="{6FF0BF83-4F7A-4284-B690-A08103E74B17}"/>
    <cellStyle name="Normal 4 4 2 3 7 4" xfId="29676" xr:uid="{9F65D512-A8D4-4074-982B-73C15AECE6C6}"/>
    <cellStyle name="Normal 4 4 2 3 7 5" xfId="21229" xr:uid="{005BBD9B-2D0E-408C-9A90-69FA15D02075}"/>
    <cellStyle name="Normal 4 4 2 3 7 6" xfId="11932" xr:uid="{F246E3A7-3BEA-45FC-B354-6A78727AAF07}"/>
    <cellStyle name="Normal 4 4 2 3 8" xfId="4758" xr:uid="{00000000-0005-0000-0000-00003D150000}"/>
    <cellStyle name="Normal 4 4 2 3 8 2" xfId="40276" xr:uid="{FF14A5C6-04A8-44CE-8903-8B1CCA9D0A78}"/>
    <cellStyle name="Normal 4 4 2 3 8 3" xfId="31829" xr:uid="{368F88C2-758D-417F-B909-8911D41EA082}"/>
    <cellStyle name="Normal 4 4 2 3 8 4" xfId="23381" xr:uid="{8E273E0C-755D-42A6-8B08-EF82E8B6229B}"/>
    <cellStyle name="Normal 4 4 2 3 8 5" xfId="14084" xr:uid="{4021FD0F-B5D1-4DEC-B8D7-43F3AE73ECBA}"/>
    <cellStyle name="Normal 4 4 2 3 9" xfId="8884" xr:uid="{CBA8CCC0-D2E2-46C8-AC83-39734599F615}"/>
    <cellStyle name="Normal 4 4 2 3 9 2" xfId="36059" xr:uid="{11F28156-A493-49A0-81F3-D4260D58BDDF}"/>
    <cellStyle name="Normal 4 4 2 3 9 3" xfId="18207" xr:uid="{F14D7BEB-0BEB-470A-BAA5-6C6FA88E75A6}"/>
    <cellStyle name="Normal 4 4 2 4" xfId="386" xr:uid="{00000000-0005-0000-0000-00003E150000}"/>
    <cellStyle name="Normal 4 4 2 4 10" xfId="19166" xr:uid="{10362689-D041-49AC-A2E9-7E2686A05343}"/>
    <cellStyle name="Normal 4 4 2 4 11" xfId="9869" xr:uid="{B337D902-545B-4C9B-AEDE-F3209C0E016D}"/>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42836" xr:uid="{0166EA38-2AE5-43EB-B1D0-E28B8E7312CB}"/>
    <cellStyle name="Normal 4 4 2 4 2 2 2 3" xfId="34389" xr:uid="{0DBE4C7B-4D21-4552-B3FD-531DEF95DC87}"/>
    <cellStyle name="Normal 4 4 2 4 2 2 2 4" xfId="25941" xr:uid="{D954558B-0EAA-4078-B815-7AC52BF03408}"/>
    <cellStyle name="Normal 4 4 2 4 2 2 2 5" xfId="16644" xr:uid="{40BDA50C-A951-4275-9EAC-C4D952E8EE94}"/>
    <cellStyle name="Normal 4 4 2 4 2 2 3" xfId="38619" xr:uid="{A3B6F093-8C0C-444E-9014-E8E734F99C25}"/>
    <cellStyle name="Normal 4 4 2 4 2 2 4" xfId="30171" xr:uid="{AC8E717A-B0A6-4D92-BCF0-E3B42548AFCF}"/>
    <cellStyle name="Normal 4 4 2 4 2 2 5" xfId="21724" xr:uid="{5C5EAF24-52AB-4B3B-9177-ABE8E598DF7A}"/>
    <cellStyle name="Normal 4 4 2 4 2 2 6" xfId="12427" xr:uid="{FE968AFE-04B3-41BF-82E1-37A95242C46D}"/>
    <cellStyle name="Normal 4 4 2 4 2 3" xfId="5173" xr:uid="{00000000-0005-0000-0000-000042150000}"/>
    <cellStyle name="Normal 4 4 2 4 2 3 2" xfId="40691" xr:uid="{62C2CB2F-1EB9-4016-88AE-7BE6AA1524DC}"/>
    <cellStyle name="Normal 4 4 2 4 2 3 3" xfId="32244" xr:uid="{14A5B23B-538B-47C2-BEB6-D746EBA4AA55}"/>
    <cellStyle name="Normal 4 4 2 4 2 3 4" xfId="23796" xr:uid="{0F50516F-8F8B-4657-89E4-9767E01F8070}"/>
    <cellStyle name="Normal 4 4 2 4 2 3 5" xfId="14499" xr:uid="{21B1BA31-BBB8-46F2-9410-A2185BB9716A}"/>
    <cellStyle name="Normal 4 4 2 4 2 4" xfId="9413" xr:uid="{4DC092EA-7C69-4E02-9FE8-33F62D070F54}"/>
    <cellStyle name="Normal 4 4 2 4 2 4 2" xfId="36474" xr:uid="{36BA9879-DE22-40D7-8D33-F8376A17248D}"/>
    <cellStyle name="Normal 4 4 2 4 2 4 3" xfId="18726" xr:uid="{8BE21F77-80A8-4501-B99B-51A5E497FFD6}"/>
    <cellStyle name="Normal 4 4 2 4 2 5" xfId="28026" xr:uid="{EEC2B58A-83DF-4B48-A344-C50B9BAE886F}"/>
    <cellStyle name="Normal 4 4 2 4 2 6" xfId="19579" xr:uid="{CF0A487F-1EBF-4ECC-87FA-F1C5B2F0EB1A}"/>
    <cellStyle name="Normal 4 4 2 4 2 7" xfId="10282" xr:uid="{FA80CC41-E9F9-47A8-A607-57718D6E367F}"/>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43249" xr:uid="{3CB7F501-9ACC-4F4C-A0A6-C567EEBD01CC}"/>
    <cellStyle name="Normal 4 4 2 4 3 2 2 3" xfId="34802" xr:uid="{5A969B9D-7092-4A6E-8792-1F92866A13E9}"/>
    <cellStyle name="Normal 4 4 2 4 3 2 2 4" xfId="26354" xr:uid="{31175A51-EE9A-443D-A373-F11D932AE30B}"/>
    <cellStyle name="Normal 4 4 2 4 3 2 2 5" xfId="17057" xr:uid="{A1544496-DFB0-4642-8017-09C0FA4C00BC}"/>
    <cellStyle name="Normal 4 4 2 4 3 2 3" xfId="39032" xr:uid="{1AED5217-26D1-4D7F-BFE8-F67B4585B88C}"/>
    <cellStyle name="Normal 4 4 2 4 3 2 4" xfId="30584" xr:uid="{FAEBAA1A-9874-4DD7-9166-8598E242D033}"/>
    <cellStyle name="Normal 4 4 2 4 3 2 5" xfId="22137" xr:uid="{33862A5D-1F24-4B98-A48B-73B87357335A}"/>
    <cellStyle name="Normal 4 4 2 4 3 2 6" xfId="12840" xr:uid="{8A163674-D811-49B0-AB31-D8527B6D6CB9}"/>
    <cellStyle name="Normal 4 4 2 4 3 3" xfId="5586" xr:uid="{00000000-0005-0000-0000-000046150000}"/>
    <cellStyle name="Normal 4 4 2 4 3 3 2" xfId="41104" xr:uid="{0F24C4AA-A553-4ED4-A221-014AB61643C9}"/>
    <cellStyle name="Normal 4 4 2 4 3 3 3" xfId="32657" xr:uid="{AD4D57C4-EAEA-411B-805B-03555B6CD3E6}"/>
    <cellStyle name="Normal 4 4 2 4 3 3 4" xfId="24209" xr:uid="{1DEBAEDB-BDDB-4113-91AB-B06682461426}"/>
    <cellStyle name="Normal 4 4 2 4 3 3 5" xfId="14912" xr:uid="{719EB233-43E0-46AD-9016-98FD8B63E484}"/>
    <cellStyle name="Normal 4 4 2 4 3 4" xfId="36887" xr:uid="{7BB28084-B62E-4AAA-936C-2A908924449E}"/>
    <cellStyle name="Normal 4 4 2 4 3 5" xfId="28439" xr:uid="{5C3D6954-0A18-42BE-B79C-45A7EF440B23}"/>
    <cellStyle name="Normal 4 4 2 4 3 6" xfId="19992" xr:uid="{0E14AC02-35A1-40B9-9A16-69210409C23E}"/>
    <cellStyle name="Normal 4 4 2 4 3 7" xfId="10695" xr:uid="{2A7B1C5E-1AEB-4D04-957C-5D7EC6FA7AED}"/>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43662" xr:uid="{923DC077-048F-4F3B-A2F6-CD78FFC9B1EA}"/>
    <cellStyle name="Normal 4 4 2 4 4 2 2 3" xfId="35215" xr:uid="{37B0EBF7-28B1-46FD-A9C4-B887BDBDC07E}"/>
    <cellStyle name="Normal 4 4 2 4 4 2 2 4" xfId="26767" xr:uid="{99B5CF8D-92DC-42CD-A993-0431DED19DF4}"/>
    <cellStyle name="Normal 4 4 2 4 4 2 2 5" xfId="17470" xr:uid="{A8ABEA9D-12C4-46A2-9FC8-EDE050F42862}"/>
    <cellStyle name="Normal 4 4 2 4 4 2 3" xfId="39445" xr:uid="{CC02C3F5-B0A6-4AC1-BF9F-1847C868EECF}"/>
    <cellStyle name="Normal 4 4 2 4 4 2 4" xfId="30997" xr:uid="{63BC28BC-C28E-4E6B-94CB-50783487231F}"/>
    <cellStyle name="Normal 4 4 2 4 4 2 5" xfId="22550" xr:uid="{5DFD3DF9-D6B2-4E76-805F-DABB748057FA}"/>
    <cellStyle name="Normal 4 4 2 4 4 2 6" xfId="13253" xr:uid="{40F1D51C-A4A3-4F17-8354-8BD41A4CE789}"/>
    <cellStyle name="Normal 4 4 2 4 4 3" xfId="5999" xr:uid="{00000000-0005-0000-0000-00004A150000}"/>
    <cellStyle name="Normal 4 4 2 4 4 3 2" xfId="41517" xr:uid="{859FAFD2-35B1-4C0B-BF14-92E0AE59ECFB}"/>
    <cellStyle name="Normal 4 4 2 4 4 3 3" xfId="33070" xr:uid="{DD22D748-A63A-4EF9-BE50-56162AE111B5}"/>
    <cellStyle name="Normal 4 4 2 4 4 3 4" xfId="24622" xr:uid="{B4F83AC2-238A-42CF-8BF1-CB8C489D262C}"/>
    <cellStyle name="Normal 4 4 2 4 4 3 5" xfId="15325" xr:uid="{840F507D-67C5-46FB-9690-56C6F7886AE6}"/>
    <cellStyle name="Normal 4 4 2 4 4 4" xfId="37300" xr:uid="{339A9866-5321-4F37-A4DA-788F807E79C7}"/>
    <cellStyle name="Normal 4 4 2 4 4 5" xfId="28852" xr:uid="{DFD10ECF-2116-42EE-A1E3-C8036B3D7733}"/>
    <cellStyle name="Normal 4 4 2 4 4 6" xfId="20405" xr:uid="{56B81FC2-36EF-4241-BDC7-A70622A1EAAF}"/>
    <cellStyle name="Normal 4 4 2 4 4 7" xfId="11108" xr:uid="{0D18D2EB-9AD1-4DEB-9A41-4C0B7C6F1101}"/>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44075" xr:uid="{98234627-468D-4F72-AFEE-ED49F2FD4848}"/>
    <cellStyle name="Normal 4 4 2 4 5 2 2 3" xfId="35628" xr:uid="{0CBA7FC3-CC65-4AFE-A39F-A450818326B6}"/>
    <cellStyle name="Normal 4 4 2 4 5 2 2 4" xfId="27180" xr:uid="{888514F5-0311-4D49-8AD5-74B0CF70DCB5}"/>
    <cellStyle name="Normal 4 4 2 4 5 2 2 5" xfId="17883" xr:uid="{071650D6-F17E-42FB-9D5F-A7F54F0A1555}"/>
    <cellStyle name="Normal 4 4 2 4 5 2 3" xfId="39858" xr:uid="{E46DF112-9ED2-4E3F-BD85-9662F6F0B2A3}"/>
    <cellStyle name="Normal 4 4 2 4 5 2 4" xfId="31410" xr:uid="{F2514DA2-18F7-4140-BDE0-10C4EFC8CD20}"/>
    <cellStyle name="Normal 4 4 2 4 5 2 5" xfId="22963" xr:uid="{8762BAED-F624-4629-B17A-A96852AD4996}"/>
    <cellStyle name="Normal 4 4 2 4 5 2 6" xfId="13666" xr:uid="{10EFB76D-5BBD-4D54-8445-3C39211C8D84}"/>
    <cellStyle name="Normal 4 4 2 4 5 3" xfId="6412" xr:uid="{00000000-0005-0000-0000-00004E150000}"/>
    <cellStyle name="Normal 4 4 2 4 5 3 2" xfId="41930" xr:uid="{AD004BE8-11FD-4CE4-B667-74D50A0CDC56}"/>
    <cellStyle name="Normal 4 4 2 4 5 3 3" xfId="33483" xr:uid="{A00D20B2-7404-48CF-9150-8CB13932ABF7}"/>
    <cellStyle name="Normal 4 4 2 4 5 3 4" xfId="25035" xr:uid="{7208D512-6F49-495F-9849-9481DE2A1AB3}"/>
    <cellStyle name="Normal 4 4 2 4 5 3 5" xfId="15738" xr:uid="{331AA2FC-F08A-4DCC-9C5F-B54A4F565835}"/>
    <cellStyle name="Normal 4 4 2 4 5 4" xfId="37713" xr:uid="{1C7D068F-BF66-4B2F-82AD-E74DDF61A10C}"/>
    <cellStyle name="Normal 4 4 2 4 5 5" xfId="29265" xr:uid="{2940328D-23E5-4186-B111-A692DEA1F49B}"/>
    <cellStyle name="Normal 4 4 2 4 5 6" xfId="20818" xr:uid="{5043DB6D-8CF7-4643-BB5D-4F60DBDCDBA7}"/>
    <cellStyle name="Normal 4 4 2 4 5 7" xfId="11521" xr:uid="{F9ADFF51-4383-4E2E-9128-E2EA7ECE4785}"/>
    <cellStyle name="Normal 4 4 2 4 6" xfId="2542" xr:uid="{00000000-0005-0000-0000-00004F150000}"/>
    <cellStyle name="Normal 4 4 2 4 6 2" xfId="6825" xr:uid="{00000000-0005-0000-0000-000050150000}"/>
    <cellStyle name="Normal 4 4 2 4 6 2 2" xfId="42343" xr:uid="{875E05D0-F378-4523-B11F-15B01C17CC15}"/>
    <cellStyle name="Normal 4 4 2 4 6 2 3" xfId="33896" xr:uid="{79E4E8ED-8E5B-4575-9957-0423F47380E7}"/>
    <cellStyle name="Normal 4 4 2 4 6 2 4" xfId="25448" xr:uid="{311753D4-D06B-417B-8A6A-79D1D909D9CA}"/>
    <cellStyle name="Normal 4 4 2 4 6 2 5" xfId="16151" xr:uid="{3CCEFB00-988D-435D-80F5-4E09265E8CB9}"/>
    <cellStyle name="Normal 4 4 2 4 6 3" xfId="38126" xr:uid="{26577756-4832-43AF-A435-25693B2648FC}"/>
    <cellStyle name="Normal 4 4 2 4 6 4" xfId="29678" xr:uid="{9606A9A8-F6EB-4222-A347-499DFBB900D5}"/>
    <cellStyle name="Normal 4 4 2 4 6 5" xfId="21231" xr:uid="{B2628FEE-0DAC-4911-9304-D655EBB77025}"/>
    <cellStyle name="Normal 4 4 2 4 6 6" xfId="11934" xr:uid="{ED33D7D8-98AD-441D-9916-B8FCBAC7F1B2}"/>
    <cellStyle name="Normal 4 4 2 4 7" xfId="4760" xr:uid="{00000000-0005-0000-0000-000051150000}"/>
    <cellStyle name="Normal 4 4 2 4 7 2" xfId="40278" xr:uid="{C7634439-7161-4CBB-AE2E-B794E8658BEA}"/>
    <cellStyle name="Normal 4 4 2 4 7 3" xfId="31831" xr:uid="{7D2364DF-BA5B-494F-B379-724C2B103444}"/>
    <cellStyle name="Normal 4 4 2 4 7 4" xfId="23383" xr:uid="{F35BE57A-E6AD-48D6-8A4B-72EC6BD5EDC6}"/>
    <cellStyle name="Normal 4 4 2 4 7 5" xfId="14086" xr:uid="{56299EA6-979F-4E19-AB70-A150BEA3DF4E}"/>
    <cellStyle name="Normal 4 4 2 4 8" xfId="8988" xr:uid="{F852E7B0-7ACD-4401-B3B6-BE989A5C8AD5}"/>
    <cellStyle name="Normal 4 4 2 4 8 2" xfId="36061" xr:uid="{42387295-0FD5-46F0-84CA-50F786DF901A}"/>
    <cellStyle name="Normal 4 4 2 4 8 3" xfId="18311" xr:uid="{8884F535-1ECB-4C6B-AD2E-530E21E1C565}"/>
    <cellStyle name="Normal 4 4 2 4 9" xfId="27613" xr:uid="{899B2A98-CE58-45C6-9012-57A0E18C6949}"/>
    <cellStyle name="Normal 4 4 2 5" xfId="854" xr:uid="{00000000-0005-0000-0000-000052150000}"/>
    <cellStyle name="Normal 4 4 2 5 2" xfId="3089" xr:uid="{00000000-0005-0000-0000-000053150000}"/>
    <cellStyle name="Normal 4 4 2 5 2 2" xfId="7311" xr:uid="{00000000-0005-0000-0000-000054150000}"/>
    <cellStyle name="Normal 4 4 2 5 2 2 2" xfId="42829" xr:uid="{A4492798-C938-4C1B-85BC-C81CC4FD9547}"/>
    <cellStyle name="Normal 4 4 2 5 2 2 3" xfId="34382" xr:uid="{D1A4072B-7C85-42A0-9A4F-307A80EB26C6}"/>
    <cellStyle name="Normal 4 4 2 5 2 2 4" xfId="25934" xr:uid="{6F67D371-E56A-4ECE-B50E-AFAE6F50642E}"/>
    <cellStyle name="Normal 4 4 2 5 2 2 5" xfId="16637" xr:uid="{2E08AAB6-FD85-4848-8FB1-E04264565AB1}"/>
    <cellStyle name="Normal 4 4 2 5 2 3" xfId="38612" xr:uid="{C5DA1DD5-34BD-4E88-8541-3B3A7D52152B}"/>
    <cellStyle name="Normal 4 4 2 5 2 4" xfId="30164" xr:uid="{20252388-EE24-4DEA-8107-5505E2B3C536}"/>
    <cellStyle name="Normal 4 4 2 5 2 5" xfId="21717" xr:uid="{E3045759-5298-4024-A93F-7805C9BF871B}"/>
    <cellStyle name="Normal 4 4 2 5 2 6" xfId="12420" xr:uid="{D0D19625-54F1-41CF-A193-FB1BF8115912}"/>
    <cellStyle name="Normal 4 4 2 5 3" xfId="5166" xr:uid="{00000000-0005-0000-0000-000055150000}"/>
    <cellStyle name="Normal 4 4 2 5 3 2" xfId="40684" xr:uid="{EEEA267D-11B5-4CDE-809D-ACD870D057B0}"/>
    <cellStyle name="Normal 4 4 2 5 3 3" xfId="32237" xr:uid="{E6C9018C-8632-41A9-BABE-FD7E6F9C044B}"/>
    <cellStyle name="Normal 4 4 2 5 3 4" xfId="23789" xr:uid="{CE288AE7-2CCF-40DD-B62E-F4D01EA88B66}"/>
    <cellStyle name="Normal 4 4 2 5 3 5" xfId="14492" xr:uid="{C3073053-9701-4898-81B6-DC7A25C701CC}"/>
    <cellStyle name="Normal 4 4 2 5 4" xfId="9205" xr:uid="{A63DE01D-3EC8-40FC-A47E-E0EA001EED52}"/>
    <cellStyle name="Normal 4 4 2 5 4 2" xfId="36467" xr:uid="{4D20C2AD-93DB-4276-9B38-2115B308147F}"/>
    <cellStyle name="Normal 4 4 2 5 4 3" xfId="18519" xr:uid="{A01BF409-A938-479B-8648-0CFFE1F862A9}"/>
    <cellStyle name="Normal 4 4 2 5 5" xfId="28019" xr:uid="{565D87F6-7DD9-4F40-98E6-6063DE855D22}"/>
    <cellStyle name="Normal 4 4 2 5 6" xfId="19572" xr:uid="{04916289-ABA8-40C2-BBF9-566818E90291}"/>
    <cellStyle name="Normal 4 4 2 5 7" xfId="10275" xr:uid="{39ACFEED-61CA-4AAE-86DE-AE11A61F6EB3}"/>
    <cellStyle name="Normal 4 4 2 6" xfId="1272" xr:uid="{00000000-0005-0000-0000-000056150000}"/>
    <cellStyle name="Normal 4 4 2 6 2" xfId="3502" xr:uid="{00000000-0005-0000-0000-000057150000}"/>
    <cellStyle name="Normal 4 4 2 6 2 2" xfId="7724" xr:uid="{00000000-0005-0000-0000-000058150000}"/>
    <cellStyle name="Normal 4 4 2 6 2 2 2" xfId="43242" xr:uid="{6CD132F9-29C2-4A8A-81CB-6BC1C4D5D74F}"/>
    <cellStyle name="Normal 4 4 2 6 2 2 3" xfId="34795" xr:uid="{79078825-B576-4065-AF9E-56918D949FCF}"/>
    <cellStyle name="Normal 4 4 2 6 2 2 4" xfId="26347" xr:uid="{9AC810E3-DA3B-48E5-BF50-3035EDB36912}"/>
    <cellStyle name="Normal 4 4 2 6 2 2 5" xfId="17050" xr:uid="{B89C4805-7346-487B-9770-597A953B9A22}"/>
    <cellStyle name="Normal 4 4 2 6 2 3" xfId="39025" xr:uid="{8F9E0DDA-981C-4AB8-8461-DC79E4EA95FF}"/>
    <cellStyle name="Normal 4 4 2 6 2 4" xfId="30577" xr:uid="{4F5C9E0B-3722-475B-8C73-52A0587B8984}"/>
    <cellStyle name="Normal 4 4 2 6 2 5" xfId="22130" xr:uid="{249B02A1-B1A3-419D-8F7C-E4422C08FB3A}"/>
    <cellStyle name="Normal 4 4 2 6 2 6" xfId="12833" xr:uid="{DCB47D1A-FECB-4843-A74F-9A0A9BE71D29}"/>
    <cellStyle name="Normal 4 4 2 6 3" xfId="5579" xr:uid="{00000000-0005-0000-0000-000059150000}"/>
    <cellStyle name="Normal 4 4 2 6 3 2" xfId="41097" xr:uid="{DB7D47DC-40C3-40AB-B855-215667DF2422}"/>
    <cellStyle name="Normal 4 4 2 6 3 3" xfId="32650" xr:uid="{D4B8E02B-75AA-4072-BCE0-FA726151F970}"/>
    <cellStyle name="Normal 4 4 2 6 3 4" xfId="24202" xr:uid="{33191698-A85A-497E-B01D-0F22FE11398D}"/>
    <cellStyle name="Normal 4 4 2 6 3 5" xfId="14905" xr:uid="{78053836-C89B-45AB-A48E-33347CE7C665}"/>
    <cellStyle name="Normal 4 4 2 6 4" xfId="36880" xr:uid="{CC33EB7A-C663-4EED-BF5D-7192501D49A3}"/>
    <cellStyle name="Normal 4 4 2 6 5" xfId="28432" xr:uid="{2DFCF019-FE1A-4904-90B4-0168217F5956}"/>
    <cellStyle name="Normal 4 4 2 6 6" xfId="19985" xr:uid="{4A875FD0-A1ED-43E7-AC62-3DCABF0B50A6}"/>
    <cellStyle name="Normal 4 4 2 6 7" xfId="10688" xr:uid="{EB0342B2-DD5D-4FB3-B5EB-306356377F12}"/>
    <cellStyle name="Normal 4 4 2 7" xfId="1685" xr:uid="{00000000-0005-0000-0000-00005A150000}"/>
    <cellStyle name="Normal 4 4 2 7 2" xfId="3915" xr:uid="{00000000-0005-0000-0000-00005B150000}"/>
    <cellStyle name="Normal 4 4 2 7 2 2" xfId="8137" xr:uid="{00000000-0005-0000-0000-00005C150000}"/>
    <cellStyle name="Normal 4 4 2 7 2 2 2" xfId="43655" xr:uid="{BE0A5737-74FD-4922-943D-1F7AA0571CF3}"/>
    <cellStyle name="Normal 4 4 2 7 2 2 3" xfId="35208" xr:uid="{C71964C8-D77E-4350-B184-60B9D093B195}"/>
    <cellStyle name="Normal 4 4 2 7 2 2 4" xfId="26760" xr:uid="{8700236F-F86B-4234-A7C5-AF89E135EC02}"/>
    <cellStyle name="Normal 4 4 2 7 2 2 5" xfId="17463" xr:uid="{EB748214-88BB-4DC2-B0BA-97DFE3E69D83}"/>
    <cellStyle name="Normal 4 4 2 7 2 3" xfId="39438" xr:uid="{836B498F-754F-42DE-9A9C-FB1E1D8849B6}"/>
    <cellStyle name="Normal 4 4 2 7 2 4" xfId="30990" xr:uid="{6E8C1BB7-8617-4088-8710-71491371A3E7}"/>
    <cellStyle name="Normal 4 4 2 7 2 5" xfId="22543" xr:uid="{EA2395FC-F225-4FB1-980C-73003CD06205}"/>
    <cellStyle name="Normal 4 4 2 7 2 6" xfId="13246" xr:uid="{A2472E0D-408A-4ACB-B348-FB0A0C1723BB}"/>
    <cellStyle name="Normal 4 4 2 7 3" xfId="5992" xr:uid="{00000000-0005-0000-0000-00005D150000}"/>
    <cellStyle name="Normal 4 4 2 7 3 2" xfId="41510" xr:uid="{AA15C35D-32E9-4E02-9243-130DA8A53F4F}"/>
    <cellStyle name="Normal 4 4 2 7 3 3" xfId="33063" xr:uid="{3CE588B5-DF12-4647-9786-5D2D51B99BD1}"/>
    <cellStyle name="Normal 4 4 2 7 3 4" xfId="24615" xr:uid="{FCCDECF8-C501-40E6-93FC-2CC0A5E924A2}"/>
    <cellStyle name="Normal 4 4 2 7 3 5" xfId="15318" xr:uid="{C862DFAF-F9B2-4630-85B7-129CD62204B3}"/>
    <cellStyle name="Normal 4 4 2 7 4" xfId="37293" xr:uid="{38BE1C78-0708-4C4C-B14D-68B42E6FC0E4}"/>
    <cellStyle name="Normal 4 4 2 7 5" xfId="28845" xr:uid="{B057ADDD-A7F6-420A-AF84-DF1053F9A203}"/>
    <cellStyle name="Normal 4 4 2 7 6" xfId="20398" xr:uid="{38E0AABD-3B48-40E1-B360-0C9B4B09ED9B}"/>
    <cellStyle name="Normal 4 4 2 7 7" xfId="11101" xr:uid="{EA55450F-3738-4490-8A12-25C17A3A39CF}"/>
    <cellStyle name="Normal 4 4 2 8" xfId="2099" xr:uid="{00000000-0005-0000-0000-00005E150000}"/>
    <cellStyle name="Normal 4 4 2 8 2" xfId="4328" xr:uid="{00000000-0005-0000-0000-00005F150000}"/>
    <cellStyle name="Normal 4 4 2 8 2 2" xfId="8550" xr:uid="{00000000-0005-0000-0000-000060150000}"/>
    <cellStyle name="Normal 4 4 2 8 2 2 2" xfId="44068" xr:uid="{85C88C1F-399E-49CB-844A-B6DA15997565}"/>
    <cellStyle name="Normal 4 4 2 8 2 2 3" xfId="35621" xr:uid="{5E4AF697-E378-4747-B6EA-90B8C8CB9061}"/>
    <cellStyle name="Normal 4 4 2 8 2 2 4" xfId="27173" xr:uid="{3FBB0012-4A1C-47A8-9CEA-2F73771BB1E5}"/>
    <cellStyle name="Normal 4 4 2 8 2 2 5" xfId="17876" xr:uid="{97A6A77A-3CCE-47AA-A7C7-C4D5A7402B1E}"/>
    <cellStyle name="Normal 4 4 2 8 2 3" xfId="39851" xr:uid="{7A09AA5E-800F-4910-BAB4-E3282554E891}"/>
    <cellStyle name="Normal 4 4 2 8 2 4" xfId="31403" xr:uid="{E0F9BA0D-27E0-4539-8D5B-0C83E134BB78}"/>
    <cellStyle name="Normal 4 4 2 8 2 5" xfId="22956" xr:uid="{36C6457E-815C-411B-9A5B-F637CF486924}"/>
    <cellStyle name="Normal 4 4 2 8 2 6" xfId="13659" xr:uid="{A6298DC2-0460-4BF8-BD8C-7090B7B776E3}"/>
    <cellStyle name="Normal 4 4 2 8 3" xfId="6405" xr:uid="{00000000-0005-0000-0000-000061150000}"/>
    <cellStyle name="Normal 4 4 2 8 3 2" xfId="41923" xr:uid="{AE2F5268-07C2-455A-A2A5-2180FF6DF47A}"/>
    <cellStyle name="Normal 4 4 2 8 3 3" xfId="33476" xr:uid="{9F8027A5-446A-4290-AB6A-F77DC67BDCFA}"/>
    <cellStyle name="Normal 4 4 2 8 3 4" xfId="25028" xr:uid="{E603FCA5-28AE-46E1-9C63-D8F81E76BDEA}"/>
    <cellStyle name="Normal 4 4 2 8 3 5" xfId="15731" xr:uid="{33E53027-CA12-4503-8A37-F86693F2152A}"/>
    <cellStyle name="Normal 4 4 2 8 4" xfId="37706" xr:uid="{00B7D96B-338C-466C-8C0B-8F0253EEA136}"/>
    <cellStyle name="Normal 4 4 2 8 5" xfId="29258" xr:uid="{EF5462FD-274E-4B55-AFDE-A89309A38D71}"/>
    <cellStyle name="Normal 4 4 2 8 6" xfId="20811" xr:uid="{4B90351F-F9F7-4872-A4BC-BA5D34567237}"/>
    <cellStyle name="Normal 4 4 2 8 7" xfId="11514" xr:uid="{AC55615C-4DB7-4712-9356-F5B80E6EEF60}"/>
    <cellStyle name="Normal 4 4 2 9" xfId="2535" xr:uid="{00000000-0005-0000-0000-000062150000}"/>
    <cellStyle name="Normal 4 4 2 9 2" xfId="6818" xr:uid="{00000000-0005-0000-0000-000063150000}"/>
    <cellStyle name="Normal 4 4 2 9 2 2" xfId="42336" xr:uid="{80E2785A-93CC-4899-99BE-6EFDE66A4FB8}"/>
    <cellStyle name="Normal 4 4 2 9 2 3" xfId="33889" xr:uid="{F8BF51A0-9A7A-47B1-B0A6-AEF050840725}"/>
    <cellStyle name="Normal 4 4 2 9 2 4" xfId="25441" xr:uid="{6051D302-611F-4CD7-A849-3772A80765FA}"/>
    <cellStyle name="Normal 4 4 2 9 2 5" xfId="16144" xr:uid="{0BC38A62-F6BA-420F-A42D-C6A41A9C0F63}"/>
    <cellStyle name="Normal 4 4 2 9 3" xfId="38119" xr:uid="{29F05D1C-0868-402A-AB14-E56C214A79E3}"/>
    <cellStyle name="Normal 4 4 2 9 4" xfId="29671" xr:uid="{5FD6F4D1-3E20-4D5C-BD1F-0035E0EF3A88}"/>
    <cellStyle name="Normal 4 4 2 9 5" xfId="21224" xr:uid="{56437F35-6875-4E9B-98B2-A3A1AD152B7E}"/>
    <cellStyle name="Normal 4 4 2 9 6" xfId="11927" xr:uid="{8F376779-27AF-4344-9154-34B26D460E7A}"/>
    <cellStyle name="Normal 4 4 3" xfId="387" xr:uid="{00000000-0005-0000-0000-000064150000}"/>
    <cellStyle name="Normal 4 4 3 10" xfId="8823" xr:uid="{E623F102-F69B-4FD0-BEDA-A1480AF4D892}"/>
    <cellStyle name="Normal 4 4 3 10 2" xfId="36062" xr:uid="{3CE8BDDB-EBC9-4BDF-ABC6-BE3BCF7D226B}"/>
    <cellStyle name="Normal 4 4 3 10 3" xfId="18146" xr:uid="{716796E3-AEE3-4AF2-B78C-E2F2A62B554F}"/>
    <cellStyle name="Normal 4 4 3 11" xfId="27614" xr:uid="{2A4EE0B3-E82B-4943-B851-5D7942211674}"/>
    <cellStyle name="Normal 4 4 3 12" xfId="19167" xr:uid="{C0E69C2D-5B45-45BE-9EF7-96CAC6FD4E90}"/>
    <cellStyle name="Normal 4 4 3 13" xfId="9870" xr:uid="{17B3418F-4356-4A9B-A166-72D71CC70012}"/>
    <cellStyle name="Normal 4 4 3 2" xfId="388" xr:uid="{00000000-0005-0000-0000-000065150000}"/>
    <cellStyle name="Normal 4 4 3 2 10" xfId="27615" xr:uid="{B5DA18A9-76D9-46F3-9F9E-4B10AA57C105}"/>
    <cellStyle name="Normal 4 4 3 2 11" xfId="19168" xr:uid="{E6BD01B2-683A-4C0C-8CD2-E53B4E3BF0A9}"/>
    <cellStyle name="Normal 4 4 3 2 12" xfId="9871" xr:uid="{B5C0908D-82F6-4AA0-B75E-02CC477580EF}"/>
    <cellStyle name="Normal 4 4 3 2 2" xfId="389" xr:uid="{00000000-0005-0000-0000-000066150000}"/>
    <cellStyle name="Normal 4 4 3 2 2 10" xfId="19169" xr:uid="{5D680159-AC33-4398-87B2-60218C595FA1}"/>
    <cellStyle name="Normal 4 4 3 2 2 11" xfId="9872" xr:uid="{196BEBDC-B378-4BA5-BEB2-C8F919F286FB}"/>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42839" xr:uid="{3426B32F-283D-4E49-A67A-A974005E34CD}"/>
    <cellStyle name="Normal 4 4 3 2 2 2 2 2 3" xfId="34392" xr:uid="{C22D2893-FB77-4CF1-BB0E-91B3FCD7A4A4}"/>
    <cellStyle name="Normal 4 4 3 2 2 2 2 2 4" xfId="25944" xr:uid="{1217B4DF-5D2E-4F75-BEB7-7CD424C0D895}"/>
    <cellStyle name="Normal 4 4 3 2 2 2 2 2 5" xfId="16647" xr:uid="{C691DD59-ABF1-4F16-B481-00C0E4EB37C0}"/>
    <cellStyle name="Normal 4 4 3 2 2 2 2 3" xfId="38622" xr:uid="{141FB49D-313F-4B77-B260-5358CD43CEA0}"/>
    <cellStyle name="Normal 4 4 3 2 2 2 2 4" xfId="30174" xr:uid="{621F7AC3-77DA-4667-8F8E-1AC5B9FCDD88}"/>
    <cellStyle name="Normal 4 4 3 2 2 2 2 5" xfId="21727" xr:uid="{47BB46F9-41B6-4FB3-83B7-F77998355516}"/>
    <cellStyle name="Normal 4 4 3 2 2 2 2 6" xfId="12430" xr:uid="{C9007180-814B-4116-8E95-1BFB7A713B22}"/>
    <cellStyle name="Normal 4 4 3 2 2 2 3" xfId="5176" xr:uid="{00000000-0005-0000-0000-00006A150000}"/>
    <cellStyle name="Normal 4 4 3 2 2 2 3 2" xfId="40694" xr:uid="{3BEBB313-B8E5-4DB9-8023-CFC8322C4865}"/>
    <cellStyle name="Normal 4 4 3 2 2 2 3 3" xfId="32247" xr:uid="{5405BD6D-14CC-4AAF-96F2-BEB65EBDCED7}"/>
    <cellStyle name="Normal 4 4 3 2 2 2 3 4" xfId="23799" xr:uid="{3E5FFAF6-F344-4628-8A15-265FF8A09C95}"/>
    <cellStyle name="Normal 4 4 3 2 2 2 3 5" xfId="14502" xr:uid="{0333F84B-A5C3-49FF-87B8-6E8B8992D463}"/>
    <cellStyle name="Normal 4 4 3 2 2 2 4" xfId="9558" xr:uid="{8C9519E6-5920-473D-9749-EC61E4877632}"/>
    <cellStyle name="Normal 4 4 3 2 2 2 4 2" xfId="36477" xr:uid="{07087114-E5F8-4B12-8650-5E35BC8E13A2}"/>
    <cellStyle name="Normal 4 4 3 2 2 2 4 3" xfId="18871" xr:uid="{C13B5C41-CE9D-46F9-A4E0-D76BCEEFEDF2}"/>
    <cellStyle name="Normal 4 4 3 2 2 2 5" xfId="28029" xr:uid="{96198B41-B114-4976-B2A3-B49C5E098C83}"/>
    <cellStyle name="Normal 4 4 3 2 2 2 6" xfId="19582" xr:uid="{6E6EFCE6-6757-4138-A1F3-55609398D75F}"/>
    <cellStyle name="Normal 4 4 3 2 2 2 7" xfId="10285" xr:uid="{13C305C0-51BD-4B99-9091-EB020FA0D51D}"/>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43252" xr:uid="{73339FAE-B0D4-44F2-BEB6-A36ACB8D625E}"/>
    <cellStyle name="Normal 4 4 3 2 2 3 2 2 3" xfId="34805" xr:uid="{2C4BB4C8-C65A-4E56-B27A-03B4213DF830}"/>
    <cellStyle name="Normal 4 4 3 2 2 3 2 2 4" xfId="26357" xr:uid="{EEC9E9B6-3B51-4783-8CDB-CDE1756FAF42}"/>
    <cellStyle name="Normal 4 4 3 2 2 3 2 2 5" xfId="17060" xr:uid="{031525B4-8AFB-4212-9B92-9E11B9E41527}"/>
    <cellStyle name="Normal 4 4 3 2 2 3 2 3" xfId="39035" xr:uid="{F8AE3DD4-5E6E-47F1-BFD2-6B1BFC276CBB}"/>
    <cellStyle name="Normal 4 4 3 2 2 3 2 4" xfId="30587" xr:uid="{3E3627C5-FC1B-4B4B-8143-F781774B4F23}"/>
    <cellStyle name="Normal 4 4 3 2 2 3 2 5" xfId="22140" xr:uid="{E83AFC88-5EFE-4B32-B65A-D8403F531D2A}"/>
    <cellStyle name="Normal 4 4 3 2 2 3 2 6" xfId="12843" xr:uid="{3CC1A551-685A-4C7E-9D76-D1BBBE34F9A7}"/>
    <cellStyle name="Normal 4 4 3 2 2 3 3" xfId="5589" xr:uid="{00000000-0005-0000-0000-00006E150000}"/>
    <cellStyle name="Normal 4 4 3 2 2 3 3 2" xfId="41107" xr:uid="{44BD5438-A150-454C-8BC2-6C329276E5E1}"/>
    <cellStyle name="Normal 4 4 3 2 2 3 3 3" xfId="32660" xr:uid="{7CB19FA8-025C-48FB-B077-27FFBAA0313F}"/>
    <cellStyle name="Normal 4 4 3 2 2 3 3 4" xfId="24212" xr:uid="{94CF8447-0D62-495A-BF35-00D21824EF18}"/>
    <cellStyle name="Normal 4 4 3 2 2 3 3 5" xfId="14915" xr:uid="{413B452D-A586-4E4E-AF5D-B7B2D313DB47}"/>
    <cellStyle name="Normal 4 4 3 2 2 3 4" xfId="36890" xr:uid="{284665D5-BCC7-44CA-A4FA-611FB45EEBF6}"/>
    <cellStyle name="Normal 4 4 3 2 2 3 5" xfId="28442" xr:uid="{95120FD0-069C-4FDF-93E8-1378AFE5B3C3}"/>
    <cellStyle name="Normal 4 4 3 2 2 3 6" xfId="19995" xr:uid="{B3E39DBD-9490-4213-8666-EB03C9666145}"/>
    <cellStyle name="Normal 4 4 3 2 2 3 7" xfId="10698" xr:uid="{EBDB8E01-82D7-450C-A442-F019FF504284}"/>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43665" xr:uid="{B795D2A2-5D6B-47E1-AB3C-66DD1CA8E26E}"/>
    <cellStyle name="Normal 4 4 3 2 2 4 2 2 3" xfId="35218" xr:uid="{E641BCD6-89DD-42E5-BE27-57C80B2F8533}"/>
    <cellStyle name="Normal 4 4 3 2 2 4 2 2 4" xfId="26770" xr:uid="{C6ABDDD4-E265-411E-8C4F-E58833084E3F}"/>
    <cellStyle name="Normal 4 4 3 2 2 4 2 2 5" xfId="17473" xr:uid="{D79C1C03-2CC9-4884-829C-0B6AC19F23F0}"/>
    <cellStyle name="Normal 4 4 3 2 2 4 2 3" xfId="39448" xr:uid="{5EB011B3-D5F1-467B-BD81-4BC8B6EDECBD}"/>
    <cellStyle name="Normal 4 4 3 2 2 4 2 4" xfId="31000" xr:uid="{67E79230-87DD-423E-BCC4-EA3193CD1155}"/>
    <cellStyle name="Normal 4 4 3 2 2 4 2 5" xfId="22553" xr:uid="{F78E381D-4FBF-49B3-9141-FCC6CF052561}"/>
    <cellStyle name="Normal 4 4 3 2 2 4 2 6" xfId="13256" xr:uid="{BCBD085E-353A-4B89-9EF2-771186588588}"/>
    <cellStyle name="Normal 4 4 3 2 2 4 3" xfId="6002" xr:uid="{00000000-0005-0000-0000-000072150000}"/>
    <cellStyle name="Normal 4 4 3 2 2 4 3 2" xfId="41520" xr:uid="{28058046-7557-48A1-B1B3-7C2874A38AF0}"/>
    <cellStyle name="Normal 4 4 3 2 2 4 3 3" xfId="33073" xr:uid="{B02044BE-91AE-42D9-8045-9FEA5A83E5EA}"/>
    <cellStyle name="Normal 4 4 3 2 2 4 3 4" xfId="24625" xr:uid="{0A38C711-E99A-4482-A462-61582602D832}"/>
    <cellStyle name="Normal 4 4 3 2 2 4 3 5" xfId="15328" xr:uid="{0B1B6209-4FC3-4FF5-B30A-B8EE40D8F895}"/>
    <cellStyle name="Normal 4 4 3 2 2 4 4" xfId="37303" xr:uid="{0D2F85A4-99C9-49FC-BA91-6DCE82430F59}"/>
    <cellStyle name="Normal 4 4 3 2 2 4 5" xfId="28855" xr:uid="{413EBA7E-7147-44C6-98F7-33BACC653501}"/>
    <cellStyle name="Normal 4 4 3 2 2 4 6" xfId="20408" xr:uid="{71EC2E4C-16B8-4E7D-A094-3AA65705D151}"/>
    <cellStyle name="Normal 4 4 3 2 2 4 7" xfId="11111" xr:uid="{042DA05F-E54E-46F7-AC0E-B74A7F3B7A5D}"/>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44078" xr:uid="{B8A05884-E437-405B-86D1-D0F19E9D0A32}"/>
    <cellStyle name="Normal 4 4 3 2 2 5 2 2 3" xfId="35631" xr:uid="{F37446D1-AD55-47B5-9406-59A7CED92EA2}"/>
    <cellStyle name="Normal 4 4 3 2 2 5 2 2 4" xfId="27183" xr:uid="{EAAE86B1-4218-49AD-AA8E-6D78CF65351A}"/>
    <cellStyle name="Normal 4 4 3 2 2 5 2 2 5" xfId="17886" xr:uid="{B6EFE3A2-6C41-40FD-85C8-1D9F9319C870}"/>
    <cellStyle name="Normal 4 4 3 2 2 5 2 3" xfId="39861" xr:uid="{E398ECB4-6E79-461F-A188-8B571DC2EBBD}"/>
    <cellStyle name="Normal 4 4 3 2 2 5 2 4" xfId="31413" xr:uid="{075A928A-AC50-4333-856B-B1FFE3728787}"/>
    <cellStyle name="Normal 4 4 3 2 2 5 2 5" xfId="22966" xr:uid="{16DC4BFB-3DE8-44A4-B8CD-8DFCC7E5893D}"/>
    <cellStyle name="Normal 4 4 3 2 2 5 2 6" xfId="13669" xr:uid="{CBC12121-3A5E-4F4C-8FE0-80BD0356411C}"/>
    <cellStyle name="Normal 4 4 3 2 2 5 3" xfId="6415" xr:uid="{00000000-0005-0000-0000-000076150000}"/>
    <cellStyle name="Normal 4 4 3 2 2 5 3 2" xfId="41933" xr:uid="{6AA805AC-6BDF-40F0-93FC-55D31C7FFE96}"/>
    <cellStyle name="Normal 4 4 3 2 2 5 3 3" xfId="33486" xr:uid="{231AFF7E-D49B-470C-A67D-194545D325D9}"/>
    <cellStyle name="Normal 4 4 3 2 2 5 3 4" xfId="25038" xr:uid="{1B37781B-F9F7-4210-950F-325F7E72CE87}"/>
    <cellStyle name="Normal 4 4 3 2 2 5 3 5" xfId="15741" xr:uid="{B67A0034-C310-446B-8169-CB9F5D0A4B5E}"/>
    <cellStyle name="Normal 4 4 3 2 2 5 4" xfId="37716" xr:uid="{FE3D36CA-2BA1-4293-9CFA-1298E3AD1124}"/>
    <cellStyle name="Normal 4 4 3 2 2 5 5" xfId="29268" xr:uid="{B4476687-19E3-4464-AED3-4461D297CF96}"/>
    <cellStyle name="Normal 4 4 3 2 2 5 6" xfId="20821" xr:uid="{D861D6CC-7245-473C-B977-5453FA2746D1}"/>
    <cellStyle name="Normal 4 4 3 2 2 5 7" xfId="11524" xr:uid="{61DB041C-392C-4882-84BD-9205A37B2FD3}"/>
    <cellStyle name="Normal 4 4 3 2 2 6" xfId="2545" xr:uid="{00000000-0005-0000-0000-000077150000}"/>
    <cellStyle name="Normal 4 4 3 2 2 6 2" xfId="6828" xr:uid="{00000000-0005-0000-0000-000078150000}"/>
    <cellStyle name="Normal 4 4 3 2 2 6 2 2" xfId="42346" xr:uid="{9A622426-F65E-4BC8-AF43-64B584953B1B}"/>
    <cellStyle name="Normal 4 4 3 2 2 6 2 3" xfId="33899" xr:uid="{78A7F9C8-C82F-472D-9D2E-2E6EDA909370}"/>
    <cellStyle name="Normal 4 4 3 2 2 6 2 4" xfId="25451" xr:uid="{55F8F5D5-7CD5-4FF7-AE74-51940413BA1F}"/>
    <cellStyle name="Normal 4 4 3 2 2 6 2 5" xfId="16154" xr:uid="{A1A88733-B9D1-49E5-9B8B-711A3BA333A8}"/>
    <cellStyle name="Normal 4 4 3 2 2 6 3" xfId="38129" xr:uid="{8E12FC2A-A8C2-4191-BC93-B7AAE530009F}"/>
    <cellStyle name="Normal 4 4 3 2 2 6 4" xfId="29681" xr:uid="{60CBBE64-5A45-4CDF-80DC-BE9610FF65DA}"/>
    <cellStyle name="Normal 4 4 3 2 2 6 5" xfId="21234" xr:uid="{0AB61B0E-1422-4D7A-B93D-1DEDF894FFA0}"/>
    <cellStyle name="Normal 4 4 3 2 2 6 6" xfId="11937" xr:uid="{95BA13BF-D1B7-4C7F-BE43-CBC47E70450E}"/>
    <cellStyle name="Normal 4 4 3 2 2 7" xfId="4763" xr:uid="{00000000-0005-0000-0000-000079150000}"/>
    <cellStyle name="Normal 4 4 3 2 2 7 2" xfId="40281" xr:uid="{F64F224F-5095-4DA6-A45D-05E0E37734F0}"/>
    <cellStyle name="Normal 4 4 3 2 2 7 3" xfId="31834" xr:uid="{0BA32603-81E9-4EC8-AAFF-5C0EBEF60C32}"/>
    <cellStyle name="Normal 4 4 3 2 2 7 4" xfId="23386" xr:uid="{2E74B8FC-E5EC-41E8-9C37-79A57A45587E}"/>
    <cellStyle name="Normal 4 4 3 2 2 7 5" xfId="14089" xr:uid="{BE1F944B-751E-4847-AD5E-20FC5AC2968F}"/>
    <cellStyle name="Normal 4 4 3 2 2 8" xfId="9133" xr:uid="{37002A66-D58A-4EF9-8D22-8F1A3EE99E08}"/>
    <cellStyle name="Normal 4 4 3 2 2 8 2" xfId="36064" xr:uid="{101A4D23-463B-4C20-B95F-7224A439ECA5}"/>
    <cellStyle name="Normal 4 4 3 2 2 8 3" xfId="18456" xr:uid="{788ECD60-FC10-425A-8DA9-82965D064A50}"/>
    <cellStyle name="Normal 4 4 3 2 2 9" xfId="27616" xr:uid="{5A26627D-6622-436C-BD89-08907D25F2CF}"/>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42838" xr:uid="{0952CC1C-E966-490F-8B60-891A8D652F2F}"/>
    <cellStyle name="Normal 4 4 3 2 3 2 2 3" xfId="34391" xr:uid="{EF53ADC1-BC5F-45AE-9204-6CC27DB5CCEE}"/>
    <cellStyle name="Normal 4 4 3 2 3 2 2 4" xfId="25943" xr:uid="{26C7A5DF-2AEA-44D4-9209-93CB557214F2}"/>
    <cellStyle name="Normal 4 4 3 2 3 2 2 5" xfId="16646" xr:uid="{ABE6573E-BC46-4688-AD0C-2AF57479E76A}"/>
    <cellStyle name="Normal 4 4 3 2 3 2 3" xfId="38621" xr:uid="{3C258792-482B-49B9-90B3-2BAC89D2DF3C}"/>
    <cellStyle name="Normal 4 4 3 2 3 2 4" xfId="30173" xr:uid="{255196F2-F7DF-46A4-B44C-582B2FA05CCA}"/>
    <cellStyle name="Normal 4 4 3 2 3 2 5" xfId="21726" xr:uid="{F6D35E03-053B-41E6-8421-DE7AAAF2DF2A}"/>
    <cellStyle name="Normal 4 4 3 2 3 2 6" xfId="12429" xr:uid="{B773C2BF-57BA-4E70-8FA1-389074FBDB0B}"/>
    <cellStyle name="Normal 4 4 3 2 3 3" xfId="5175" xr:uid="{00000000-0005-0000-0000-00007D150000}"/>
    <cellStyle name="Normal 4 4 3 2 3 3 2" xfId="40693" xr:uid="{F3206619-7B5B-4546-9487-75A7F48F4B9D}"/>
    <cellStyle name="Normal 4 4 3 2 3 3 3" xfId="32246" xr:uid="{67AB1358-EF3D-4C9C-A54B-2EF2E643090B}"/>
    <cellStyle name="Normal 4 4 3 2 3 3 4" xfId="23798" xr:uid="{57B86047-FBB9-4D32-B1C3-D6CE77580AB2}"/>
    <cellStyle name="Normal 4 4 3 2 3 3 5" xfId="14501" xr:uid="{531B430F-EF24-437A-9673-1F7A7BBF7E0E}"/>
    <cellStyle name="Normal 4 4 3 2 3 4" xfId="9351" xr:uid="{51AD2B95-755A-411D-AA40-98381F5D8294}"/>
    <cellStyle name="Normal 4 4 3 2 3 4 2" xfId="36476" xr:uid="{58D26819-09B0-4A35-BC99-00A1F301DACC}"/>
    <cellStyle name="Normal 4 4 3 2 3 4 3" xfId="18664" xr:uid="{0073B912-714C-4D10-BA03-EADEE3983AC1}"/>
    <cellStyle name="Normal 4 4 3 2 3 5" xfId="28028" xr:uid="{6ECD9BED-150C-4B89-AE1E-58C18B90DF9D}"/>
    <cellStyle name="Normal 4 4 3 2 3 6" xfId="19581" xr:uid="{E35262F3-8655-4F0C-905A-53A23182CD49}"/>
    <cellStyle name="Normal 4 4 3 2 3 7" xfId="10284" xr:uid="{A6EFB694-7B95-4C95-AA32-CCEB39141B1C}"/>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43251" xr:uid="{1A4919E2-84F2-4260-B211-6522646AE45A}"/>
    <cellStyle name="Normal 4 4 3 2 4 2 2 3" xfId="34804" xr:uid="{BF24A6B4-9C67-41C7-944C-0811E05E182D}"/>
    <cellStyle name="Normal 4 4 3 2 4 2 2 4" xfId="26356" xr:uid="{A708986A-78AE-4117-8211-A01F59EAB718}"/>
    <cellStyle name="Normal 4 4 3 2 4 2 2 5" xfId="17059" xr:uid="{1434C7FF-17FA-47A1-8894-85A9BE7258DD}"/>
    <cellStyle name="Normal 4 4 3 2 4 2 3" xfId="39034" xr:uid="{5BEF8445-7342-48B9-B5A4-497360BA8211}"/>
    <cellStyle name="Normal 4 4 3 2 4 2 4" xfId="30586" xr:uid="{FDB11A38-91BB-4184-A58C-6D71A72EF95E}"/>
    <cellStyle name="Normal 4 4 3 2 4 2 5" xfId="22139" xr:uid="{1891FC1A-83F0-46BE-AD13-E17FBC7A5ABE}"/>
    <cellStyle name="Normal 4 4 3 2 4 2 6" xfId="12842" xr:uid="{848A01D3-4AD5-4CCD-B125-197C81F5EECA}"/>
    <cellStyle name="Normal 4 4 3 2 4 3" xfId="5588" xr:uid="{00000000-0005-0000-0000-000081150000}"/>
    <cellStyle name="Normal 4 4 3 2 4 3 2" xfId="41106" xr:uid="{5F1D30F4-121A-46F1-B158-1EA6B55B1AA2}"/>
    <cellStyle name="Normal 4 4 3 2 4 3 3" xfId="32659" xr:uid="{53BC3285-31EF-4FF8-9B2C-11F4D3104611}"/>
    <cellStyle name="Normal 4 4 3 2 4 3 4" xfId="24211" xr:uid="{4CFA1D22-8B71-4C74-BB49-3233DD872DF7}"/>
    <cellStyle name="Normal 4 4 3 2 4 3 5" xfId="14914" xr:uid="{CE9B4C3D-EC6F-4EF3-966A-7E59B03FAD8D}"/>
    <cellStyle name="Normal 4 4 3 2 4 4" xfId="36889" xr:uid="{A5B9B6EE-8742-4687-AFC5-5AC33CEBA733}"/>
    <cellStyle name="Normal 4 4 3 2 4 5" xfId="28441" xr:uid="{0264F469-319C-4A2D-8552-54E537C56160}"/>
    <cellStyle name="Normal 4 4 3 2 4 6" xfId="19994" xr:uid="{387A0127-8F0A-46F7-AB16-B0E70287A09B}"/>
    <cellStyle name="Normal 4 4 3 2 4 7" xfId="10697" xr:uid="{DD0796F0-A8E0-4AAD-8D8C-9F897A399CE9}"/>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43664" xr:uid="{5F04F9DD-96FC-42E1-B01F-F337BDF4101F}"/>
    <cellStyle name="Normal 4 4 3 2 5 2 2 3" xfId="35217" xr:uid="{3375C455-9481-4F21-A76D-B94ADB94D01F}"/>
    <cellStyle name="Normal 4 4 3 2 5 2 2 4" xfId="26769" xr:uid="{146BE256-C02B-42FA-BB4A-290F9D50D9F2}"/>
    <cellStyle name="Normal 4 4 3 2 5 2 2 5" xfId="17472" xr:uid="{ABF0910C-F2D4-4778-ABB8-BC1F728E1148}"/>
    <cellStyle name="Normal 4 4 3 2 5 2 3" xfId="39447" xr:uid="{419ED72B-4774-4E1A-8BA8-5AA7C9261F28}"/>
    <cellStyle name="Normal 4 4 3 2 5 2 4" xfId="30999" xr:uid="{6BFDEADB-5C48-495E-A435-2AF27336431C}"/>
    <cellStyle name="Normal 4 4 3 2 5 2 5" xfId="22552" xr:uid="{D5F25A14-5BBD-4EAC-8EA6-9D5B76FD9195}"/>
    <cellStyle name="Normal 4 4 3 2 5 2 6" xfId="13255" xr:uid="{6546B369-6B48-4209-B9BE-D5ADDDBAA87B}"/>
    <cellStyle name="Normal 4 4 3 2 5 3" xfId="6001" xr:uid="{00000000-0005-0000-0000-000085150000}"/>
    <cellStyle name="Normal 4 4 3 2 5 3 2" xfId="41519" xr:uid="{1BBD560D-5544-4383-8C12-C91E12A0ECAF}"/>
    <cellStyle name="Normal 4 4 3 2 5 3 3" xfId="33072" xr:uid="{D8368ACD-4E18-444A-AB85-8179EA56E5D4}"/>
    <cellStyle name="Normal 4 4 3 2 5 3 4" xfId="24624" xr:uid="{0566BC29-D9D6-4D1B-88E7-F4A424604A71}"/>
    <cellStyle name="Normal 4 4 3 2 5 3 5" xfId="15327" xr:uid="{B3958AEB-2022-4090-A7F5-63B1CFD0CDA0}"/>
    <cellStyle name="Normal 4 4 3 2 5 4" xfId="37302" xr:uid="{27CFAD91-818B-4E0B-BA75-DFA53E3D9E15}"/>
    <cellStyle name="Normal 4 4 3 2 5 5" xfId="28854" xr:uid="{E10F1E67-E55A-4A81-A6B5-B2D182A499DC}"/>
    <cellStyle name="Normal 4 4 3 2 5 6" xfId="20407" xr:uid="{34171271-AFD6-4521-9AFB-E3BC23725E63}"/>
    <cellStyle name="Normal 4 4 3 2 5 7" xfId="11110" xr:uid="{5988B057-BDFC-4CC4-9294-44C58627593A}"/>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44077" xr:uid="{BB65B534-E281-416A-8379-D5457AD23D14}"/>
    <cellStyle name="Normal 4 4 3 2 6 2 2 3" xfId="35630" xr:uid="{D23E52A3-53FC-4766-91A6-1E7C4AEE7975}"/>
    <cellStyle name="Normal 4 4 3 2 6 2 2 4" xfId="27182" xr:uid="{9AA384E0-2F64-451F-8BC0-F9EF36F75672}"/>
    <cellStyle name="Normal 4 4 3 2 6 2 2 5" xfId="17885" xr:uid="{1DBE1D7E-7968-4E18-B2CB-0B5DE1AD5FA9}"/>
    <cellStyle name="Normal 4 4 3 2 6 2 3" xfId="39860" xr:uid="{273D39FB-D6F0-4F5C-A963-B18E3DDE2ED0}"/>
    <cellStyle name="Normal 4 4 3 2 6 2 4" xfId="31412" xr:uid="{3ABA0D6F-DAB9-447A-A50D-2AC29033DD46}"/>
    <cellStyle name="Normal 4 4 3 2 6 2 5" xfId="22965" xr:uid="{D9AA6FE2-8BAA-4DCE-A195-FE251F64DDC2}"/>
    <cellStyle name="Normal 4 4 3 2 6 2 6" xfId="13668" xr:uid="{D7B3E4E0-D3BE-404E-BA15-F159BE4C5B24}"/>
    <cellStyle name="Normal 4 4 3 2 6 3" xfId="6414" xr:uid="{00000000-0005-0000-0000-000089150000}"/>
    <cellStyle name="Normal 4 4 3 2 6 3 2" xfId="41932" xr:uid="{4B6670AB-EB0F-426B-A540-C8283C5E7EE8}"/>
    <cellStyle name="Normal 4 4 3 2 6 3 3" xfId="33485" xr:uid="{AF1CE036-470D-4B1D-A0FF-33E92B2F1208}"/>
    <cellStyle name="Normal 4 4 3 2 6 3 4" xfId="25037" xr:uid="{8CE800FE-AE43-4BDB-8DFF-2C468CCB11DF}"/>
    <cellStyle name="Normal 4 4 3 2 6 3 5" xfId="15740" xr:uid="{BF578C78-5D2C-4C15-B9B8-C3C7395B2699}"/>
    <cellStyle name="Normal 4 4 3 2 6 4" xfId="37715" xr:uid="{DDE35137-8693-417C-9124-F74C22001997}"/>
    <cellStyle name="Normal 4 4 3 2 6 5" xfId="29267" xr:uid="{96D61DC3-BB40-4BA0-A40F-3674C8AA8B53}"/>
    <cellStyle name="Normal 4 4 3 2 6 6" xfId="20820" xr:uid="{7E77F324-C22C-4C0F-A1B0-6B03EA93DE68}"/>
    <cellStyle name="Normal 4 4 3 2 6 7" xfId="11523" xr:uid="{0504DBD1-5BBF-4D07-A9FF-FC648E7A8C66}"/>
    <cellStyle name="Normal 4 4 3 2 7" xfId="2544" xr:uid="{00000000-0005-0000-0000-00008A150000}"/>
    <cellStyle name="Normal 4 4 3 2 7 2" xfId="6827" xr:uid="{00000000-0005-0000-0000-00008B150000}"/>
    <cellStyle name="Normal 4 4 3 2 7 2 2" xfId="42345" xr:uid="{EA6799BF-209F-49D3-9EAA-AF482014D390}"/>
    <cellStyle name="Normal 4 4 3 2 7 2 3" xfId="33898" xr:uid="{3CB752BB-8D0A-4C17-BD4E-B3CF9D6ABCB2}"/>
    <cellStyle name="Normal 4 4 3 2 7 2 4" xfId="25450" xr:uid="{990359D8-3F48-4D9E-959E-F11951A1262A}"/>
    <cellStyle name="Normal 4 4 3 2 7 2 5" xfId="16153" xr:uid="{CFBFD340-6FAD-414F-9005-3DA1173ED13D}"/>
    <cellStyle name="Normal 4 4 3 2 7 3" xfId="38128" xr:uid="{DA41F18A-973F-42FD-84E9-F0DB80D012B2}"/>
    <cellStyle name="Normal 4 4 3 2 7 4" xfId="29680" xr:uid="{D49ADCBB-05BD-44F6-8207-9EF92447B41E}"/>
    <cellStyle name="Normal 4 4 3 2 7 5" xfId="21233" xr:uid="{F6CAE836-F4A3-4323-BCCB-EB110F85339A}"/>
    <cellStyle name="Normal 4 4 3 2 7 6" xfId="11936" xr:uid="{A4CF3DB6-AFF7-4AA3-8DDC-824FF93C7754}"/>
    <cellStyle name="Normal 4 4 3 2 8" xfId="4762" xr:uid="{00000000-0005-0000-0000-00008C150000}"/>
    <cellStyle name="Normal 4 4 3 2 8 2" xfId="40280" xr:uid="{2D666B54-4441-4F14-9121-06AC9DDA3CD0}"/>
    <cellStyle name="Normal 4 4 3 2 8 3" xfId="31833" xr:uid="{924C926D-5B25-47DE-8FD7-60441433E491}"/>
    <cellStyle name="Normal 4 4 3 2 8 4" xfId="23385" xr:uid="{94BA0724-7872-4FE7-8DE4-08126BB66EEC}"/>
    <cellStyle name="Normal 4 4 3 2 8 5" xfId="14088" xr:uid="{E93BFD23-6674-478D-85C2-1807DB78F391}"/>
    <cellStyle name="Normal 4 4 3 2 9" xfId="8926" xr:uid="{821D1F47-EF8D-4C64-BA70-5606A81A57B5}"/>
    <cellStyle name="Normal 4 4 3 2 9 2" xfId="36063" xr:uid="{33FED0F1-1A22-435D-8DB9-883D43AFAB5B}"/>
    <cellStyle name="Normal 4 4 3 2 9 3" xfId="18249" xr:uid="{919252D7-17B3-43CA-AA25-6F31901EE25F}"/>
    <cellStyle name="Normal 4 4 3 3" xfId="390" xr:uid="{00000000-0005-0000-0000-00008D150000}"/>
    <cellStyle name="Normal 4 4 3 3 10" xfId="19170" xr:uid="{171731CC-D32D-48BD-98C9-8B06E627C91D}"/>
    <cellStyle name="Normal 4 4 3 3 11" xfId="9873" xr:uid="{9B6F7CCE-255E-4FCC-A20E-6F4F9141ED9F}"/>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42840" xr:uid="{7C344A48-8187-4544-8AAC-16A2D6485573}"/>
    <cellStyle name="Normal 4 4 3 3 2 2 2 3" xfId="34393" xr:uid="{70D2B940-1CF2-45E4-91EE-0A888EF4BE22}"/>
    <cellStyle name="Normal 4 4 3 3 2 2 2 4" xfId="25945" xr:uid="{31632541-C276-46E2-9800-B09A9EAD8E42}"/>
    <cellStyle name="Normal 4 4 3 3 2 2 2 5" xfId="16648" xr:uid="{D2EA710E-2AD5-4A61-9579-D4C24813158A}"/>
    <cellStyle name="Normal 4 4 3 3 2 2 3" xfId="38623" xr:uid="{568C2992-1DC2-473C-A7F3-84149D1F9791}"/>
    <cellStyle name="Normal 4 4 3 3 2 2 4" xfId="30175" xr:uid="{99D520E1-D0EE-4601-9D16-117C42EB90F3}"/>
    <cellStyle name="Normal 4 4 3 3 2 2 5" xfId="21728" xr:uid="{AABC8690-3629-4F18-8A29-D5A3048BFB87}"/>
    <cellStyle name="Normal 4 4 3 3 2 2 6" xfId="12431" xr:uid="{D28C66F5-1366-4F4E-A27E-CB85FA2B338A}"/>
    <cellStyle name="Normal 4 4 3 3 2 3" xfId="5177" xr:uid="{00000000-0005-0000-0000-000091150000}"/>
    <cellStyle name="Normal 4 4 3 3 2 3 2" xfId="40695" xr:uid="{78FBF11F-47AD-4388-B281-0C01D94622C2}"/>
    <cellStyle name="Normal 4 4 3 3 2 3 3" xfId="32248" xr:uid="{1718138E-B447-4D31-B817-06EDFA8A227E}"/>
    <cellStyle name="Normal 4 4 3 3 2 3 4" xfId="23800" xr:uid="{A2D8359F-E966-496A-B8DF-97F442F4D1B1}"/>
    <cellStyle name="Normal 4 4 3 3 2 3 5" xfId="14503" xr:uid="{1C47FB75-D1FC-40CC-8F77-DD26F1804463}"/>
    <cellStyle name="Normal 4 4 3 3 2 4" xfId="9455" xr:uid="{E39EB3A2-D99A-426C-AFEC-E4C90C85BE02}"/>
    <cellStyle name="Normal 4 4 3 3 2 4 2" xfId="36478" xr:uid="{8689258E-0C98-4420-9F2E-FFA5ED395174}"/>
    <cellStyle name="Normal 4 4 3 3 2 4 3" xfId="18768" xr:uid="{94ED613A-D931-4589-83AA-23975EF7A6D1}"/>
    <cellStyle name="Normal 4 4 3 3 2 5" xfId="28030" xr:uid="{D75EC99E-0BDC-4AF0-98F6-EEDA94A98280}"/>
    <cellStyle name="Normal 4 4 3 3 2 6" xfId="19583" xr:uid="{6A0112BD-16D4-450E-BF73-8E7C1420436E}"/>
    <cellStyle name="Normal 4 4 3 3 2 7" xfId="10286" xr:uid="{AE8A578E-185F-4178-80D0-E0585E26F320}"/>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43253" xr:uid="{251B659E-8E82-45BF-A062-3CF1EF7C7DAE}"/>
    <cellStyle name="Normal 4 4 3 3 3 2 2 3" xfId="34806" xr:uid="{C26186FF-83B1-43AA-8109-E8D81CAFF0BE}"/>
    <cellStyle name="Normal 4 4 3 3 3 2 2 4" xfId="26358" xr:uid="{74134514-1DC7-4CA9-A3FD-104B636456D4}"/>
    <cellStyle name="Normal 4 4 3 3 3 2 2 5" xfId="17061" xr:uid="{1B049A8F-7A3A-465A-A263-33C7811B0A42}"/>
    <cellStyle name="Normal 4 4 3 3 3 2 3" xfId="39036" xr:uid="{B4B75980-BD16-4FB2-8EE9-E443A76A19A0}"/>
    <cellStyle name="Normal 4 4 3 3 3 2 4" xfId="30588" xr:uid="{C9907B6B-C1F3-49CA-BA33-A4A1F271A1AB}"/>
    <cellStyle name="Normal 4 4 3 3 3 2 5" xfId="22141" xr:uid="{CE1D736B-CB87-41B7-89AB-2AE4450457AB}"/>
    <cellStyle name="Normal 4 4 3 3 3 2 6" xfId="12844" xr:uid="{E29AB5EA-8DBF-4196-BA82-5B4C02F4FBAC}"/>
    <cellStyle name="Normal 4 4 3 3 3 3" xfId="5590" xr:uid="{00000000-0005-0000-0000-000095150000}"/>
    <cellStyle name="Normal 4 4 3 3 3 3 2" xfId="41108" xr:uid="{298EF355-03B5-4AC5-B272-6323F20EA068}"/>
    <cellStyle name="Normal 4 4 3 3 3 3 3" xfId="32661" xr:uid="{58EA20F5-EFED-478F-ADCE-12850A62BED6}"/>
    <cellStyle name="Normal 4 4 3 3 3 3 4" xfId="24213" xr:uid="{B19C084C-AA05-4E50-9FAF-FC3561913F49}"/>
    <cellStyle name="Normal 4 4 3 3 3 3 5" xfId="14916" xr:uid="{52C68097-9D2A-42E6-8D2D-DB3DB17C5B70}"/>
    <cellStyle name="Normal 4 4 3 3 3 4" xfId="36891" xr:uid="{65F4A3A2-7B5D-4559-A726-6B69ABE9AA34}"/>
    <cellStyle name="Normal 4 4 3 3 3 5" xfId="28443" xr:uid="{B10EB3EC-3B0F-4C16-B6C8-E0077E45B96E}"/>
    <cellStyle name="Normal 4 4 3 3 3 6" xfId="19996" xr:uid="{FD7D1E64-28B9-4B51-A60F-B47BAE424F94}"/>
    <cellStyle name="Normal 4 4 3 3 3 7" xfId="10699" xr:uid="{4C23BD94-5610-4EB6-9E4E-3B114785920A}"/>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43666" xr:uid="{392896BB-4746-4459-8697-F73A287A8F3C}"/>
    <cellStyle name="Normal 4 4 3 3 4 2 2 3" xfId="35219" xr:uid="{AF3E311F-90DC-40FE-A960-8B449A6CBAC9}"/>
    <cellStyle name="Normal 4 4 3 3 4 2 2 4" xfId="26771" xr:uid="{3F185781-CB21-41DB-893F-6CB7F1D19F85}"/>
    <cellStyle name="Normal 4 4 3 3 4 2 2 5" xfId="17474" xr:uid="{CEEF5684-86BF-4875-9180-55FF43E449EA}"/>
    <cellStyle name="Normal 4 4 3 3 4 2 3" xfId="39449" xr:uid="{D50F29F0-78FD-43CD-BD78-8A2FD2CD71C9}"/>
    <cellStyle name="Normal 4 4 3 3 4 2 4" xfId="31001" xr:uid="{8A2C3082-25D6-43D0-9027-A7DDB6A8B192}"/>
    <cellStyle name="Normal 4 4 3 3 4 2 5" xfId="22554" xr:uid="{1B7A662B-A2A5-41B5-AD95-B4434ABD632B}"/>
    <cellStyle name="Normal 4 4 3 3 4 2 6" xfId="13257" xr:uid="{FD111F90-61E7-453E-96C2-9F4031C4C75B}"/>
    <cellStyle name="Normal 4 4 3 3 4 3" xfId="6003" xr:uid="{00000000-0005-0000-0000-000099150000}"/>
    <cellStyle name="Normal 4 4 3 3 4 3 2" xfId="41521" xr:uid="{2431C633-A800-43D7-926F-C9E4E605E2CF}"/>
    <cellStyle name="Normal 4 4 3 3 4 3 3" xfId="33074" xr:uid="{C238188D-4264-43CB-ABE3-A74F462F9A08}"/>
    <cellStyle name="Normal 4 4 3 3 4 3 4" xfId="24626" xr:uid="{003D178A-2D99-427A-B149-7DAC2FA86478}"/>
    <cellStyle name="Normal 4 4 3 3 4 3 5" xfId="15329" xr:uid="{BC58633E-A9CC-4457-A3E9-1940239F5D6C}"/>
    <cellStyle name="Normal 4 4 3 3 4 4" xfId="37304" xr:uid="{172FB2C9-F81D-47EA-913C-8568333C7959}"/>
    <cellStyle name="Normal 4 4 3 3 4 5" xfId="28856" xr:uid="{6FB29ABC-BD8C-4F95-A74A-81E5728B7750}"/>
    <cellStyle name="Normal 4 4 3 3 4 6" xfId="20409" xr:uid="{3FFB8C75-6D60-4163-AB5C-C019E856595A}"/>
    <cellStyle name="Normal 4 4 3 3 4 7" xfId="11112" xr:uid="{BABF8CFD-1839-4188-BCD4-4F937DF524F1}"/>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44079" xr:uid="{F326DDDB-7751-4F2A-8020-24D98AEFFFCE}"/>
    <cellStyle name="Normal 4 4 3 3 5 2 2 3" xfId="35632" xr:uid="{11349F4E-26B5-4428-ACB3-CF63703E7FFB}"/>
    <cellStyle name="Normal 4 4 3 3 5 2 2 4" xfId="27184" xr:uid="{10712477-5860-4149-8829-8E55DF2C62FF}"/>
    <cellStyle name="Normal 4 4 3 3 5 2 2 5" xfId="17887" xr:uid="{7D026793-4C9B-4306-A985-81E57E4D5DB2}"/>
    <cellStyle name="Normal 4 4 3 3 5 2 3" xfId="39862" xr:uid="{57B1CE1E-D10F-4646-A79D-68DC4A2B5F2A}"/>
    <cellStyle name="Normal 4 4 3 3 5 2 4" xfId="31414" xr:uid="{0CC57AF7-0490-409A-97AB-05D5E1463BE3}"/>
    <cellStyle name="Normal 4 4 3 3 5 2 5" xfId="22967" xr:uid="{3FA0A8B6-61EE-4DA9-8B1D-3E8FB15C94A1}"/>
    <cellStyle name="Normal 4 4 3 3 5 2 6" xfId="13670" xr:uid="{D573AEE6-1F3A-4F6C-A2A2-F792CEDA36D1}"/>
    <cellStyle name="Normal 4 4 3 3 5 3" xfId="6416" xr:uid="{00000000-0005-0000-0000-00009D150000}"/>
    <cellStyle name="Normal 4 4 3 3 5 3 2" xfId="41934" xr:uid="{0DCABD28-6F61-4C51-BDEB-CEE838B3A466}"/>
    <cellStyle name="Normal 4 4 3 3 5 3 3" xfId="33487" xr:uid="{3761C1B1-5BB3-4095-B952-DB3D00CC358D}"/>
    <cellStyle name="Normal 4 4 3 3 5 3 4" xfId="25039" xr:uid="{D13273F6-D473-4722-8810-4E7A2C8638F6}"/>
    <cellStyle name="Normal 4 4 3 3 5 3 5" xfId="15742" xr:uid="{7DAE1E8C-A176-480D-B139-7E329580D88D}"/>
    <cellStyle name="Normal 4 4 3 3 5 4" xfId="37717" xr:uid="{8A45A069-7183-4D92-B5AE-F8EE0A967D18}"/>
    <cellStyle name="Normal 4 4 3 3 5 5" xfId="29269" xr:uid="{BAF884BB-F214-47D8-BD5C-CC39B4E129DA}"/>
    <cellStyle name="Normal 4 4 3 3 5 6" xfId="20822" xr:uid="{13AA463A-F6F8-4875-84E7-1B46FBE63AD6}"/>
    <cellStyle name="Normal 4 4 3 3 5 7" xfId="11525" xr:uid="{C5DB4B58-0DD9-4DEC-8040-ECAAAF9E9E76}"/>
    <cellStyle name="Normal 4 4 3 3 6" xfId="2546" xr:uid="{00000000-0005-0000-0000-00009E150000}"/>
    <cellStyle name="Normal 4 4 3 3 6 2" xfId="6829" xr:uid="{00000000-0005-0000-0000-00009F150000}"/>
    <cellStyle name="Normal 4 4 3 3 6 2 2" xfId="42347" xr:uid="{FCF084BB-0A93-45E1-BCFF-05EF0AAD9FAD}"/>
    <cellStyle name="Normal 4 4 3 3 6 2 3" xfId="33900" xr:uid="{0E25C6C6-4DD4-4BAD-89A1-A5AA2E5FD0CD}"/>
    <cellStyle name="Normal 4 4 3 3 6 2 4" xfId="25452" xr:uid="{7836D269-839C-46CD-BDDD-FE8A33B4C8C5}"/>
    <cellStyle name="Normal 4 4 3 3 6 2 5" xfId="16155" xr:uid="{3BEC7C9C-3483-4E66-A48D-B48D9AAED416}"/>
    <cellStyle name="Normal 4 4 3 3 6 3" xfId="38130" xr:uid="{527A39EA-7A27-4F49-8AF3-0331256CB336}"/>
    <cellStyle name="Normal 4 4 3 3 6 4" xfId="29682" xr:uid="{95FBCDAC-FADB-4267-9BD3-59FEB1E408B0}"/>
    <cellStyle name="Normal 4 4 3 3 6 5" xfId="21235" xr:uid="{B9297EA2-2D73-48A0-A1AF-92F4552D4470}"/>
    <cellStyle name="Normal 4 4 3 3 6 6" xfId="11938" xr:uid="{16725294-3659-48F5-8AA9-F08E54843A7D}"/>
    <cellStyle name="Normal 4 4 3 3 7" xfId="4764" xr:uid="{00000000-0005-0000-0000-0000A0150000}"/>
    <cellStyle name="Normal 4 4 3 3 7 2" xfId="40282" xr:uid="{758CF9BB-FC91-4B88-8CC3-47F1CE52775C}"/>
    <cellStyle name="Normal 4 4 3 3 7 3" xfId="31835" xr:uid="{46FE18A8-C3A5-4E8D-9B99-B0A61969F4B6}"/>
    <cellStyle name="Normal 4 4 3 3 7 4" xfId="23387" xr:uid="{F8C3E72D-C5B0-4837-A5C9-53D0B3A71279}"/>
    <cellStyle name="Normal 4 4 3 3 7 5" xfId="14090" xr:uid="{DAC9AD77-D318-4C8D-A3B7-2D76622D10EF}"/>
    <cellStyle name="Normal 4 4 3 3 8" xfId="9030" xr:uid="{F975DAAD-4546-4770-9976-5C5C66DA227B}"/>
    <cellStyle name="Normal 4 4 3 3 8 2" xfId="36065" xr:uid="{4D7DDA5B-F453-4286-AE34-6C968E05F63B}"/>
    <cellStyle name="Normal 4 4 3 3 8 3" xfId="18353" xr:uid="{0CD78A8E-1479-4124-827D-D2B06B7196E5}"/>
    <cellStyle name="Normal 4 4 3 3 9" xfId="27617" xr:uid="{EC0F7E5D-BDDB-4B13-9627-7852400F7961}"/>
    <cellStyle name="Normal 4 4 3 4" xfId="862" xr:uid="{00000000-0005-0000-0000-0000A1150000}"/>
    <cellStyle name="Normal 4 4 3 4 2" xfId="3097" xr:uid="{00000000-0005-0000-0000-0000A2150000}"/>
    <cellStyle name="Normal 4 4 3 4 2 2" xfId="7319" xr:uid="{00000000-0005-0000-0000-0000A3150000}"/>
    <cellStyle name="Normal 4 4 3 4 2 2 2" xfId="42837" xr:uid="{938707A0-43F6-4D25-9FF3-32488C781CB3}"/>
    <cellStyle name="Normal 4 4 3 4 2 2 3" xfId="34390" xr:uid="{1D9B609C-68FE-43B5-BF8C-ED8A8AAB4AEE}"/>
    <cellStyle name="Normal 4 4 3 4 2 2 4" xfId="25942" xr:uid="{E3EF866B-A4D0-4B8E-854F-CCF6B3FFDA24}"/>
    <cellStyle name="Normal 4 4 3 4 2 2 5" xfId="16645" xr:uid="{641028AB-DEDB-48BA-A999-FCB1D0D57EE4}"/>
    <cellStyle name="Normal 4 4 3 4 2 3" xfId="38620" xr:uid="{EF75855F-4656-44B7-ABE2-DAFAC43A975C}"/>
    <cellStyle name="Normal 4 4 3 4 2 4" xfId="30172" xr:uid="{E1D46A01-FEBC-46BE-AA2E-B52DA6D8D3FB}"/>
    <cellStyle name="Normal 4 4 3 4 2 5" xfId="21725" xr:uid="{AD0922AD-299E-4A23-8295-C352C8552CF3}"/>
    <cellStyle name="Normal 4 4 3 4 2 6" xfId="12428" xr:uid="{18B6020B-562E-431A-8AA8-A5D34421380B}"/>
    <cellStyle name="Normal 4 4 3 4 3" xfId="5174" xr:uid="{00000000-0005-0000-0000-0000A4150000}"/>
    <cellStyle name="Normal 4 4 3 4 3 2" xfId="40692" xr:uid="{AB93AB4B-F999-4DFC-AB18-CD5B6A2F60AF}"/>
    <cellStyle name="Normal 4 4 3 4 3 3" xfId="32245" xr:uid="{3C6C6B34-4673-4E08-A76A-9343C5315947}"/>
    <cellStyle name="Normal 4 4 3 4 3 4" xfId="23797" xr:uid="{C19D68E2-133A-4BF7-A8D1-D9BD5F071D5E}"/>
    <cellStyle name="Normal 4 4 3 4 3 5" xfId="14500" xr:uid="{E4A2320E-F1B6-41AD-8A72-881D731E7FBA}"/>
    <cellStyle name="Normal 4 4 3 4 4" xfId="9248" xr:uid="{6C5F877B-48E6-47C2-B849-E53F373D5A86}"/>
    <cellStyle name="Normal 4 4 3 4 4 2" xfId="36475" xr:uid="{6092E5D4-CE81-44E0-8AEB-AA61DC9A42DF}"/>
    <cellStyle name="Normal 4 4 3 4 4 3" xfId="18561" xr:uid="{01FBD91C-D934-414F-A151-1F31A6D43D7C}"/>
    <cellStyle name="Normal 4 4 3 4 5" xfId="28027" xr:uid="{DD8AB6A0-9842-4156-91BF-E0EF72DB8B98}"/>
    <cellStyle name="Normal 4 4 3 4 6" xfId="19580" xr:uid="{6F2D07EA-CC07-498E-AB1A-D0B7D68253C2}"/>
    <cellStyle name="Normal 4 4 3 4 7" xfId="10283" xr:uid="{805E27A1-CF8C-48B1-AAEC-BBB4F9A62BC9}"/>
    <cellStyle name="Normal 4 4 3 5" xfId="1280" xr:uid="{00000000-0005-0000-0000-0000A5150000}"/>
    <cellStyle name="Normal 4 4 3 5 2" xfId="3510" xr:uid="{00000000-0005-0000-0000-0000A6150000}"/>
    <cellStyle name="Normal 4 4 3 5 2 2" xfId="7732" xr:uid="{00000000-0005-0000-0000-0000A7150000}"/>
    <cellStyle name="Normal 4 4 3 5 2 2 2" xfId="43250" xr:uid="{FC4C927B-67B4-44A7-826E-86D31F8FD203}"/>
    <cellStyle name="Normal 4 4 3 5 2 2 3" xfId="34803" xr:uid="{42D2E45E-14AC-4BF7-A481-57D78CA29F57}"/>
    <cellStyle name="Normal 4 4 3 5 2 2 4" xfId="26355" xr:uid="{F7EFD224-D9FB-4687-908C-A213C519569B}"/>
    <cellStyle name="Normal 4 4 3 5 2 2 5" xfId="17058" xr:uid="{006BAAC1-EFC6-46D8-BC4B-8A7EA840017C}"/>
    <cellStyle name="Normal 4 4 3 5 2 3" xfId="39033" xr:uid="{7D527E72-05B7-4E21-973C-3FD3F3913CF8}"/>
    <cellStyle name="Normal 4 4 3 5 2 4" xfId="30585" xr:uid="{B4D1CCF3-B7A4-4AE2-99AC-474E82CCD98A}"/>
    <cellStyle name="Normal 4 4 3 5 2 5" xfId="22138" xr:uid="{AAB9B909-C474-4A3C-89FC-9B7ADCC3C222}"/>
    <cellStyle name="Normal 4 4 3 5 2 6" xfId="12841" xr:uid="{8B104EB2-585E-4F9F-BEE5-2D24B1F2FCAE}"/>
    <cellStyle name="Normal 4 4 3 5 3" xfId="5587" xr:uid="{00000000-0005-0000-0000-0000A8150000}"/>
    <cellStyle name="Normal 4 4 3 5 3 2" xfId="41105" xr:uid="{09BF8F12-660D-48D3-B19A-21CA1A157904}"/>
    <cellStyle name="Normal 4 4 3 5 3 3" xfId="32658" xr:uid="{A4B1AF00-3295-42AE-B055-906352DD55D6}"/>
    <cellStyle name="Normal 4 4 3 5 3 4" xfId="24210" xr:uid="{16D890E3-95BC-45D0-9C40-ED504FEC7E73}"/>
    <cellStyle name="Normal 4 4 3 5 3 5" xfId="14913" xr:uid="{027FEA29-5D99-4368-9DCD-6E6DADCE0301}"/>
    <cellStyle name="Normal 4 4 3 5 4" xfId="36888" xr:uid="{C58D0AB4-AA1B-4C62-8050-CF52E9CC7D96}"/>
    <cellStyle name="Normal 4 4 3 5 5" xfId="28440" xr:uid="{47248137-DEED-48C1-8E28-08C18945AD9A}"/>
    <cellStyle name="Normal 4 4 3 5 6" xfId="19993" xr:uid="{9311F5E9-4234-43F2-889C-A11DDADB614D}"/>
    <cellStyle name="Normal 4 4 3 5 7" xfId="10696" xr:uid="{D047E245-1575-4F47-BDFC-06785FF2E20F}"/>
    <cellStyle name="Normal 4 4 3 6" xfId="1693" xr:uid="{00000000-0005-0000-0000-0000A9150000}"/>
    <cellStyle name="Normal 4 4 3 6 2" xfId="3923" xr:uid="{00000000-0005-0000-0000-0000AA150000}"/>
    <cellStyle name="Normal 4 4 3 6 2 2" xfId="8145" xr:uid="{00000000-0005-0000-0000-0000AB150000}"/>
    <cellStyle name="Normal 4 4 3 6 2 2 2" xfId="43663" xr:uid="{37CDFCA3-5043-4338-8FAA-8FB3F39D8C1B}"/>
    <cellStyle name="Normal 4 4 3 6 2 2 3" xfId="35216" xr:uid="{B90E8B2F-30CB-4E4B-A462-A5C8FF2BA345}"/>
    <cellStyle name="Normal 4 4 3 6 2 2 4" xfId="26768" xr:uid="{F31EF19F-E01A-4059-853F-B2A84484FF76}"/>
    <cellStyle name="Normal 4 4 3 6 2 2 5" xfId="17471" xr:uid="{2C4D82E9-EB78-4238-81EE-AC4BED10CFB4}"/>
    <cellStyle name="Normal 4 4 3 6 2 3" xfId="39446" xr:uid="{F6C9756C-C5FD-4ABB-8A51-23DD95605620}"/>
    <cellStyle name="Normal 4 4 3 6 2 4" xfId="30998" xr:uid="{E2D1D110-9508-4608-B92A-2DE3B2845C16}"/>
    <cellStyle name="Normal 4 4 3 6 2 5" xfId="22551" xr:uid="{2848FC72-7A8B-465C-9CE0-1A0606E55C29}"/>
    <cellStyle name="Normal 4 4 3 6 2 6" xfId="13254" xr:uid="{F3F04241-34CF-4F9D-AA87-53C9FEA982DB}"/>
    <cellStyle name="Normal 4 4 3 6 3" xfId="6000" xr:uid="{00000000-0005-0000-0000-0000AC150000}"/>
    <cellStyle name="Normal 4 4 3 6 3 2" xfId="41518" xr:uid="{C22C75B4-9CFF-4BB3-9787-6F613C551684}"/>
    <cellStyle name="Normal 4 4 3 6 3 3" xfId="33071" xr:uid="{17BF34F8-A706-41FD-AB80-DF64CDA3E230}"/>
    <cellStyle name="Normal 4 4 3 6 3 4" xfId="24623" xr:uid="{0B45E35F-318B-4756-883C-B221DA56198B}"/>
    <cellStyle name="Normal 4 4 3 6 3 5" xfId="15326" xr:uid="{132869F6-3722-444B-8F3B-8AFAAE1C3894}"/>
    <cellStyle name="Normal 4 4 3 6 4" xfId="37301" xr:uid="{DD3E56DA-D8BC-461B-91A2-39C7B395976F}"/>
    <cellStyle name="Normal 4 4 3 6 5" xfId="28853" xr:uid="{C266F69F-1C0C-4C57-8FCF-A6590FCADDE2}"/>
    <cellStyle name="Normal 4 4 3 6 6" xfId="20406" xr:uid="{7A6933FA-60B5-444E-A971-B288346D94B5}"/>
    <cellStyle name="Normal 4 4 3 6 7" xfId="11109" xr:uid="{E86FF789-C58A-433F-90A2-1849301DF86D}"/>
    <cellStyle name="Normal 4 4 3 7" xfId="2107" xr:uid="{00000000-0005-0000-0000-0000AD150000}"/>
    <cellStyle name="Normal 4 4 3 7 2" xfId="4336" xr:uid="{00000000-0005-0000-0000-0000AE150000}"/>
    <cellStyle name="Normal 4 4 3 7 2 2" xfId="8558" xr:uid="{00000000-0005-0000-0000-0000AF150000}"/>
    <cellStyle name="Normal 4 4 3 7 2 2 2" xfId="44076" xr:uid="{58205345-4B4B-4A7C-A124-6A40E85B7536}"/>
    <cellStyle name="Normal 4 4 3 7 2 2 3" xfId="35629" xr:uid="{4A347747-3FBA-4634-AA9E-83FFCE99D9B6}"/>
    <cellStyle name="Normal 4 4 3 7 2 2 4" xfId="27181" xr:uid="{5B8D415B-D5EA-4A21-A9B2-C557EC8D1ECA}"/>
    <cellStyle name="Normal 4 4 3 7 2 2 5" xfId="17884" xr:uid="{CC79768A-9E68-4FCD-A800-FEF69F83125B}"/>
    <cellStyle name="Normal 4 4 3 7 2 3" xfId="39859" xr:uid="{F4996EC0-114D-41C3-B53C-79B7975517D6}"/>
    <cellStyle name="Normal 4 4 3 7 2 4" xfId="31411" xr:uid="{67EB6A43-885D-4CAD-B4BA-4C0549265831}"/>
    <cellStyle name="Normal 4 4 3 7 2 5" xfId="22964" xr:uid="{C6492D28-00B7-48AC-8112-308D172AC0CC}"/>
    <cellStyle name="Normal 4 4 3 7 2 6" xfId="13667" xr:uid="{08642918-269E-442F-8FD2-B03E3E0DD400}"/>
    <cellStyle name="Normal 4 4 3 7 3" xfId="6413" xr:uid="{00000000-0005-0000-0000-0000B0150000}"/>
    <cellStyle name="Normal 4 4 3 7 3 2" xfId="41931" xr:uid="{1E42E696-6E53-4359-B320-5DBC6E40FBBD}"/>
    <cellStyle name="Normal 4 4 3 7 3 3" xfId="33484" xr:uid="{F683358E-8CCF-45FC-8ED1-4BC4C58898FF}"/>
    <cellStyle name="Normal 4 4 3 7 3 4" xfId="25036" xr:uid="{0A7288BC-9742-473B-9330-9D5348365F84}"/>
    <cellStyle name="Normal 4 4 3 7 3 5" xfId="15739" xr:uid="{AFF852C9-C7CA-472D-903F-B6B8BAEAFA02}"/>
    <cellStyle name="Normal 4 4 3 7 4" xfId="37714" xr:uid="{F3087D1D-DB69-48DF-82AB-13E848761D11}"/>
    <cellStyle name="Normal 4 4 3 7 5" xfId="29266" xr:uid="{D2A43223-4804-4E66-986D-2367A90E1DA5}"/>
    <cellStyle name="Normal 4 4 3 7 6" xfId="20819" xr:uid="{1A739E9A-7BF9-47C0-8519-B1F2F331F410}"/>
    <cellStyle name="Normal 4 4 3 7 7" xfId="11522" xr:uid="{9254A768-03D7-491C-ABB4-706EF6C54D41}"/>
    <cellStyle name="Normal 4 4 3 8" xfId="2543" xr:uid="{00000000-0005-0000-0000-0000B1150000}"/>
    <cellStyle name="Normal 4 4 3 8 2" xfId="6826" xr:uid="{00000000-0005-0000-0000-0000B2150000}"/>
    <cellStyle name="Normal 4 4 3 8 2 2" xfId="42344" xr:uid="{19D505F4-B5A7-4FBA-87A4-DBF4039B9E38}"/>
    <cellStyle name="Normal 4 4 3 8 2 3" xfId="33897" xr:uid="{B267B91F-2CCA-42A6-A35C-981E2CF2A65B}"/>
    <cellStyle name="Normal 4 4 3 8 2 4" xfId="25449" xr:uid="{68F5AE8D-1312-4205-B5AC-EF42F7B5A9F2}"/>
    <cellStyle name="Normal 4 4 3 8 2 5" xfId="16152" xr:uid="{AA1FE0E9-0842-4520-B412-E0A6987C0F61}"/>
    <cellStyle name="Normal 4 4 3 8 3" xfId="38127" xr:uid="{7E5ED378-2588-4802-8B10-330ADCACEEEA}"/>
    <cellStyle name="Normal 4 4 3 8 4" xfId="29679" xr:uid="{F341557B-DFEE-416D-BDC3-2E6295037698}"/>
    <cellStyle name="Normal 4 4 3 8 5" xfId="21232" xr:uid="{37560FA3-4C1F-440B-AE88-5A7D615CFBEC}"/>
    <cellStyle name="Normal 4 4 3 8 6" xfId="11935" xr:uid="{D921800A-04CC-48EF-A926-9FDBFE03E2CF}"/>
    <cellStyle name="Normal 4 4 3 9" xfId="4761" xr:uid="{00000000-0005-0000-0000-0000B3150000}"/>
    <cellStyle name="Normal 4 4 3 9 2" xfId="40279" xr:uid="{441866D0-A26C-4FCE-B921-B53C3452272B}"/>
    <cellStyle name="Normal 4 4 3 9 3" xfId="31832" xr:uid="{6EB534CB-03CE-4803-9F6B-01DDBBA76F48}"/>
    <cellStyle name="Normal 4 4 3 9 4" xfId="23384" xr:uid="{68A4450A-E559-4CCE-96AF-52D064DFAEEE}"/>
    <cellStyle name="Normal 4 4 3 9 5" xfId="14087" xr:uid="{04F5057B-5D6D-4A0A-AA5D-3928A83AD72A}"/>
    <cellStyle name="Normal 4 4 4" xfId="391" xr:uid="{00000000-0005-0000-0000-0000B4150000}"/>
    <cellStyle name="Normal 4 4 4 10" xfId="27618" xr:uid="{CD9D2817-0613-47BB-BC5F-C410DAAF5724}"/>
    <cellStyle name="Normal 4 4 4 11" xfId="19171" xr:uid="{456914DE-9A56-4CA2-9C18-D1FF3C2A8A67}"/>
    <cellStyle name="Normal 4 4 4 12" xfId="9874" xr:uid="{E888E7EF-EAB4-46EF-885B-C337B2453717}"/>
    <cellStyle name="Normal 4 4 4 2" xfId="392" xr:uid="{00000000-0005-0000-0000-0000B5150000}"/>
    <cellStyle name="Normal 4 4 4 2 10" xfId="19172" xr:uid="{64E683BB-5D04-4FBA-BB05-8DBC8180F36D}"/>
    <cellStyle name="Normal 4 4 4 2 11" xfId="9875" xr:uid="{C5B7F4FB-9BAB-471C-9E00-B7B8B208CE11}"/>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42842" xr:uid="{F8A56D0E-2BB8-4A45-9E61-19DFB4EDC67C}"/>
    <cellStyle name="Normal 4 4 4 2 2 2 2 3" xfId="34395" xr:uid="{0E1CB061-22EE-4E00-8AE4-B1D596F1F521}"/>
    <cellStyle name="Normal 4 4 4 2 2 2 2 4" xfId="25947" xr:uid="{6157B6BD-EE08-48A9-9B36-E9BBA478C6A5}"/>
    <cellStyle name="Normal 4 4 4 2 2 2 2 5" xfId="16650" xr:uid="{F9C8E2ED-2FB0-42D7-84D1-84F532ED7C0E}"/>
    <cellStyle name="Normal 4 4 4 2 2 2 3" xfId="38625" xr:uid="{A5428064-819E-4C67-8357-5993C1A2DE86}"/>
    <cellStyle name="Normal 4 4 4 2 2 2 4" xfId="30177" xr:uid="{D2252475-F8BD-40B7-A7F9-BB473A864823}"/>
    <cellStyle name="Normal 4 4 4 2 2 2 5" xfId="21730" xr:uid="{825E6DA6-6527-4184-8524-1965197E5719}"/>
    <cellStyle name="Normal 4 4 4 2 2 2 6" xfId="12433" xr:uid="{3AD51E88-67FC-42AB-ACFC-F1FE5C0E7C22}"/>
    <cellStyle name="Normal 4 4 4 2 2 3" xfId="5179" xr:uid="{00000000-0005-0000-0000-0000B9150000}"/>
    <cellStyle name="Normal 4 4 4 2 2 3 2" xfId="40697" xr:uid="{3BCCAA64-99AD-4524-B304-94AC0DE70D97}"/>
    <cellStyle name="Normal 4 4 4 2 2 3 3" xfId="32250" xr:uid="{1AF8538C-1418-4A2E-B5F8-35D221E961CA}"/>
    <cellStyle name="Normal 4 4 4 2 2 3 4" xfId="23802" xr:uid="{3F3DBA7B-E2E5-4CB9-B781-A00481FBFE9B}"/>
    <cellStyle name="Normal 4 4 4 2 2 3 5" xfId="14505" xr:uid="{F3B47B65-4D0E-4AF2-82BB-AA77093C9C7E}"/>
    <cellStyle name="Normal 4 4 4 2 2 4" xfId="9484" xr:uid="{69910E0C-08C8-41C5-A6FC-61B52F6CD538}"/>
    <cellStyle name="Normal 4 4 4 2 2 4 2" xfId="36480" xr:uid="{B4F8E799-BC15-44E1-937C-5EFAA8C97929}"/>
    <cellStyle name="Normal 4 4 4 2 2 4 3" xfId="18797" xr:uid="{D82021F4-0F3F-411D-BD39-2E4423BAAC86}"/>
    <cellStyle name="Normal 4 4 4 2 2 5" xfId="28032" xr:uid="{33E7E59C-6DB1-4EF7-BB41-9F8E1908BB7F}"/>
    <cellStyle name="Normal 4 4 4 2 2 6" xfId="19585" xr:uid="{81E0FE4C-A0C6-4B7E-8E5B-3D1AA817943D}"/>
    <cellStyle name="Normal 4 4 4 2 2 7" xfId="10288" xr:uid="{F64BEDE9-14F8-452B-9749-AA9BC86652DE}"/>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43255" xr:uid="{E35F2DB7-46C3-4E20-8C6A-A18737550ECB}"/>
    <cellStyle name="Normal 4 4 4 2 3 2 2 3" xfId="34808" xr:uid="{E6E894F4-22C4-46FB-A4E4-049D87A8A3D1}"/>
    <cellStyle name="Normal 4 4 4 2 3 2 2 4" xfId="26360" xr:uid="{2CCF8EAA-5DA3-462C-AE55-80488EE3E48E}"/>
    <cellStyle name="Normal 4 4 4 2 3 2 2 5" xfId="17063" xr:uid="{CCAB23F2-937E-4291-9A02-AE1F915EFAEA}"/>
    <cellStyle name="Normal 4 4 4 2 3 2 3" xfId="39038" xr:uid="{17D0C6D0-C974-4A3D-8FE8-43D062EE4CCE}"/>
    <cellStyle name="Normal 4 4 4 2 3 2 4" xfId="30590" xr:uid="{9D415BCE-644C-41ED-9489-844A5DBA61A9}"/>
    <cellStyle name="Normal 4 4 4 2 3 2 5" xfId="22143" xr:uid="{0318494C-D695-4497-AE10-BBCEFEFD674A}"/>
    <cellStyle name="Normal 4 4 4 2 3 2 6" xfId="12846" xr:uid="{DD15A1F9-3C89-448F-8553-D91C450026DD}"/>
    <cellStyle name="Normal 4 4 4 2 3 3" xfId="5592" xr:uid="{00000000-0005-0000-0000-0000BD150000}"/>
    <cellStyle name="Normal 4 4 4 2 3 3 2" xfId="41110" xr:uid="{3C59C3D9-D68D-4359-9829-530847087D3A}"/>
    <cellStyle name="Normal 4 4 4 2 3 3 3" xfId="32663" xr:uid="{0BF43C5C-0556-4854-A621-D1522D733094}"/>
    <cellStyle name="Normal 4 4 4 2 3 3 4" xfId="24215" xr:uid="{16D20619-B488-4878-A953-29E6E0F81CCD}"/>
    <cellStyle name="Normal 4 4 4 2 3 3 5" xfId="14918" xr:uid="{B2B02DD8-1C67-42A5-BFBD-32CFC12CEB96}"/>
    <cellStyle name="Normal 4 4 4 2 3 4" xfId="36893" xr:uid="{ABC834C9-F7DE-4D6A-9CD7-6A6CF0425DCC}"/>
    <cellStyle name="Normal 4 4 4 2 3 5" xfId="28445" xr:uid="{8CA6CA9B-6659-432B-A1A4-8E464ACB5983}"/>
    <cellStyle name="Normal 4 4 4 2 3 6" xfId="19998" xr:uid="{52E3B9B9-D5A5-4704-9A4B-1B315BC19595}"/>
    <cellStyle name="Normal 4 4 4 2 3 7" xfId="10701" xr:uid="{7F525113-B825-42D5-BEFB-FE1DBBFD31C7}"/>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43668" xr:uid="{701E0938-9A3F-4876-8FC5-0BC8EEB3E238}"/>
    <cellStyle name="Normal 4 4 4 2 4 2 2 3" xfId="35221" xr:uid="{0D22A8DB-2EB1-44D8-9D0F-4FA18553F0AA}"/>
    <cellStyle name="Normal 4 4 4 2 4 2 2 4" xfId="26773" xr:uid="{55408C27-C868-4F5D-9960-F33641637A2E}"/>
    <cellStyle name="Normal 4 4 4 2 4 2 2 5" xfId="17476" xr:uid="{70FE0898-7582-4C21-AD15-0E2EF983976C}"/>
    <cellStyle name="Normal 4 4 4 2 4 2 3" xfId="39451" xr:uid="{45EB61F6-E459-494F-9C9C-313E45135030}"/>
    <cellStyle name="Normal 4 4 4 2 4 2 4" xfId="31003" xr:uid="{FA9576B9-4BBC-46EC-8B7F-892FFE06C3D8}"/>
    <cellStyle name="Normal 4 4 4 2 4 2 5" xfId="22556" xr:uid="{3E07E335-89D3-4E14-8C43-101B38B603C0}"/>
    <cellStyle name="Normal 4 4 4 2 4 2 6" xfId="13259" xr:uid="{A2FD10DF-E86C-40E8-919B-064378178E0A}"/>
    <cellStyle name="Normal 4 4 4 2 4 3" xfId="6005" xr:uid="{00000000-0005-0000-0000-0000C1150000}"/>
    <cellStyle name="Normal 4 4 4 2 4 3 2" xfId="41523" xr:uid="{4FEBA00F-2F88-4AFF-BD7F-61A5596AE864}"/>
    <cellStyle name="Normal 4 4 4 2 4 3 3" xfId="33076" xr:uid="{2A9D98DA-4687-4654-B030-36C742C38694}"/>
    <cellStyle name="Normal 4 4 4 2 4 3 4" xfId="24628" xr:uid="{1D97CBC9-65D6-493C-BA3F-4FFF74F5B056}"/>
    <cellStyle name="Normal 4 4 4 2 4 3 5" xfId="15331" xr:uid="{FB10E573-13C4-4C5E-B456-772558A21277}"/>
    <cellStyle name="Normal 4 4 4 2 4 4" xfId="37306" xr:uid="{04A51BA6-EAAC-4218-A151-5C482DD0DE02}"/>
    <cellStyle name="Normal 4 4 4 2 4 5" xfId="28858" xr:uid="{8DFF068C-56D3-4736-9AFC-97DC77F960F1}"/>
    <cellStyle name="Normal 4 4 4 2 4 6" xfId="20411" xr:uid="{062490BB-E8B0-4CCC-8CE6-18F4EC464B3C}"/>
    <cellStyle name="Normal 4 4 4 2 4 7" xfId="11114" xr:uid="{E7F28752-2B4D-4C8E-BD6C-078AA8915556}"/>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44081" xr:uid="{7D88527E-249D-46E3-845A-50B9E14CF7F6}"/>
    <cellStyle name="Normal 4 4 4 2 5 2 2 3" xfId="35634" xr:uid="{025FF9D4-4E5B-44CB-B155-4438DAA290FA}"/>
    <cellStyle name="Normal 4 4 4 2 5 2 2 4" xfId="27186" xr:uid="{2539955D-C8E4-4A5F-BAE7-2F53C0A72283}"/>
    <cellStyle name="Normal 4 4 4 2 5 2 2 5" xfId="17889" xr:uid="{1D0DCFB0-1EB6-4AA1-AD0A-73B222305ADC}"/>
    <cellStyle name="Normal 4 4 4 2 5 2 3" xfId="39864" xr:uid="{830BA406-5B75-4973-9AA5-78A6B39CE24D}"/>
    <cellStyle name="Normal 4 4 4 2 5 2 4" xfId="31416" xr:uid="{F2CAAB2A-FC2B-4E21-B6E7-ABA3AFD9543B}"/>
    <cellStyle name="Normal 4 4 4 2 5 2 5" xfId="22969" xr:uid="{55241568-5ADD-4763-8666-FD41E5FDCD84}"/>
    <cellStyle name="Normal 4 4 4 2 5 2 6" xfId="13672" xr:uid="{36F5C607-8230-4C6E-8122-07B494CA12F6}"/>
    <cellStyle name="Normal 4 4 4 2 5 3" xfId="6418" xr:uid="{00000000-0005-0000-0000-0000C5150000}"/>
    <cellStyle name="Normal 4 4 4 2 5 3 2" xfId="41936" xr:uid="{55F7EB79-5DA1-43BE-AA39-03F869EAAC67}"/>
    <cellStyle name="Normal 4 4 4 2 5 3 3" xfId="33489" xr:uid="{E0F5E3B2-9B58-404B-9AB9-A1F0669A2851}"/>
    <cellStyle name="Normal 4 4 4 2 5 3 4" xfId="25041" xr:uid="{9CC680C1-AA86-4784-983F-A937D35F3B6E}"/>
    <cellStyle name="Normal 4 4 4 2 5 3 5" xfId="15744" xr:uid="{35E56B12-CC47-4BDD-BAAE-38D145FC7C1D}"/>
    <cellStyle name="Normal 4 4 4 2 5 4" xfId="37719" xr:uid="{A519F46C-9768-423D-A872-71F1C8978A16}"/>
    <cellStyle name="Normal 4 4 4 2 5 5" xfId="29271" xr:uid="{36566EEB-47C2-47CB-A33F-6103D8395DDD}"/>
    <cellStyle name="Normal 4 4 4 2 5 6" xfId="20824" xr:uid="{C1195867-4999-4C46-85E7-DB60BF09799D}"/>
    <cellStyle name="Normal 4 4 4 2 5 7" xfId="11527" xr:uid="{D448453D-CF41-4FA0-9F80-FE9DF6BB7DAD}"/>
    <cellStyle name="Normal 4 4 4 2 6" xfId="2548" xr:uid="{00000000-0005-0000-0000-0000C6150000}"/>
    <cellStyle name="Normal 4 4 4 2 6 2" xfId="6831" xr:uid="{00000000-0005-0000-0000-0000C7150000}"/>
    <cellStyle name="Normal 4 4 4 2 6 2 2" xfId="42349" xr:uid="{EF07A899-F16C-4F1B-820D-DA379A683A84}"/>
    <cellStyle name="Normal 4 4 4 2 6 2 3" xfId="33902" xr:uid="{C771692E-5C11-405F-A0ED-0296F9DFD3EA}"/>
    <cellStyle name="Normal 4 4 4 2 6 2 4" xfId="25454" xr:uid="{0A657A4B-9F2E-43B9-A5AC-878CC165919C}"/>
    <cellStyle name="Normal 4 4 4 2 6 2 5" xfId="16157" xr:uid="{F5804D58-0770-4827-AED9-C6C2900A46D0}"/>
    <cellStyle name="Normal 4 4 4 2 6 3" xfId="38132" xr:uid="{A15E4BD0-A6BC-4E38-8EC8-CDFA21DF55C5}"/>
    <cellStyle name="Normal 4 4 4 2 6 4" xfId="29684" xr:uid="{C9CD8E4D-C11F-4B30-9F7A-FF4D810D5D16}"/>
    <cellStyle name="Normal 4 4 4 2 6 5" xfId="21237" xr:uid="{5D57DE1F-F77D-452E-ACFC-71B392A57064}"/>
    <cellStyle name="Normal 4 4 4 2 6 6" xfId="11940" xr:uid="{F937E649-279C-4313-9A7E-1E3CAD427759}"/>
    <cellStyle name="Normal 4 4 4 2 7" xfId="4766" xr:uid="{00000000-0005-0000-0000-0000C8150000}"/>
    <cellStyle name="Normal 4 4 4 2 7 2" xfId="40284" xr:uid="{5B56E0C1-7C22-421C-AD1D-783F84963924}"/>
    <cellStyle name="Normal 4 4 4 2 7 3" xfId="31837" xr:uid="{A384DE76-6E61-4C8F-BE79-AB70265D85A8}"/>
    <cellStyle name="Normal 4 4 4 2 7 4" xfId="23389" xr:uid="{C0189AB5-CC81-4F52-B7E2-DBCFE61B447C}"/>
    <cellStyle name="Normal 4 4 4 2 7 5" xfId="14092" xr:uid="{DD7B9443-4472-4626-822C-FD3082A77D11}"/>
    <cellStyle name="Normal 4 4 4 2 8" xfId="9059" xr:uid="{76617FCA-DBA6-4291-BD32-6340A19903F7}"/>
    <cellStyle name="Normal 4 4 4 2 8 2" xfId="36067" xr:uid="{D1784B10-9B62-43D9-9054-B08878AD249D}"/>
    <cellStyle name="Normal 4 4 4 2 8 3" xfId="18382" xr:uid="{3AE08FA1-B4AA-4C88-A80B-6D0334CD3378}"/>
    <cellStyle name="Normal 4 4 4 2 9" xfId="27619" xr:uid="{25F6CF8A-CF3C-4C2F-9DFC-DB755AD83493}"/>
    <cellStyle name="Normal 4 4 4 3" xfId="866" xr:uid="{00000000-0005-0000-0000-0000C9150000}"/>
    <cellStyle name="Normal 4 4 4 3 2" xfId="3101" xr:uid="{00000000-0005-0000-0000-0000CA150000}"/>
    <cellStyle name="Normal 4 4 4 3 2 2" xfId="7323" xr:uid="{00000000-0005-0000-0000-0000CB150000}"/>
    <cellStyle name="Normal 4 4 4 3 2 2 2" xfId="42841" xr:uid="{A00AD4E4-E4F5-4286-B17A-9999B5EF8AAB}"/>
    <cellStyle name="Normal 4 4 4 3 2 2 3" xfId="34394" xr:uid="{01856EAE-C9F6-4698-BB5F-AE7AEE72DB76}"/>
    <cellStyle name="Normal 4 4 4 3 2 2 4" xfId="25946" xr:uid="{7C5F776C-FAA3-4ADB-9D8F-0A2B14747BC4}"/>
    <cellStyle name="Normal 4 4 4 3 2 2 5" xfId="16649" xr:uid="{0A67E50C-623B-4E68-A18F-802C8A22347F}"/>
    <cellStyle name="Normal 4 4 4 3 2 3" xfId="38624" xr:uid="{918E6824-0066-4BFD-B1BA-615E6FCBD764}"/>
    <cellStyle name="Normal 4 4 4 3 2 4" xfId="30176" xr:uid="{314DB5D4-515A-4179-B8C7-755CD25ACF5D}"/>
    <cellStyle name="Normal 4 4 4 3 2 5" xfId="21729" xr:uid="{B468C3EF-8E69-4B07-9FF9-11271BA8F54B}"/>
    <cellStyle name="Normal 4 4 4 3 2 6" xfId="12432" xr:uid="{8BF23C45-8E13-48B5-B7C2-D7D875F06767}"/>
    <cellStyle name="Normal 4 4 4 3 3" xfId="5178" xr:uid="{00000000-0005-0000-0000-0000CC150000}"/>
    <cellStyle name="Normal 4 4 4 3 3 2" xfId="40696" xr:uid="{740841CD-0950-489F-BA67-6505340019AB}"/>
    <cellStyle name="Normal 4 4 4 3 3 3" xfId="32249" xr:uid="{2AC7E5FE-457A-4767-A7F7-CE77BAAABD23}"/>
    <cellStyle name="Normal 4 4 4 3 3 4" xfId="23801" xr:uid="{B096BE07-A089-42CD-906B-B670F6E9CC11}"/>
    <cellStyle name="Normal 4 4 4 3 3 5" xfId="14504" xr:uid="{AB3F068B-559A-48CA-8B28-6BB905AB3DEF}"/>
    <cellStyle name="Normal 4 4 4 3 4" xfId="9277" xr:uid="{DD01CD29-2559-4BCC-919C-99D1D75C445F}"/>
    <cellStyle name="Normal 4 4 4 3 4 2" xfId="36479" xr:uid="{2A486A79-B752-4AD8-B63F-8240F7A96485}"/>
    <cellStyle name="Normal 4 4 4 3 4 3" xfId="18590" xr:uid="{64E35DFF-958B-4086-8969-5D53F3A4946E}"/>
    <cellStyle name="Normal 4 4 4 3 5" xfId="28031" xr:uid="{083CB5EA-60C1-4CC8-A366-BC4F5684C342}"/>
    <cellStyle name="Normal 4 4 4 3 6" xfId="19584" xr:uid="{7BF2FFF8-31C7-4D31-9E07-43FC1038A96A}"/>
    <cellStyle name="Normal 4 4 4 3 7" xfId="10287" xr:uid="{0F9BE164-C800-453B-BA04-682B9BF164DB}"/>
    <cellStyle name="Normal 4 4 4 4" xfId="1284" xr:uid="{00000000-0005-0000-0000-0000CD150000}"/>
    <cellStyle name="Normal 4 4 4 4 2" xfId="3514" xr:uid="{00000000-0005-0000-0000-0000CE150000}"/>
    <cellStyle name="Normal 4 4 4 4 2 2" xfId="7736" xr:uid="{00000000-0005-0000-0000-0000CF150000}"/>
    <cellStyle name="Normal 4 4 4 4 2 2 2" xfId="43254" xr:uid="{E662F23E-9A72-481F-B938-87976135A2B3}"/>
    <cellStyle name="Normal 4 4 4 4 2 2 3" xfId="34807" xr:uid="{C4876256-C2CB-459A-AA0B-952337B43D62}"/>
    <cellStyle name="Normal 4 4 4 4 2 2 4" xfId="26359" xr:uid="{77C013E7-8D28-45C0-AFD0-0EF01448E1DB}"/>
    <cellStyle name="Normal 4 4 4 4 2 2 5" xfId="17062" xr:uid="{7DB1300F-138C-41DC-90C1-38D2228837D5}"/>
    <cellStyle name="Normal 4 4 4 4 2 3" xfId="39037" xr:uid="{C88141BC-39A2-4E5B-843E-E985440F5199}"/>
    <cellStyle name="Normal 4 4 4 4 2 4" xfId="30589" xr:uid="{8D2FC45D-46F5-40FC-B3CA-454026911128}"/>
    <cellStyle name="Normal 4 4 4 4 2 5" xfId="22142" xr:uid="{141428F8-5BF6-48D4-9D04-331C1256D594}"/>
    <cellStyle name="Normal 4 4 4 4 2 6" xfId="12845" xr:uid="{AC96C115-3053-48CA-A456-9682854D34FA}"/>
    <cellStyle name="Normal 4 4 4 4 3" xfId="5591" xr:uid="{00000000-0005-0000-0000-0000D0150000}"/>
    <cellStyle name="Normal 4 4 4 4 3 2" xfId="41109" xr:uid="{53CAAA89-6879-46FD-B4E9-AF35AF16A8F9}"/>
    <cellStyle name="Normal 4 4 4 4 3 3" xfId="32662" xr:uid="{A2FFAB41-6565-4F95-AF1B-47975ABEFBCF}"/>
    <cellStyle name="Normal 4 4 4 4 3 4" xfId="24214" xr:uid="{B083A017-4122-44E9-885E-E34C65594D4B}"/>
    <cellStyle name="Normal 4 4 4 4 3 5" xfId="14917" xr:uid="{42279523-9A6B-49BF-9032-44EE760B21C8}"/>
    <cellStyle name="Normal 4 4 4 4 4" xfId="36892" xr:uid="{A2174B64-7AFC-415B-A0DC-AE96009A273C}"/>
    <cellStyle name="Normal 4 4 4 4 5" xfId="28444" xr:uid="{E938C13C-DE6B-4A63-B81F-3B340423279F}"/>
    <cellStyle name="Normal 4 4 4 4 6" xfId="19997" xr:uid="{3943F1D8-A883-4D8F-AE52-043EB4423327}"/>
    <cellStyle name="Normal 4 4 4 4 7" xfId="10700" xr:uid="{FE9ACBD1-10EF-4EFC-92AD-804BDF40D874}"/>
    <cellStyle name="Normal 4 4 4 5" xfId="1697" xr:uid="{00000000-0005-0000-0000-0000D1150000}"/>
    <cellStyle name="Normal 4 4 4 5 2" xfId="3927" xr:uid="{00000000-0005-0000-0000-0000D2150000}"/>
    <cellStyle name="Normal 4 4 4 5 2 2" xfId="8149" xr:uid="{00000000-0005-0000-0000-0000D3150000}"/>
    <cellStyle name="Normal 4 4 4 5 2 2 2" xfId="43667" xr:uid="{211352BA-79F1-41F1-A4FD-15D1EEC07F48}"/>
    <cellStyle name="Normal 4 4 4 5 2 2 3" xfId="35220" xr:uid="{AAA839A4-0EEE-4FC7-AD95-2EAC8DC63597}"/>
    <cellStyle name="Normal 4 4 4 5 2 2 4" xfId="26772" xr:uid="{1CA72D52-E746-46E2-A7E3-1FCCFDC9F4D3}"/>
    <cellStyle name="Normal 4 4 4 5 2 2 5" xfId="17475" xr:uid="{85E436D6-56A3-4621-9E72-CB84AB92A7DC}"/>
    <cellStyle name="Normal 4 4 4 5 2 3" xfId="39450" xr:uid="{163A9047-A99B-494E-AA8A-AD0867356444}"/>
    <cellStyle name="Normal 4 4 4 5 2 4" xfId="31002" xr:uid="{0F0E51CF-98C5-42C4-9DD5-F976900D448E}"/>
    <cellStyle name="Normal 4 4 4 5 2 5" xfId="22555" xr:uid="{22B86F07-0505-473C-9D6B-AEEF8AA32403}"/>
    <cellStyle name="Normal 4 4 4 5 2 6" xfId="13258" xr:uid="{FC6CF1D2-2504-4CCB-872D-37779D794806}"/>
    <cellStyle name="Normal 4 4 4 5 3" xfId="6004" xr:uid="{00000000-0005-0000-0000-0000D4150000}"/>
    <cellStyle name="Normal 4 4 4 5 3 2" xfId="41522" xr:uid="{0E04EE4F-85BA-4334-9758-E1A23258CE35}"/>
    <cellStyle name="Normal 4 4 4 5 3 3" xfId="33075" xr:uid="{291997D0-9C76-42E2-B667-0837178D9094}"/>
    <cellStyle name="Normal 4 4 4 5 3 4" xfId="24627" xr:uid="{7246EBC9-2F93-43C0-9664-B182854878A2}"/>
    <cellStyle name="Normal 4 4 4 5 3 5" xfId="15330" xr:uid="{16B71543-BB2E-42FA-B6D1-3E41F72B086F}"/>
    <cellStyle name="Normal 4 4 4 5 4" xfId="37305" xr:uid="{C1A5E005-B9E1-4276-A329-4B4942758AED}"/>
    <cellStyle name="Normal 4 4 4 5 5" xfId="28857" xr:uid="{1210D7D2-A66D-4C9D-AECC-7A76E67E4568}"/>
    <cellStyle name="Normal 4 4 4 5 6" xfId="20410" xr:uid="{D8FD61C8-62DC-4A7D-9A7A-6C0522CB2C52}"/>
    <cellStyle name="Normal 4 4 4 5 7" xfId="11113" xr:uid="{EB6016A1-7DB8-4C1A-A3FF-A6B89B2EA49A}"/>
    <cellStyle name="Normal 4 4 4 6" xfId="2111" xr:uid="{00000000-0005-0000-0000-0000D5150000}"/>
    <cellStyle name="Normal 4 4 4 6 2" xfId="4340" xr:uid="{00000000-0005-0000-0000-0000D6150000}"/>
    <cellStyle name="Normal 4 4 4 6 2 2" xfId="8562" xr:uid="{00000000-0005-0000-0000-0000D7150000}"/>
    <cellStyle name="Normal 4 4 4 6 2 2 2" xfId="44080" xr:uid="{6BEE50B8-C60A-4FCD-BAF9-13408DA1D6FD}"/>
    <cellStyle name="Normal 4 4 4 6 2 2 3" xfId="35633" xr:uid="{FA794F23-5E11-42DF-AC2A-07D35437D8E4}"/>
    <cellStyle name="Normal 4 4 4 6 2 2 4" xfId="27185" xr:uid="{A679D963-2603-4696-BC32-D7EDE37AC112}"/>
    <cellStyle name="Normal 4 4 4 6 2 2 5" xfId="17888" xr:uid="{C83210D4-12AF-4CE7-A5C3-37EDF8BC618F}"/>
    <cellStyle name="Normal 4 4 4 6 2 3" xfId="39863" xr:uid="{D022119F-2C69-4256-ACCC-D7C3F5121B90}"/>
    <cellStyle name="Normal 4 4 4 6 2 4" xfId="31415" xr:uid="{CAC666AC-6096-437E-B30C-9E249091934A}"/>
    <cellStyle name="Normal 4 4 4 6 2 5" xfId="22968" xr:uid="{EDF0266F-D3D1-45E7-AF2F-916C2A6290CA}"/>
    <cellStyle name="Normal 4 4 4 6 2 6" xfId="13671" xr:uid="{4CC0017C-2314-4A2E-A090-4AF95F174FE1}"/>
    <cellStyle name="Normal 4 4 4 6 3" xfId="6417" xr:uid="{00000000-0005-0000-0000-0000D8150000}"/>
    <cellStyle name="Normal 4 4 4 6 3 2" xfId="41935" xr:uid="{470D006F-9FF2-43A1-88CB-A615FB53E6AD}"/>
    <cellStyle name="Normal 4 4 4 6 3 3" xfId="33488" xr:uid="{F562768F-2E57-4B0C-A997-3DBE347AA3C2}"/>
    <cellStyle name="Normal 4 4 4 6 3 4" xfId="25040" xr:uid="{13A3AF80-61B4-4C5C-B35C-D3DB09657BC2}"/>
    <cellStyle name="Normal 4 4 4 6 3 5" xfId="15743" xr:uid="{14A5A93F-2EBD-4BB7-B7F6-9D8A7CD1E262}"/>
    <cellStyle name="Normal 4 4 4 6 4" xfId="37718" xr:uid="{79B2E296-95DE-4C0E-A18F-CE262D27460E}"/>
    <cellStyle name="Normal 4 4 4 6 5" xfId="29270" xr:uid="{8B11C159-782D-4A51-B6F2-906CA4240CC2}"/>
    <cellStyle name="Normal 4 4 4 6 6" xfId="20823" xr:uid="{ED6C1E39-5DB6-4069-A178-297B325EC8E5}"/>
    <cellStyle name="Normal 4 4 4 6 7" xfId="11526" xr:uid="{9730A586-CB0E-4567-B69E-30C43FF33785}"/>
    <cellStyle name="Normal 4 4 4 7" xfId="2547" xr:uid="{00000000-0005-0000-0000-0000D9150000}"/>
    <cellStyle name="Normal 4 4 4 7 2" xfId="6830" xr:uid="{00000000-0005-0000-0000-0000DA150000}"/>
    <cellStyle name="Normal 4 4 4 7 2 2" xfId="42348" xr:uid="{855E8A2E-CF72-424F-A033-98431748F05F}"/>
    <cellStyle name="Normal 4 4 4 7 2 3" xfId="33901" xr:uid="{947F795A-F999-467F-861B-6BA77FF4262F}"/>
    <cellStyle name="Normal 4 4 4 7 2 4" xfId="25453" xr:uid="{1D010F61-582A-497C-B689-B6BA73209CAE}"/>
    <cellStyle name="Normal 4 4 4 7 2 5" xfId="16156" xr:uid="{477E42EE-37C2-4C9B-925C-79AEB22B6A24}"/>
    <cellStyle name="Normal 4 4 4 7 3" xfId="38131" xr:uid="{BB70FB06-F253-4CBB-A50F-BBCBF5F5070F}"/>
    <cellStyle name="Normal 4 4 4 7 4" xfId="29683" xr:uid="{98FC07C1-0002-4E99-BFFC-90827E1CD6C9}"/>
    <cellStyle name="Normal 4 4 4 7 5" xfId="21236" xr:uid="{9BAE80E8-16B4-4EE5-A82D-5259FE52C95E}"/>
    <cellStyle name="Normal 4 4 4 7 6" xfId="11939" xr:uid="{E2F3AA7A-1369-4FC1-B82E-096105AFA382}"/>
    <cellStyle name="Normal 4 4 4 8" xfId="4765" xr:uid="{00000000-0005-0000-0000-0000DB150000}"/>
    <cellStyle name="Normal 4 4 4 8 2" xfId="40283" xr:uid="{A5C3006B-8177-4E0D-BD7A-C6790F6F28F7}"/>
    <cellStyle name="Normal 4 4 4 8 3" xfId="31836" xr:uid="{1B06C99D-65C8-45A8-B1AE-FA74455734CC}"/>
    <cellStyle name="Normal 4 4 4 8 4" xfId="23388" xr:uid="{55590DE4-6576-48EC-969E-02D41D80F106}"/>
    <cellStyle name="Normal 4 4 4 8 5" xfId="14091" xr:uid="{91312D18-22A0-4E7F-BA80-B702D07D304C}"/>
    <cellStyle name="Normal 4 4 4 9" xfId="8852" xr:uid="{DF4BB962-85B1-44B5-A0FE-735796672772}"/>
    <cellStyle name="Normal 4 4 4 9 2" xfId="36066" xr:uid="{7CBA57D4-69D6-474D-A549-CCB56748B6E4}"/>
    <cellStyle name="Normal 4 4 4 9 3" xfId="18175" xr:uid="{9F470C89-E59B-4F62-9F36-461120436E97}"/>
    <cellStyle name="Normal 4 4 5" xfId="393" xr:uid="{00000000-0005-0000-0000-0000DC150000}"/>
    <cellStyle name="Normal 4 4 5 10" xfId="19173" xr:uid="{D6CB7D62-A532-4E43-807D-AC33DC168862}"/>
    <cellStyle name="Normal 4 4 5 11" xfId="9876" xr:uid="{91F0D5B4-DA18-4E57-A2AC-21E51A270020}"/>
    <cellStyle name="Normal 4 4 5 2" xfId="868" xr:uid="{00000000-0005-0000-0000-0000DD150000}"/>
    <cellStyle name="Normal 4 4 5 2 2" xfId="3103" xr:uid="{00000000-0005-0000-0000-0000DE150000}"/>
    <cellStyle name="Normal 4 4 5 2 2 2" xfId="7325" xr:uid="{00000000-0005-0000-0000-0000DF150000}"/>
    <cellStyle name="Normal 4 4 5 2 2 2 2" xfId="42843" xr:uid="{579F7A60-1703-43A9-9298-238230E52ED7}"/>
    <cellStyle name="Normal 4 4 5 2 2 2 3" xfId="34396" xr:uid="{077DF5A4-BB2E-4661-BE3F-2C967EAAC801}"/>
    <cellStyle name="Normal 4 4 5 2 2 2 4" xfId="25948" xr:uid="{ED98B845-B704-403D-AFD0-448B7D1C405A}"/>
    <cellStyle name="Normal 4 4 5 2 2 2 5" xfId="16651" xr:uid="{ECCE7EF8-3406-43D3-8389-E896631795D3}"/>
    <cellStyle name="Normal 4 4 5 2 2 3" xfId="38626" xr:uid="{3AB3AC79-D551-4D08-96CA-5DE3DE1373ED}"/>
    <cellStyle name="Normal 4 4 5 2 2 4" xfId="30178" xr:uid="{86A7CE6E-8D2B-4A61-AE28-99A0D25B094B}"/>
    <cellStyle name="Normal 4 4 5 2 2 5" xfId="21731" xr:uid="{B79F541A-4A0A-4E2B-8F75-A7A50E40AE0C}"/>
    <cellStyle name="Normal 4 4 5 2 2 6" xfId="12434" xr:uid="{4D348C87-4B7C-4F3C-935F-5BE9A2BDDE57}"/>
    <cellStyle name="Normal 4 4 5 2 3" xfId="5180" xr:uid="{00000000-0005-0000-0000-0000E0150000}"/>
    <cellStyle name="Normal 4 4 5 2 3 2" xfId="40698" xr:uid="{BF93DDCC-65E7-4AD9-83E3-1046D420789A}"/>
    <cellStyle name="Normal 4 4 5 2 3 3" xfId="32251" xr:uid="{A02BB9B0-04B5-4B2D-A6F8-B90BC9E7FDAD}"/>
    <cellStyle name="Normal 4 4 5 2 3 4" xfId="23803" xr:uid="{ACA8082B-3E1C-441E-B2FD-30C020D7401B}"/>
    <cellStyle name="Normal 4 4 5 2 3 5" xfId="14506" xr:uid="{18D69B89-04A8-462A-8BC0-4C4DF66739FC}"/>
    <cellStyle name="Normal 4 4 5 2 4" xfId="9393" xr:uid="{C2991CC4-4E0B-46C4-B338-C6A1C9BA2DE9}"/>
    <cellStyle name="Normal 4 4 5 2 4 2" xfId="36481" xr:uid="{A50FADDC-475A-4818-8A35-E6B402EADB08}"/>
    <cellStyle name="Normal 4 4 5 2 4 3" xfId="18706" xr:uid="{1BBBE4D4-C252-4874-BB41-354BB04FA92B}"/>
    <cellStyle name="Normal 4 4 5 2 5" xfId="28033" xr:uid="{1ADD9058-18A6-4310-8A7F-249F18938531}"/>
    <cellStyle name="Normal 4 4 5 2 6" xfId="19586" xr:uid="{F62AF4D0-E10F-4F32-A7D7-957E6CA03DB6}"/>
    <cellStyle name="Normal 4 4 5 2 7" xfId="10289" xr:uid="{36214A1E-C360-4DD1-AB9C-DF8A81C3BA89}"/>
    <cellStyle name="Normal 4 4 5 3" xfId="1286" xr:uid="{00000000-0005-0000-0000-0000E1150000}"/>
    <cellStyle name="Normal 4 4 5 3 2" xfId="3516" xr:uid="{00000000-0005-0000-0000-0000E2150000}"/>
    <cellStyle name="Normal 4 4 5 3 2 2" xfId="7738" xr:uid="{00000000-0005-0000-0000-0000E3150000}"/>
    <cellStyle name="Normal 4 4 5 3 2 2 2" xfId="43256" xr:uid="{E0173DE8-731A-4C65-9CF2-65812B8138E2}"/>
    <cellStyle name="Normal 4 4 5 3 2 2 3" xfId="34809" xr:uid="{00E47370-EEDC-4A3E-ABDF-B0AE652D0AD7}"/>
    <cellStyle name="Normal 4 4 5 3 2 2 4" xfId="26361" xr:uid="{A6588104-3323-48BD-B31E-C18FBE729191}"/>
    <cellStyle name="Normal 4 4 5 3 2 2 5" xfId="17064" xr:uid="{1883EE20-F6E1-440D-8740-1B35C874E269}"/>
    <cellStyle name="Normal 4 4 5 3 2 3" xfId="39039" xr:uid="{AF7ED906-C7F9-4156-BB1B-C68D890F2C9F}"/>
    <cellStyle name="Normal 4 4 5 3 2 4" xfId="30591" xr:uid="{69D1F6F9-A8FD-43B1-AE4C-CF3852A65F68}"/>
    <cellStyle name="Normal 4 4 5 3 2 5" xfId="22144" xr:uid="{A6200770-836D-4A04-9426-D90BEF0B06DE}"/>
    <cellStyle name="Normal 4 4 5 3 2 6" xfId="12847" xr:uid="{4C53EAFD-390F-4845-8708-50F72F5959E9}"/>
    <cellStyle name="Normal 4 4 5 3 3" xfId="5593" xr:uid="{00000000-0005-0000-0000-0000E4150000}"/>
    <cellStyle name="Normal 4 4 5 3 3 2" xfId="41111" xr:uid="{D9DA7E7E-90DE-4B86-B4E1-645DD8051DAB}"/>
    <cellStyle name="Normal 4 4 5 3 3 3" xfId="32664" xr:uid="{D9430A9A-0661-4552-973C-DB71A23E732B}"/>
    <cellStyle name="Normal 4 4 5 3 3 4" xfId="24216" xr:uid="{71DEABE9-72D5-46C8-9512-2986A048C99D}"/>
    <cellStyle name="Normal 4 4 5 3 3 5" xfId="14919" xr:uid="{D45A5680-FAC7-43B2-9C21-04961359CA7F}"/>
    <cellStyle name="Normal 4 4 5 3 4" xfId="36894" xr:uid="{94CA3961-1EF0-444B-8108-5831C32331E8}"/>
    <cellStyle name="Normal 4 4 5 3 5" xfId="28446" xr:uid="{29FB3BAC-2A27-4E82-B277-8519275A9F89}"/>
    <cellStyle name="Normal 4 4 5 3 6" xfId="19999" xr:uid="{BF891948-B6CE-4B24-B68E-F09E5C5DF90C}"/>
    <cellStyle name="Normal 4 4 5 3 7" xfId="10702" xr:uid="{97D4C7A8-73F8-47DF-8C93-1D9EAD0C6E87}"/>
    <cellStyle name="Normal 4 4 5 4" xfId="1699" xr:uid="{00000000-0005-0000-0000-0000E5150000}"/>
    <cellStyle name="Normal 4 4 5 4 2" xfId="3929" xr:uid="{00000000-0005-0000-0000-0000E6150000}"/>
    <cellStyle name="Normal 4 4 5 4 2 2" xfId="8151" xr:uid="{00000000-0005-0000-0000-0000E7150000}"/>
    <cellStyle name="Normal 4 4 5 4 2 2 2" xfId="43669" xr:uid="{90C2ABEC-4248-4ABF-BCCF-0F42594C4E71}"/>
    <cellStyle name="Normal 4 4 5 4 2 2 3" xfId="35222" xr:uid="{7A9CD713-E575-4CE0-84F2-F1872F3B49C0}"/>
    <cellStyle name="Normal 4 4 5 4 2 2 4" xfId="26774" xr:uid="{810A0FA2-CA58-449D-8C8C-29267557DA44}"/>
    <cellStyle name="Normal 4 4 5 4 2 2 5" xfId="17477" xr:uid="{ABAD636A-3974-4D21-8FEA-66BB14A8FF18}"/>
    <cellStyle name="Normal 4 4 5 4 2 3" xfId="39452" xr:uid="{F0D90960-9C8A-4721-960C-A7F96E018B1C}"/>
    <cellStyle name="Normal 4 4 5 4 2 4" xfId="31004" xr:uid="{EC74140A-68E0-43DB-9258-8113EF70C63D}"/>
    <cellStyle name="Normal 4 4 5 4 2 5" xfId="22557" xr:uid="{2117B536-8360-4C02-804F-1DDE880A98CE}"/>
    <cellStyle name="Normal 4 4 5 4 2 6" xfId="13260" xr:uid="{159ACDFD-F303-4FF3-9FC8-959A4F6478BC}"/>
    <cellStyle name="Normal 4 4 5 4 3" xfId="6006" xr:uid="{00000000-0005-0000-0000-0000E8150000}"/>
    <cellStyle name="Normal 4 4 5 4 3 2" xfId="41524" xr:uid="{97B22312-9098-493D-9E50-984627FE824F}"/>
    <cellStyle name="Normal 4 4 5 4 3 3" xfId="33077" xr:uid="{7CB6353F-D5DB-4B4C-AB52-08C19DFDEA41}"/>
    <cellStyle name="Normal 4 4 5 4 3 4" xfId="24629" xr:uid="{3770BE6F-6323-4E36-B42A-3C58880EFA5A}"/>
    <cellStyle name="Normal 4 4 5 4 3 5" xfId="15332" xr:uid="{45DAA4F5-35FE-4346-BA42-98B1EA3DA372}"/>
    <cellStyle name="Normal 4 4 5 4 4" xfId="37307" xr:uid="{734FD7D4-EDF1-4FA6-854F-D695896FD6C0}"/>
    <cellStyle name="Normal 4 4 5 4 5" xfId="28859" xr:uid="{B3D40446-F5BE-4F1E-838A-61E6FFFA2321}"/>
    <cellStyle name="Normal 4 4 5 4 6" xfId="20412" xr:uid="{FEC97A1C-7F8C-4067-BFCB-02ABD576CA84}"/>
    <cellStyle name="Normal 4 4 5 4 7" xfId="11115" xr:uid="{B0E9B777-7D9B-493E-B722-1E5E999E609F}"/>
    <cellStyle name="Normal 4 4 5 5" xfId="2113" xr:uid="{00000000-0005-0000-0000-0000E9150000}"/>
    <cellStyle name="Normal 4 4 5 5 2" xfId="4342" xr:uid="{00000000-0005-0000-0000-0000EA150000}"/>
    <cellStyle name="Normal 4 4 5 5 2 2" xfId="8564" xr:uid="{00000000-0005-0000-0000-0000EB150000}"/>
    <cellStyle name="Normal 4 4 5 5 2 2 2" xfId="44082" xr:uid="{BD0283CF-474D-47F5-A03F-43912C34A9D1}"/>
    <cellStyle name="Normal 4 4 5 5 2 2 3" xfId="35635" xr:uid="{7A219C94-8834-4E5F-ACA7-5F6C4941B1C8}"/>
    <cellStyle name="Normal 4 4 5 5 2 2 4" xfId="27187" xr:uid="{F5A59ED5-64DC-4A2F-8AB2-870E96B284BB}"/>
    <cellStyle name="Normal 4 4 5 5 2 2 5" xfId="17890" xr:uid="{F66BCB93-AF36-4BB0-9CE5-E0E6A9221A17}"/>
    <cellStyle name="Normal 4 4 5 5 2 3" xfId="39865" xr:uid="{D517D6A0-87DB-4973-A919-B09040C17DC9}"/>
    <cellStyle name="Normal 4 4 5 5 2 4" xfId="31417" xr:uid="{D63B7462-B981-457D-85C8-52B1805DF5F0}"/>
    <cellStyle name="Normal 4 4 5 5 2 5" xfId="22970" xr:uid="{096FBB45-154D-4B82-A986-C4DA4CA1316F}"/>
    <cellStyle name="Normal 4 4 5 5 2 6" xfId="13673" xr:uid="{8F87026A-7865-43FD-B9E2-9B3AE4C27FFE}"/>
    <cellStyle name="Normal 4 4 5 5 3" xfId="6419" xr:uid="{00000000-0005-0000-0000-0000EC150000}"/>
    <cellStyle name="Normal 4 4 5 5 3 2" xfId="41937" xr:uid="{8D494616-29EB-4667-9CFD-495B46140981}"/>
    <cellStyle name="Normal 4 4 5 5 3 3" xfId="33490" xr:uid="{C4620536-E1F8-4E4B-A0FA-61D22F96D6ED}"/>
    <cellStyle name="Normal 4 4 5 5 3 4" xfId="25042" xr:uid="{CD545BCE-7FD2-4F0F-B4F1-07E04C7102C4}"/>
    <cellStyle name="Normal 4 4 5 5 3 5" xfId="15745" xr:uid="{2A17D078-6D0F-48A2-80E3-A8E19B18689A}"/>
    <cellStyle name="Normal 4 4 5 5 4" xfId="37720" xr:uid="{F2F09F97-E382-4826-B94D-1975A5DD9EA8}"/>
    <cellStyle name="Normal 4 4 5 5 5" xfId="29272" xr:uid="{45169A6A-23E7-4E53-8B20-B6783FE3338E}"/>
    <cellStyle name="Normal 4 4 5 5 6" xfId="20825" xr:uid="{BD440D39-A952-4B5A-8DD2-56CA5ADC5975}"/>
    <cellStyle name="Normal 4 4 5 5 7" xfId="11528" xr:uid="{A0BD4903-190A-4CC6-A432-FDC0F535A0B5}"/>
    <cellStyle name="Normal 4 4 5 6" xfId="2549" xr:uid="{00000000-0005-0000-0000-0000ED150000}"/>
    <cellStyle name="Normal 4 4 5 6 2" xfId="6832" xr:uid="{00000000-0005-0000-0000-0000EE150000}"/>
    <cellStyle name="Normal 4 4 5 6 2 2" xfId="42350" xr:uid="{4CCCD98E-EE76-4FFD-83DD-2CF4B4952A51}"/>
    <cellStyle name="Normal 4 4 5 6 2 3" xfId="33903" xr:uid="{40A7667F-3F0C-4111-829D-8E164F5B4F50}"/>
    <cellStyle name="Normal 4 4 5 6 2 4" xfId="25455" xr:uid="{857E52DE-9FA3-40F1-8458-8F85FC4E5797}"/>
    <cellStyle name="Normal 4 4 5 6 2 5" xfId="16158" xr:uid="{7A9CFACC-62F0-46E1-A003-36FE1AAA8610}"/>
    <cellStyle name="Normal 4 4 5 6 3" xfId="38133" xr:uid="{467994AB-233A-4465-9E92-E902E89A7886}"/>
    <cellStyle name="Normal 4 4 5 6 4" xfId="29685" xr:uid="{A4ACE9F1-3C6E-49B2-AEDB-D36CF807CE00}"/>
    <cellStyle name="Normal 4 4 5 6 5" xfId="21238" xr:uid="{A2A6AD93-CCEC-4EF2-A3FC-98F625AD8C74}"/>
    <cellStyle name="Normal 4 4 5 6 6" xfId="11941" xr:uid="{4B5C2126-DCCC-4202-87F0-DB3B70E044C7}"/>
    <cellStyle name="Normal 4 4 5 7" xfId="4767" xr:uid="{00000000-0005-0000-0000-0000EF150000}"/>
    <cellStyle name="Normal 4 4 5 7 2" xfId="40285" xr:uid="{167376AA-6D95-4283-B518-5D05B7D0EAA6}"/>
    <cellStyle name="Normal 4 4 5 7 3" xfId="31838" xr:uid="{9DF7212E-C452-4ED0-A192-279BB48C8504}"/>
    <cellStyle name="Normal 4 4 5 7 4" xfId="23390" xr:uid="{0AA0C95C-FBE7-43AF-B0B9-46CC2DB0830D}"/>
    <cellStyle name="Normal 4 4 5 7 5" xfId="14093" xr:uid="{6C586CA6-6835-4FAA-B7ED-8A1F5ACF3326}"/>
    <cellStyle name="Normal 4 4 5 8" xfId="8968" xr:uid="{BE877DDE-435D-4CBA-84F2-0372D1DDE771}"/>
    <cellStyle name="Normal 4 4 5 8 2" xfId="36068" xr:uid="{16136F75-C220-4F1E-AECF-731D6B104032}"/>
    <cellStyle name="Normal 4 4 5 8 3" xfId="18291" xr:uid="{C5E4504D-86B1-41C3-A072-79F88F00623B}"/>
    <cellStyle name="Normal 4 4 5 9" xfId="27620" xr:uid="{3BB45B7A-1D33-4F79-A83B-2EE653D0D694}"/>
    <cellStyle name="Normal 4 4 6" xfId="853" xr:uid="{00000000-0005-0000-0000-0000F0150000}"/>
    <cellStyle name="Normal 4 4 6 2" xfId="3088" xr:uid="{00000000-0005-0000-0000-0000F1150000}"/>
    <cellStyle name="Normal 4 4 6 2 2" xfId="7310" xr:uid="{00000000-0005-0000-0000-0000F2150000}"/>
    <cellStyle name="Normal 4 4 6 2 2 2" xfId="42828" xr:uid="{0FDF37D9-36B2-4B5E-94FA-8103691D9D1C}"/>
    <cellStyle name="Normal 4 4 6 2 2 3" xfId="34381" xr:uid="{2278FF65-0393-4803-9727-B5A6E3872E4D}"/>
    <cellStyle name="Normal 4 4 6 2 2 4" xfId="25933" xr:uid="{5A864A56-36F6-4731-A0AE-0F39E42B4FD2}"/>
    <cellStyle name="Normal 4 4 6 2 2 5" xfId="16636" xr:uid="{1C196DAD-F0C7-4134-8AF7-DACFA6234015}"/>
    <cellStyle name="Normal 4 4 6 2 3" xfId="38611" xr:uid="{57DBE0F7-6AB6-4E6C-8088-4A7AA5C5FF1D}"/>
    <cellStyle name="Normal 4 4 6 2 4" xfId="30163" xr:uid="{86EF52A3-4849-4610-8256-B9D29A37041B}"/>
    <cellStyle name="Normal 4 4 6 2 5" xfId="21716" xr:uid="{8F5A4E6D-023E-4996-BFE6-DC2FF72A8BA6}"/>
    <cellStyle name="Normal 4 4 6 2 6" xfId="12419" xr:uid="{2DE83B4E-9305-4C5A-9DC0-92DC50825E95}"/>
    <cellStyle name="Normal 4 4 6 3" xfId="5165" xr:uid="{00000000-0005-0000-0000-0000F3150000}"/>
    <cellStyle name="Normal 4 4 6 3 2" xfId="40683" xr:uid="{B0275995-3167-4918-B7C7-AC7A6412F219}"/>
    <cellStyle name="Normal 4 4 6 3 3" xfId="32236" xr:uid="{7742C58A-64E0-4F56-A66A-FACDABAE8E29}"/>
    <cellStyle name="Normal 4 4 6 3 4" xfId="23788" xr:uid="{36BC1930-1A52-48F4-8E0F-E6A164D14F75}"/>
    <cellStyle name="Normal 4 4 6 3 5" xfId="14491" xr:uid="{1AC073B1-67AF-48D0-98A9-0BC81D97F8F2}"/>
    <cellStyle name="Normal 4 4 6 4" xfId="9171" xr:uid="{C474601B-95F0-4C9E-AB77-B3E61D2A21D7}"/>
    <cellStyle name="Normal 4 4 6 4 2" xfId="36466" xr:uid="{E537524D-8506-4C15-8B6B-71AEE7B85C31}"/>
    <cellStyle name="Normal 4 4 6 4 3" xfId="18487" xr:uid="{F6076D91-1C31-4FF0-9711-8B7AC16CE8C5}"/>
    <cellStyle name="Normal 4 4 6 5" xfId="28018" xr:uid="{284D7A6D-35B0-4AA1-BD91-5D3FE163A66E}"/>
    <cellStyle name="Normal 4 4 6 6" xfId="19571" xr:uid="{3AA8E794-78E7-44A9-9E71-0FA530EEE758}"/>
    <cellStyle name="Normal 4 4 6 7" xfId="10274" xr:uid="{11C9AFCA-D4DA-433F-A212-E39B80B0A643}"/>
    <cellStyle name="Normal 4 4 7" xfId="1271" xr:uid="{00000000-0005-0000-0000-0000F4150000}"/>
    <cellStyle name="Normal 4 4 7 2" xfId="3501" xr:uid="{00000000-0005-0000-0000-0000F5150000}"/>
    <cellStyle name="Normal 4 4 7 2 2" xfId="7723" xr:uid="{00000000-0005-0000-0000-0000F6150000}"/>
    <cellStyle name="Normal 4 4 7 2 2 2" xfId="43241" xr:uid="{188AC0BA-7368-4AF9-897E-505B5C6237C5}"/>
    <cellStyle name="Normal 4 4 7 2 2 3" xfId="34794" xr:uid="{A860B641-CF27-42B4-B9D0-8CEAF15DABE8}"/>
    <cellStyle name="Normal 4 4 7 2 2 4" xfId="26346" xr:uid="{0988AECD-B5DE-440B-9211-480737C03348}"/>
    <cellStyle name="Normal 4 4 7 2 2 5" xfId="17049" xr:uid="{49EDA1ED-4D53-4E92-BAF2-B024B2C81ABC}"/>
    <cellStyle name="Normal 4 4 7 2 3" xfId="39024" xr:uid="{CB6B2D66-0909-4E49-92EE-30FA34018D6E}"/>
    <cellStyle name="Normal 4 4 7 2 4" xfId="30576" xr:uid="{7021992C-E9E8-4C06-AB8D-E9DFFF93EFC9}"/>
    <cellStyle name="Normal 4 4 7 2 5" xfId="22129" xr:uid="{90172CDE-3BEB-4569-B7FA-DF9E14B7333E}"/>
    <cellStyle name="Normal 4 4 7 2 6" xfId="12832" xr:uid="{12E52D17-FAD2-4889-A2AA-7D65E63E6834}"/>
    <cellStyle name="Normal 4 4 7 3" xfId="5578" xr:uid="{00000000-0005-0000-0000-0000F7150000}"/>
    <cellStyle name="Normal 4 4 7 3 2" xfId="41096" xr:uid="{7DD8C4AF-D696-4761-85BF-37CBEB40E754}"/>
    <cellStyle name="Normal 4 4 7 3 3" xfId="32649" xr:uid="{C2F701B6-A388-4C52-820B-897D4DCE51E5}"/>
    <cellStyle name="Normal 4 4 7 3 4" xfId="24201" xr:uid="{4178775B-86DF-4D3B-934D-4CFBFE28BB40}"/>
    <cellStyle name="Normal 4 4 7 3 5" xfId="14904" xr:uid="{A5493ADA-7AFA-4B3A-AB53-5236E67D3015}"/>
    <cellStyle name="Normal 4 4 7 4" xfId="36879" xr:uid="{9BDAF78F-8574-46AD-904C-C6EE254C3E0E}"/>
    <cellStyle name="Normal 4 4 7 5" xfId="28431" xr:uid="{40189A5A-0D2E-43EA-9DB9-4DF3ED801CCB}"/>
    <cellStyle name="Normal 4 4 7 6" xfId="19984" xr:uid="{2F534ABB-12EA-41C4-9B5A-FBBD9BE37A4F}"/>
    <cellStyle name="Normal 4 4 7 7" xfId="10687" xr:uid="{4FEEA003-CD49-4AC0-8753-646BBA880DAB}"/>
    <cellStyle name="Normal 4 4 8" xfId="1684" xr:uid="{00000000-0005-0000-0000-0000F8150000}"/>
    <cellStyle name="Normal 4 4 8 2" xfId="3914" xr:uid="{00000000-0005-0000-0000-0000F9150000}"/>
    <cellStyle name="Normal 4 4 8 2 2" xfId="8136" xr:uid="{00000000-0005-0000-0000-0000FA150000}"/>
    <cellStyle name="Normal 4 4 8 2 2 2" xfId="43654" xr:uid="{1A8DD079-4484-47CA-B970-51846C2F12CE}"/>
    <cellStyle name="Normal 4 4 8 2 2 3" xfId="35207" xr:uid="{923FB857-74CE-40AE-8641-ED4BE080200B}"/>
    <cellStyle name="Normal 4 4 8 2 2 4" xfId="26759" xr:uid="{56B2DB67-E39D-44B7-A3B3-76C1205EF904}"/>
    <cellStyle name="Normal 4 4 8 2 2 5" xfId="17462" xr:uid="{9C5DC440-6DC8-445C-B175-480D2AB1FAF2}"/>
    <cellStyle name="Normal 4 4 8 2 3" xfId="39437" xr:uid="{77B5E98B-4222-45F5-A6DF-45604D2617C3}"/>
    <cellStyle name="Normal 4 4 8 2 4" xfId="30989" xr:uid="{D4253AA8-B447-413C-8282-8E3C49E69DA1}"/>
    <cellStyle name="Normal 4 4 8 2 5" xfId="22542" xr:uid="{E986800E-1FDB-497D-80CB-8797C6BB3032}"/>
    <cellStyle name="Normal 4 4 8 2 6" xfId="13245" xr:uid="{A0CD1148-A24F-4FFD-B2A8-C5476D92982E}"/>
    <cellStyle name="Normal 4 4 8 3" xfId="5991" xr:uid="{00000000-0005-0000-0000-0000FB150000}"/>
    <cellStyle name="Normal 4 4 8 3 2" xfId="41509" xr:uid="{6A38398F-29C1-486A-9F58-0B9FDDAE3ED4}"/>
    <cellStyle name="Normal 4 4 8 3 3" xfId="33062" xr:uid="{A8B64F5D-F689-42F1-9A7D-F8576673A26C}"/>
    <cellStyle name="Normal 4 4 8 3 4" xfId="24614" xr:uid="{1ACF0E7F-B092-4040-8A48-DBCB222F83FB}"/>
    <cellStyle name="Normal 4 4 8 3 5" xfId="15317" xr:uid="{6D3A8730-C8E4-4E92-8C1B-43DF45C86E3F}"/>
    <cellStyle name="Normal 4 4 8 4" xfId="37292" xr:uid="{680F650A-5794-4918-A06D-A7BA4FD77096}"/>
    <cellStyle name="Normal 4 4 8 5" xfId="28844" xr:uid="{8E80817B-2556-4BD6-9EBD-33959B28FA33}"/>
    <cellStyle name="Normal 4 4 8 6" xfId="20397" xr:uid="{B7BCED71-9C09-45BA-A2E7-374E00DD3D9B}"/>
    <cellStyle name="Normal 4 4 8 7" xfId="11100" xr:uid="{85AD31AE-ED4D-4C5F-AB03-7C709DFCAEAE}"/>
    <cellStyle name="Normal 4 4 9" xfId="2098" xr:uid="{00000000-0005-0000-0000-0000FC150000}"/>
    <cellStyle name="Normal 4 4 9 2" xfId="4327" xr:uid="{00000000-0005-0000-0000-0000FD150000}"/>
    <cellStyle name="Normal 4 4 9 2 2" xfId="8549" xr:uid="{00000000-0005-0000-0000-0000FE150000}"/>
    <cellStyle name="Normal 4 4 9 2 2 2" xfId="44067" xr:uid="{F0D2C643-68CE-4D51-9463-60C2E4A34BB2}"/>
    <cellStyle name="Normal 4 4 9 2 2 3" xfId="35620" xr:uid="{AC5F85AE-2B3B-4EA5-A4CD-F4D496571D66}"/>
    <cellStyle name="Normal 4 4 9 2 2 4" xfId="27172" xr:uid="{9F966C44-2B52-4FE0-9160-BF6A14728933}"/>
    <cellStyle name="Normal 4 4 9 2 2 5" xfId="17875" xr:uid="{EE5D0C34-8C9B-4294-AEA4-BFAEB99DC47D}"/>
    <cellStyle name="Normal 4 4 9 2 3" xfId="39850" xr:uid="{75CEAAA8-2E4E-43A9-AFF9-52D3FB6C4108}"/>
    <cellStyle name="Normal 4 4 9 2 4" xfId="31402" xr:uid="{98376623-A184-46BD-A4F8-A3856B7CEDC5}"/>
    <cellStyle name="Normal 4 4 9 2 5" xfId="22955" xr:uid="{60A1ACF7-65B0-44E2-8F05-F213FF668D21}"/>
    <cellStyle name="Normal 4 4 9 2 6" xfId="13658" xr:uid="{03FD6FD0-7BFF-4B16-BFDF-4A8E6A13EDD0}"/>
    <cellStyle name="Normal 4 4 9 3" xfId="6404" xr:uid="{00000000-0005-0000-0000-0000FF150000}"/>
    <cellStyle name="Normal 4 4 9 3 2" xfId="41922" xr:uid="{23F6EBC0-6E66-431B-A5F3-C9C702245D98}"/>
    <cellStyle name="Normal 4 4 9 3 3" xfId="33475" xr:uid="{CEC8F7BB-0156-41DC-8864-01DC6810BD0A}"/>
    <cellStyle name="Normal 4 4 9 3 4" xfId="25027" xr:uid="{7D3E56DD-F3D8-4A46-96FD-FB216392E8A1}"/>
    <cellStyle name="Normal 4 4 9 3 5" xfId="15730" xr:uid="{1977D2F1-7801-4575-A6C0-084D33186CEF}"/>
    <cellStyle name="Normal 4 4 9 4" xfId="37705" xr:uid="{0173BCFE-A852-4270-89D2-7E3C0DA84DA4}"/>
    <cellStyle name="Normal 4 4 9 5" xfId="29257" xr:uid="{24282DF6-FB73-4D20-B258-8F668A96353C}"/>
    <cellStyle name="Normal 4 4 9 6" xfId="20810" xr:uid="{1B127253-B8F9-4536-970A-25FFCDF7C5FB}"/>
    <cellStyle name="Normal 4 4 9 7" xfId="11513" xr:uid="{5C4C6B86-C6DA-4528-982F-D2907CAE0A43}"/>
    <cellStyle name="Normal 4 5" xfId="394" xr:uid="{00000000-0005-0000-0000-000000160000}"/>
    <cellStyle name="Normal 4 6" xfId="395" xr:uid="{00000000-0005-0000-0000-000001160000}"/>
    <cellStyle name="Normal 4 6 10" xfId="4768" xr:uid="{00000000-0005-0000-0000-000002160000}"/>
    <cellStyle name="Normal 4 6 10 2" xfId="40286" xr:uid="{A2BFB78B-D0ED-46CE-BC9B-C6B4EDA68D0E}"/>
    <cellStyle name="Normal 4 6 10 3" xfId="31839" xr:uid="{C91DD0BC-5350-49BF-9DF2-BAE5D85D2903}"/>
    <cellStyle name="Normal 4 6 10 4" xfId="23391" xr:uid="{56CC7CDB-7928-42E2-9D12-9D4F3E611D71}"/>
    <cellStyle name="Normal 4 6 10 5" xfId="14094" xr:uid="{1481A1F9-503F-43C3-8AB1-331B3E7E66CA}"/>
    <cellStyle name="Normal 4 6 11" xfId="8772" xr:uid="{23628FEE-4113-4B2C-B2A0-0106FC7F55C2}"/>
    <cellStyle name="Normal 4 6 11 2" xfId="36069" xr:uid="{140446D2-CBBC-4690-9ACB-B93C7F33623B}"/>
    <cellStyle name="Normal 4 6 11 3" xfId="18095" xr:uid="{D56989D8-B37B-4EFD-B799-2883059EB22C}"/>
    <cellStyle name="Normal 4 6 12" xfId="27621" xr:uid="{0422BFF3-B4CC-4C39-BE55-AB595C3F4B6D}"/>
    <cellStyle name="Normal 4 6 13" xfId="19174" xr:uid="{D18F1F72-2F17-4F46-8552-D6A056FF07D5}"/>
    <cellStyle name="Normal 4 6 14" xfId="9877" xr:uid="{681C54B1-E237-49A8-AE58-308361CEE0E8}"/>
    <cellStyle name="Normal 4 6 2" xfId="396" xr:uid="{00000000-0005-0000-0000-000003160000}"/>
    <cellStyle name="Normal 4 6 2 10" xfId="8825" xr:uid="{C3062495-9D56-441B-95F6-B73E7DAC524C}"/>
    <cellStyle name="Normal 4 6 2 10 2" xfId="36070" xr:uid="{524CDB70-C4AE-4486-B6BC-C8A81968DE22}"/>
    <cellStyle name="Normal 4 6 2 10 3" xfId="18148" xr:uid="{35FF7B7B-DE0F-4720-AA40-3134FB136B84}"/>
    <cellStyle name="Normal 4 6 2 11" xfId="27622" xr:uid="{0E1BC345-3C8D-45C6-B17C-5997494F9717}"/>
    <cellStyle name="Normal 4 6 2 12" xfId="19175" xr:uid="{846F1B06-B6AC-47B1-A343-4B7776242549}"/>
    <cellStyle name="Normal 4 6 2 13" xfId="9878" xr:uid="{3728FFE1-EBB1-4341-A1CE-3853165B509E}"/>
    <cellStyle name="Normal 4 6 2 2" xfId="397" xr:uid="{00000000-0005-0000-0000-000004160000}"/>
    <cellStyle name="Normal 4 6 2 2 10" xfId="27623" xr:uid="{62D23771-340F-404D-9B78-8C2D05CF1E02}"/>
    <cellStyle name="Normal 4 6 2 2 11" xfId="19176" xr:uid="{9D3DE6D8-3497-40FE-89CB-D8A738C97950}"/>
    <cellStyle name="Normal 4 6 2 2 12" xfId="9879" xr:uid="{8A6A5BA5-BFC2-4B6C-91FE-5107B53049C4}"/>
    <cellStyle name="Normal 4 6 2 2 2" xfId="398" xr:uid="{00000000-0005-0000-0000-000005160000}"/>
    <cellStyle name="Normal 4 6 2 2 2 10" xfId="19177" xr:uid="{B4D78DD1-D89C-495F-A02E-88D14510A5CE}"/>
    <cellStyle name="Normal 4 6 2 2 2 11" xfId="9880" xr:uid="{AF1E0C0C-3145-445A-87A7-6EF0CB01F47A}"/>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42847" xr:uid="{4E99825B-1B2D-4BED-9FA1-69CD3A1D261F}"/>
    <cellStyle name="Normal 4 6 2 2 2 2 2 2 3" xfId="34400" xr:uid="{806F540C-7171-475E-A8B6-52B2E5049579}"/>
    <cellStyle name="Normal 4 6 2 2 2 2 2 2 4" xfId="25952" xr:uid="{A040AFA6-CD41-428A-9BA0-C1EF63D747FA}"/>
    <cellStyle name="Normal 4 6 2 2 2 2 2 2 5" xfId="16655" xr:uid="{8449AF28-D90A-47A1-A19D-0636DD74F7B2}"/>
    <cellStyle name="Normal 4 6 2 2 2 2 2 3" xfId="38630" xr:uid="{D37E5DDF-F8A7-4795-B286-DDC0E103AE10}"/>
    <cellStyle name="Normal 4 6 2 2 2 2 2 4" xfId="30182" xr:uid="{9FA5BDBC-A467-4AC1-A173-6CF46FCD1BD7}"/>
    <cellStyle name="Normal 4 6 2 2 2 2 2 5" xfId="21735" xr:uid="{92A2E878-89AB-4765-98D2-39B0D21B5C9A}"/>
    <cellStyle name="Normal 4 6 2 2 2 2 2 6" xfId="12438" xr:uid="{D8753A53-F2D2-4E52-AA45-A0F79FAEBA77}"/>
    <cellStyle name="Normal 4 6 2 2 2 2 3" xfId="5184" xr:uid="{00000000-0005-0000-0000-000009160000}"/>
    <cellStyle name="Normal 4 6 2 2 2 2 3 2" xfId="40702" xr:uid="{D46481DA-5019-46C9-99B0-46598E7A3AFF}"/>
    <cellStyle name="Normal 4 6 2 2 2 2 3 3" xfId="32255" xr:uid="{AE3AEDD4-09D9-402C-BE40-CA814604BEDE}"/>
    <cellStyle name="Normal 4 6 2 2 2 2 3 4" xfId="23807" xr:uid="{405D7737-4F9B-48FF-870A-3C01E8B367F3}"/>
    <cellStyle name="Normal 4 6 2 2 2 2 3 5" xfId="14510" xr:uid="{D568CEF6-174C-4E9E-BC4E-5C234C14A4CC}"/>
    <cellStyle name="Normal 4 6 2 2 2 2 4" xfId="9560" xr:uid="{04DAEE11-A96E-4522-8546-8A0C107E12B9}"/>
    <cellStyle name="Normal 4 6 2 2 2 2 4 2" xfId="36485" xr:uid="{99147856-49A3-4390-BB3D-2C277311E079}"/>
    <cellStyle name="Normal 4 6 2 2 2 2 4 3" xfId="18873" xr:uid="{8ECA21A0-497E-402D-946B-F29F2FFF8E47}"/>
    <cellStyle name="Normal 4 6 2 2 2 2 5" xfId="28037" xr:uid="{E213DEC6-BA84-4A3D-BF69-A30DEEB939E7}"/>
    <cellStyle name="Normal 4 6 2 2 2 2 6" xfId="19590" xr:uid="{AE0ACC10-DDDC-40EC-9C8E-1F0E5551F8D1}"/>
    <cellStyle name="Normal 4 6 2 2 2 2 7" xfId="10293" xr:uid="{0D103743-7654-4737-906F-AD13B20D34E5}"/>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43260" xr:uid="{7E097D6D-11ED-41F7-9D30-3F8EDA43DDF6}"/>
    <cellStyle name="Normal 4 6 2 2 2 3 2 2 3" xfId="34813" xr:uid="{0B046649-39FD-43EC-91D3-473DDA7CE8A1}"/>
    <cellStyle name="Normal 4 6 2 2 2 3 2 2 4" xfId="26365" xr:uid="{E23A667F-4946-4E7A-BC41-671E5458325F}"/>
    <cellStyle name="Normal 4 6 2 2 2 3 2 2 5" xfId="17068" xr:uid="{37E2EE6A-F1EB-4D35-907F-8D2791DA0172}"/>
    <cellStyle name="Normal 4 6 2 2 2 3 2 3" xfId="39043" xr:uid="{01FA5534-C5CA-4F27-A3B2-69C065017596}"/>
    <cellStyle name="Normal 4 6 2 2 2 3 2 4" xfId="30595" xr:uid="{23C8B908-8708-40F9-B66F-16E84F0FDC70}"/>
    <cellStyle name="Normal 4 6 2 2 2 3 2 5" xfId="22148" xr:uid="{C56FC0B6-73DE-42D5-B28C-3FDA89C58B3F}"/>
    <cellStyle name="Normal 4 6 2 2 2 3 2 6" xfId="12851" xr:uid="{E6C527CC-0100-4CF3-B772-4B5426F926A9}"/>
    <cellStyle name="Normal 4 6 2 2 2 3 3" xfId="5597" xr:uid="{00000000-0005-0000-0000-00000D160000}"/>
    <cellStyle name="Normal 4 6 2 2 2 3 3 2" xfId="41115" xr:uid="{C0F3D9A6-2D0B-4FD2-9DE5-5A0570FFB486}"/>
    <cellStyle name="Normal 4 6 2 2 2 3 3 3" xfId="32668" xr:uid="{BF669FFF-84AE-49D4-A1A4-588BCFBE8DC9}"/>
    <cellStyle name="Normal 4 6 2 2 2 3 3 4" xfId="24220" xr:uid="{DC45C68F-3AC5-47F1-8A80-5F92FFD332DE}"/>
    <cellStyle name="Normal 4 6 2 2 2 3 3 5" xfId="14923" xr:uid="{47F6D248-2FD5-4B34-9E86-6E6B2071C10F}"/>
    <cellStyle name="Normal 4 6 2 2 2 3 4" xfId="36898" xr:uid="{D5FFD71E-54BD-479E-96C0-024A83334D7B}"/>
    <cellStyle name="Normal 4 6 2 2 2 3 5" xfId="28450" xr:uid="{A0C36FF3-A48A-4018-8F9A-D06481CA4C4A}"/>
    <cellStyle name="Normal 4 6 2 2 2 3 6" xfId="20003" xr:uid="{C65560E1-8B04-4F06-9CE5-53F94DCB1842}"/>
    <cellStyle name="Normal 4 6 2 2 2 3 7" xfId="10706" xr:uid="{340058D2-0A00-4979-BF2A-D1BF79A993F1}"/>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43673" xr:uid="{A6265520-15A6-4F98-A093-5D13D7902919}"/>
    <cellStyle name="Normal 4 6 2 2 2 4 2 2 3" xfId="35226" xr:uid="{A8C9074C-B45D-4CAC-B96C-3680D68E4068}"/>
    <cellStyle name="Normal 4 6 2 2 2 4 2 2 4" xfId="26778" xr:uid="{0BAE1B29-6FF8-402B-8BE8-8B96B62802B9}"/>
    <cellStyle name="Normal 4 6 2 2 2 4 2 2 5" xfId="17481" xr:uid="{477ACB88-30BA-44F2-8948-944786F78D1B}"/>
    <cellStyle name="Normal 4 6 2 2 2 4 2 3" xfId="39456" xr:uid="{6A31DFBD-73CB-4DB6-AA27-1A9D337D48FF}"/>
    <cellStyle name="Normal 4 6 2 2 2 4 2 4" xfId="31008" xr:uid="{FD5B17C6-9138-4CDC-88F7-C0E27579E85F}"/>
    <cellStyle name="Normal 4 6 2 2 2 4 2 5" xfId="22561" xr:uid="{7417D16D-95E5-42EC-B504-4DECF6D0ADF6}"/>
    <cellStyle name="Normal 4 6 2 2 2 4 2 6" xfId="13264" xr:uid="{09F7A80A-37A6-4612-BE25-AB1D5A483FAF}"/>
    <cellStyle name="Normal 4 6 2 2 2 4 3" xfId="6010" xr:uid="{00000000-0005-0000-0000-000011160000}"/>
    <cellStyle name="Normal 4 6 2 2 2 4 3 2" xfId="41528" xr:uid="{E9CFA31C-C310-4E08-8F30-7EB828019D36}"/>
    <cellStyle name="Normal 4 6 2 2 2 4 3 3" xfId="33081" xr:uid="{65E20DA2-88F6-4FD3-B914-804D920843B0}"/>
    <cellStyle name="Normal 4 6 2 2 2 4 3 4" xfId="24633" xr:uid="{1FCC63C5-D729-4EE4-8AA3-DC7033997154}"/>
    <cellStyle name="Normal 4 6 2 2 2 4 3 5" xfId="15336" xr:uid="{D1BAE355-49AD-436F-888F-D4849DFA21EF}"/>
    <cellStyle name="Normal 4 6 2 2 2 4 4" xfId="37311" xr:uid="{E5BD5092-246A-4C07-B970-D48467DED06F}"/>
    <cellStyle name="Normal 4 6 2 2 2 4 5" xfId="28863" xr:uid="{5CF4ACDD-8D38-4612-9F34-F5F71CDAD189}"/>
    <cellStyle name="Normal 4 6 2 2 2 4 6" xfId="20416" xr:uid="{4AA1A429-0CF3-4F62-847E-7E08554F77BE}"/>
    <cellStyle name="Normal 4 6 2 2 2 4 7" xfId="11119" xr:uid="{A546A18B-DCD3-4297-8CFD-3C05BD938148}"/>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44086" xr:uid="{D1D979E0-651D-4A38-88D1-5B5064043D25}"/>
    <cellStyle name="Normal 4 6 2 2 2 5 2 2 3" xfId="35639" xr:uid="{D81EE42F-ECD2-4BA4-AD89-4362E56AC3FE}"/>
    <cellStyle name="Normal 4 6 2 2 2 5 2 2 4" xfId="27191" xr:uid="{DB0D5C3F-D9F5-43F7-99AC-D690E4372D6D}"/>
    <cellStyle name="Normal 4 6 2 2 2 5 2 2 5" xfId="17894" xr:uid="{550998CA-7941-4D58-9981-640ED06B991E}"/>
    <cellStyle name="Normal 4 6 2 2 2 5 2 3" xfId="39869" xr:uid="{F0400095-000F-4F90-9586-2359BA028C7B}"/>
    <cellStyle name="Normal 4 6 2 2 2 5 2 4" xfId="31421" xr:uid="{02CBD5C4-C4BC-458E-97D4-6252C5D9D7C1}"/>
    <cellStyle name="Normal 4 6 2 2 2 5 2 5" xfId="22974" xr:uid="{BD5A0C6B-67E6-4545-8F8A-0C8754147688}"/>
    <cellStyle name="Normal 4 6 2 2 2 5 2 6" xfId="13677" xr:uid="{4DA5BCEC-D45D-42BA-9AF9-FD77C1C590EA}"/>
    <cellStyle name="Normal 4 6 2 2 2 5 3" xfId="6423" xr:uid="{00000000-0005-0000-0000-000015160000}"/>
    <cellStyle name="Normal 4 6 2 2 2 5 3 2" xfId="41941" xr:uid="{0CCFE509-8DF3-4ADA-90E3-FFB02845DDF2}"/>
    <cellStyle name="Normal 4 6 2 2 2 5 3 3" xfId="33494" xr:uid="{A9309575-342A-4EB2-85C4-7D2FE9D34BE1}"/>
    <cellStyle name="Normal 4 6 2 2 2 5 3 4" xfId="25046" xr:uid="{238330F6-EA30-469E-86D4-0797544D512F}"/>
    <cellStyle name="Normal 4 6 2 2 2 5 3 5" xfId="15749" xr:uid="{190A4EEE-7FDC-4D3D-83DD-DB16A5D589FE}"/>
    <cellStyle name="Normal 4 6 2 2 2 5 4" xfId="37724" xr:uid="{3628435E-2161-42BA-9343-FB62AAA6111B}"/>
    <cellStyle name="Normal 4 6 2 2 2 5 5" xfId="29276" xr:uid="{8E8BEF50-F45E-4B78-9712-478AE7198254}"/>
    <cellStyle name="Normal 4 6 2 2 2 5 6" xfId="20829" xr:uid="{2E6C46AF-A4D1-4DDE-B79D-FBF7EBB24C1A}"/>
    <cellStyle name="Normal 4 6 2 2 2 5 7" xfId="11532" xr:uid="{BD181A15-5529-407C-9E3F-0DEE31C1D109}"/>
    <cellStyle name="Normal 4 6 2 2 2 6" xfId="2553" xr:uid="{00000000-0005-0000-0000-000016160000}"/>
    <cellStyle name="Normal 4 6 2 2 2 6 2" xfId="6836" xr:uid="{00000000-0005-0000-0000-000017160000}"/>
    <cellStyle name="Normal 4 6 2 2 2 6 2 2" xfId="42354" xr:uid="{DD7EE48A-D159-46F6-8B5D-E228D712C53D}"/>
    <cellStyle name="Normal 4 6 2 2 2 6 2 3" xfId="33907" xr:uid="{75305809-23DE-4333-A98C-8FE4EE890B9B}"/>
    <cellStyle name="Normal 4 6 2 2 2 6 2 4" xfId="25459" xr:uid="{A9D2AE39-EF73-4D63-89F1-BEE34D2CC5A4}"/>
    <cellStyle name="Normal 4 6 2 2 2 6 2 5" xfId="16162" xr:uid="{015F0852-9C00-4C74-BF8D-1A9F8F276292}"/>
    <cellStyle name="Normal 4 6 2 2 2 6 3" xfId="38137" xr:uid="{2850A90E-53DF-418D-9354-BA0A61F08ABA}"/>
    <cellStyle name="Normal 4 6 2 2 2 6 4" xfId="29689" xr:uid="{8EAEC9B9-09AA-4176-936B-FFE456396456}"/>
    <cellStyle name="Normal 4 6 2 2 2 6 5" xfId="21242" xr:uid="{BF695729-757B-43C7-B283-2DD819EC42FC}"/>
    <cellStyle name="Normal 4 6 2 2 2 6 6" xfId="11945" xr:uid="{20C64A44-99A2-4362-8286-8E2A0FF7B1F8}"/>
    <cellStyle name="Normal 4 6 2 2 2 7" xfId="4771" xr:uid="{00000000-0005-0000-0000-000018160000}"/>
    <cellStyle name="Normal 4 6 2 2 2 7 2" xfId="40289" xr:uid="{8DB231C3-F3A4-48C3-B6C2-477B4DCC7693}"/>
    <cellStyle name="Normal 4 6 2 2 2 7 3" xfId="31842" xr:uid="{88239D4E-E044-4FF7-B9DF-9447D6D7BCC3}"/>
    <cellStyle name="Normal 4 6 2 2 2 7 4" xfId="23394" xr:uid="{69B8AE86-E09C-4319-BC3B-9D8B149CFA53}"/>
    <cellStyle name="Normal 4 6 2 2 2 7 5" xfId="14097" xr:uid="{72470947-9DC5-4B1B-A27C-53AA1C559A24}"/>
    <cellStyle name="Normal 4 6 2 2 2 8" xfId="9135" xr:uid="{2F4C420F-13DD-45DD-99DD-C7AFF7CD7823}"/>
    <cellStyle name="Normal 4 6 2 2 2 8 2" xfId="36072" xr:uid="{E0D0797F-F9D2-404E-B4F1-67EF31285E7D}"/>
    <cellStyle name="Normal 4 6 2 2 2 8 3" xfId="18458" xr:uid="{0C46DC58-9220-446A-AF3E-861CE503990E}"/>
    <cellStyle name="Normal 4 6 2 2 2 9" xfId="27624" xr:uid="{1F11B49B-B340-43E4-9D4E-3A7D20C8E40B}"/>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42846" xr:uid="{CCFA706F-821D-41E3-B0AF-F87337913A9D}"/>
    <cellStyle name="Normal 4 6 2 2 3 2 2 3" xfId="34399" xr:uid="{8B6B4EEA-C21A-435C-9189-A048C41AD8A6}"/>
    <cellStyle name="Normal 4 6 2 2 3 2 2 4" xfId="25951" xr:uid="{DC57322A-3F0C-4B5B-A8B1-E420ADAA6CD2}"/>
    <cellStyle name="Normal 4 6 2 2 3 2 2 5" xfId="16654" xr:uid="{D7BEB729-5532-4587-BE52-CA1CFBE523A7}"/>
    <cellStyle name="Normal 4 6 2 2 3 2 3" xfId="38629" xr:uid="{AC6C60CF-29C9-4E91-BFD6-84FCA8A8C7A1}"/>
    <cellStyle name="Normal 4 6 2 2 3 2 4" xfId="30181" xr:uid="{39CE7F5D-34DC-41BB-85C1-39B00FFDC7BF}"/>
    <cellStyle name="Normal 4 6 2 2 3 2 5" xfId="21734" xr:uid="{E63BACF0-81FF-4C51-8118-88E0A48E426C}"/>
    <cellStyle name="Normal 4 6 2 2 3 2 6" xfId="12437" xr:uid="{F6416DBF-553D-4F31-96DE-4A4349311A3B}"/>
    <cellStyle name="Normal 4 6 2 2 3 3" xfId="5183" xr:uid="{00000000-0005-0000-0000-00001C160000}"/>
    <cellStyle name="Normal 4 6 2 2 3 3 2" xfId="40701" xr:uid="{E18EEA05-FF52-4C88-90AC-A6BA522F8EC0}"/>
    <cellStyle name="Normal 4 6 2 2 3 3 3" xfId="32254" xr:uid="{3609AB35-2A08-4AD9-A8C7-20155EA88F96}"/>
    <cellStyle name="Normal 4 6 2 2 3 3 4" xfId="23806" xr:uid="{F2226673-C76E-42D4-AA22-E3E8B5EAF9AD}"/>
    <cellStyle name="Normal 4 6 2 2 3 3 5" xfId="14509" xr:uid="{B8368C14-3D66-4077-8384-2DE5F944DB17}"/>
    <cellStyle name="Normal 4 6 2 2 3 4" xfId="9353" xr:uid="{60C7EC16-17DE-43AF-A246-41C667B376B7}"/>
    <cellStyle name="Normal 4 6 2 2 3 4 2" xfId="36484" xr:uid="{DD6D5BAD-015D-4E45-9319-ABDD9FAEDCEB}"/>
    <cellStyle name="Normal 4 6 2 2 3 4 3" xfId="18666" xr:uid="{24385A5D-CC85-4E22-9E3C-8A68C05A0BA9}"/>
    <cellStyle name="Normal 4 6 2 2 3 5" xfId="28036" xr:uid="{849A9E31-7F2A-4694-8040-FCFF782DC1E1}"/>
    <cellStyle name="Normal 4 6 2 2 3 6" xfId="19589" xr:uid="{00256D2C-CD99-4B4A-A649-CE7A7ECDAE88}"/>
    <cellStyle name="Normal 4 6 2 2 3 7" xfId="10292" xr:uid="{A4221EB6-26DA-4B28-BFE3-7F36ED05171C}"/>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43259" xr:uid="{31A466C5-0FB0-49CC-A406-724251376AD1}"/>
    <cellStyle name="Normal 4 6 2 2 4 2 2 3" xfId="34812" xr:uid="{E31893F0-EC17-42EC-95C1-7D5487FA0914}"/>
    <cellStyle name="Normal 4 6 2 2 4 2 2 4" xfId="26364" xr:uid="{6E40BD0E-9993-4545-A1A6-059FE313AAC6}"/>
    <cellStyle name="Normal 4 6 2 2 4 2 2 5" xfId="17067" xr:uid="{5EC6DFB7-57C9-4B7E-B2C3-E8D96483D4BD}"/>
    <cellStyle name="Normal 4 6 2 2 4 2 3" xfId="39042" xr:uid="{022CAD44-7DDF-4D61-B100-1EBEA50E76C9}"/>
    <cellStyle name="Normal 4 6 2 2 4 2 4" xfId="30594" xr:uid="{30439DE9-33CF-46FB-9947-4A2112220B5F}"/>
    <cellStyle name="Normal 4 6 2 2 4 2 5" xfId="22147" xr:uid="{9D381990-A06E-4846-8882-B40F3F84DF77}"/>
    <cellStyle name="Normal 4 6 2 2 4 2 6" xfId="12850" xr:uid="{AFA0EFCB-E4FE-4F34-AD8A-51D87AECDA84}"/>
    <cellStyle name="Normal 4 6 2 2 4 3" xfId="5596" xr:uid="{00000000-0005-0000-0000-000020160000}"/>
    <cellStyle name="Normal 4 6 2 2 4 3 2" xfId="41114" xr:uid="{52956134-DA41-4822-9E12-0F502F5170D1}"/>
    <cellStyle name="Normal 4 6 2 2 4 3 3" xfId="32667" xr:uid="{E95575FC-6F85-4F10-915B-56B7F57F2837}"/>
    <cellStyle name="Normal 4 6 2 2 4 3 4" xfId="24219" xr:uid="{68F3C8AE-42A8-43A1-BF55-956C636306EE}"/>
    <cellStyle name="Normal 4 6 2 2 4 3 5" xfId="14922" xr:uid="{6EA48E5B-F003-4B3C-8ACC-8B8CDE3EDCBC}"/>
    <cellStyle name="Normal 4 6 2 2 4 4" xfId="36897" xr:uid="{0E7E8E15-E6E5-4111-9306-A00E4CBC5216}"/>
    <cellStyle name="Normal 4 6 2 2 4 5" xfId="28449" xr:uid="{9E4E9D0D-6B9A-4B90-B1C8-913960A9532F}"/>
    <cellStyle name="Normal 4 6 2 2 4 6" xfId="20002" xr:uid="{1579E3E8-4699-43AA-8AB1-216803FABB79}"/>
    <cellStyle name="Normal 4 6 2 2 4 7" xfId="10705" xr:uid="{AC239577-1C00-4A2D-AB9F-ABFDD0DB93EC}"/>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43672" xr:uid="{3B5437F9-2B2C-46CA-B54F-D1E15439629C}"/>
    <cellStyle name="Normal 4 6 2 2 5 2 2 3" xfId="35225" xr:uid="{2D23F053-D056-439F-9080-0E79AE25333D}"/>
    <cellStyle name="Normal 4 6 2 2 5 2 2 4" xfId="26777" xr:uid="{D66A53EA-AB76-4465-9E41-FE5DF4A60132}"/>
    <cellStyle name="Normal 4 6 2 2 5 2 2 5" xfId="17480" xr:uid="{8546828C-6081-4C96-BF73-DEF401D9C568}"/>
    <cellStyle name="Normal 4 6 2 2 5 2 3" xfId="39455" xr:uid="{3B96C87C-A858-4A61-B038-F4F7F4DCF357}"/>
    <cellStyle name="Normal 4 6 2 2 5 2 4" xfId="31007" xr:uid="{42078586-8C92-4226-8FBD-600A78072696}"/>
    <cellStyle name="Normal 4 6 2 2 5 2 5" xfId="22560" xr:uid="{0DD5A69D-E03D-4C61-85E3-9E6EC2C3CC96}"/>
    <cellStyle name="Normal 4 6 2 2 5 2 6" xfId="13263" xr:uid="{7A383145-BED6-46C1-B9DF-050B5438B33F}"/>
    <cellStyle name="Normal 4 6 2 2 5 3" xfId="6009" xr:uid="{00000000-0005-0000-0000-000024160000}"/>
    <cellStyle name="Normal 4 6 2 2 5 3 2" xfId="41527" xr:uid="{C31D8CE1-FEBC-4EF9-A49F-93BD3028A355}"/>
    <cellStyle name="Normal 4 6 2 2 5 3 3" xfId="33080" xr:uid="{99B744AD-035C-4E5D-8DFA-5AE81729BBDA}"/>
    <cellStyle name="Normal 4 6 2 2 5 3 4" xfId="24632" xr:uid="{794CE0D9-5763-4102-806B-B520394B14CF}"/>
    <cellStyle name="Normal 4 6 2 2 5 3 5" xfId="15335" xr:uid="{4E59D15D-EE95-4243-BF6B-73FA8057CF8B}"/>
    <cellStyle name="Normal 4 6 2 2 5 4" xfId="37310" xr:uid="{757E17C7-DFDE-4337-B8F8-1B91D6DE3FE2}"/>
    <cellStyle name="Normal 4 6 2 2 5 5" xfId="28862" xr:uid="{712A32CB-29D4-46A5-8C2A-D2F3EFC4FAAA}"/>
    <cellStyle name="Normal 4 6 2 2 5 6" xfId="20415" xr:uid="{5EA91A4E-8EDD-40A4-99BE-C04D121A04BC}"/>
    <cellStyle name="Normal 4 6 2 2 5 7" xfId="11118" xr:uid="{51E76523-C669-4AC8-AE3A-B2CC5950A80F}"/>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44085" xr:uid="{BEA10A8D-29AD-4C40-AE2E-1577BEA1139A}"/>
    <cellStyle name="Normal 4 6 2 2 6 2 2 3" xfId="35638" xr:uid="{1BFFAE74-F688-47C7-81B8-F79963C72C92}"/>
    <cellStyle name="Normal 4 6 2 2 6 2 2 4" xfId="27190" xr:uid="{D05779BC-00A8-4E95-8D03-ECC204E8A6B7}"/>
    <cellStyle name="Normal 4 6 2 2 6 2 2 5" xfId="17893" xr:uid="{0CF724FF-1C9B-4F6E-803E-F6755EB1E111}"/>
    <cellStyle name="Normal 4 6 2 2 6 2 3" xfId="39868" xr:uid="{3506B7C1-8AB0-4E16-904D-38931B18F59B}"/>
    <cellStyle name="Normal 4 6 2 2 6 2 4" xfId="31420" xr:uid="{BF7A5980-F6D5-431A-AA5D-EB2E6E1E5321}"/>
    <cellStyle name="Normal 4 6 2 2 6 2 5" xfId="22973" xr:uid="{0142FD11-176C-4754-814A-EE4F05020851}"/>
    <cellStyle name="Normal 4 6 2 2 6 2 6" xfId="13676" xr:uid="{8F82B548-C2DD-419C-BBF2-0747FB8D02C6}"/>
    <cellStyle name="Normal 4 6 2 2 6 3" xfId="6422" xr:uid="{00000000-0005-0000-0000-000028160000}"/>
    <cellStyle name="Normal 4 6 2 2 6 3 2" xfId="41940" xr:uid="{D91D0224-E208-4987-965A-AFAFC36F8EA8}"/>
    <cellStyle name="Normal 4 6 2 2 6 3 3" xfId="33493" xr:uid="{CBD07819-2ED6-4E8B-A7C5-828FC79DD7EC}"/>
    <cellStyle name="Normal 4 6 2 2 6 3 4" xfId="25045" xr:uid="{7A5CC616-FBF9-4362-AE93-9A9B7508E877}"/>
    <cellStyle name="Normal 4 6 2 2 6 3 5" xfId="15748" xr:uid="{E65BC2D8-A507-4DB4-8281-155FFCA4A059}"/>
    <cellStyle name="Normal 4 6 2 2 6 4" xfId="37723" xr:uid="{79195E3F-251F-490F-9EA1-0CC466FDECFA}"/>
    <cellStyle name="Normal 4 6 2 2 6 5" xfId="29275" xr:uid="{5FDBDE91-8FB0-4C90-A546-870A24037F0B}"/>
    <cellStyle name="Normal 4 6 2 2 6 6" xfId="20828" xr:uid="{93EDB81B-F8D5-4979-8E4F-DB4A45B7F184}"/>
    <cellStyle name="Normal 4 6 2 2 6 7" xfId="11531" xr:uid="{3601CE98-66FF-48AF-93E8-D6966D8AF04A}"/>
    <cellStyle name="Normal 4 6 2 2 7" xfId="2552" xr:uid="{00000000-0005-0000-0000-000029160000}"/>
    <cellStyle name="Normal 4 6 2 2 7 2" xfId="6835" xr:uid="{00000000-0005-0000-0000-00002A160000}"/>
    <cellStyle name="Normal 4 6 2 2 7 2 2" xfId="42353" xr:uid="{EBCFA8D5-EFF6-4515-90CB-7AEE397227E2}"/>
    <cellStyle name="Normal 4 6 2 2 7 2 3" xfId="33906" xr:uid="{3A7C7870-1F8B-4805-930A-A67E41290BE8}"/>
    <cellStyle name="Normal 4 6 2 2 7 2 4" xfId="25458" xr:uid="{9483949A-8A3C-4079-A1A5-F09C33368F46}"/>
    <cellStyle name="Normal 4 6 2 2 7 2 5" xfId="16161" xr:uid="{5926CFF9-D967-4D3A-BEFF-B883D90BB458}"/>
    <cellStyle name="Normal 4 6 2 2 7 3" xfId="38136" xr:uid="{8403C0C5-2552-4069-8515-0EF050DD3352}"/>
    <cellStyle name="Normal 4 6 2 2 7 4" xfId="29688" xr:uid="{CBE837F6-605C-4776-A7FA-5E7DE5EDC0A4}"/>
    <cellStyle name="Normal 4 6 2 2 7 5" xfId="21241" xr:uid="{2C4EC36A-EB26-469D-B645-121E82C33111}"/>
    <cellStyle name="Normal 4 6 2 2 7 6" xfId="11944" xr:uid="{F031ED4B-FF34-4423-BBFC-EDA899DD76D3}"/>
    <cellStyle name="Normal 4 6 2 2 8" xfId="4770" xr:uid="{00000000-0005-0000-0000-00002B160000}"/>
    <cellStyle name="Normal 4 6 2 2 8 2" xfId="40288" xr:uid="{6C11E3D7-98E3-4886-886C-E42EE8267F04}"/>
    <cellStyle name="Normal 4 6 2 2 8 3" xfId="31841" xr:uid="{455A7D8F-106D-43B8-824E-CF99E2AF1362}"/>
    <cellStyle name="Normal 4 6 2 2 8 4" xfId="23393" xr:uid="{7B16B504-E7AF-455B-AA9D-9FD8C9177EF1}"/>
    <cellStyle name="Normal 4 6 2 2 8 5" xfId="14096" xr:uid="{8516DAF0-842F-4228-BF13-D17C7E403D95}"/>
    <cellStyle name="Normal 4 6 2 2 9" xfId="8928" xr:uid="{EC58FE5E-68BA-4864-AD86-0F9D1DB17AD0}"/>
    <cellStyle name="Normal 4 6 2 2 9 2" xfId="36071" xr:uid="{91DBCE9F-F236-4508-93C6-3E3946D26ED6}"/>
    <cellStyle name="Normal 4 6 2 2 9 3" xfId="18251" xr:uid="{ABE41A45-45EC-4441-A535-91BDA6A2AE90}"/>
    <cellStyle name="Normal 4 6 2 3" xfId="399" xr:uid="{00000000-0005-0000-0000-00002C160000}"/>
    <cellStyle name="Normal 4 6 2 3 10" xfId="19178" xr:uid="{AA95550E-DC0C-48B9-B5CE-6FFF663AC46B}"/>
    <cellStyle name="Normal 4 6 2 3 11" xfId="9881" xr:uid="{4588EBBF-DD58-485B-8FE5-5F2DABACFC00}"/>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42848" xr:uid="{B8C93B89-DC49-4D1E-832A-93BA7DDF23F5}"/>
    <cellStyle name="Normal 4 6 2 3 2 2 2 3" xfId="34401" xr:uid="{E1B65FFB-73D2-4BE1-AEA3-17076606E7F2}"/>
    <cellStyle name="Normal 4 6 2 3 2 2 2 4" xfId="25953" xr:uid="{99CE83E3-524F-451B-9271-F641C109B30D}"/>
    <cellStyle name="Normal 4 6 2 3 2 2 2 5" xfId="16656" xr:uid="{36611216-C67C-41CB-9AB7-9A404082E2AB}"/>
    <cellStyle name="Normal 4 6 2 3 2 2 3" xfId="38631" xr:uid="{AB402F07-23FE-48C3-B023-905BF1BFADF1}"/>
    <cellStyle name="Normal 4 6 2 3 2 2 4" xfId="30183" xr:uid="{4BE994D3-802B-4272-A442-10E841001EC1}"/>
    <cellStyle name="Normal 4 6 2 3 2 2 5" xfId="21736" xr:uid="{ECA111A9-A884-4158-85E4-CC4E9ACF4121}"/>
    <cellStyle name="Normal 4 6 2 3 2 2 6" xfId="12439" xr:uid="{7CF40AEB-094B-4F59-9FDA-098827EA64DE}"/>
    <cellStyle name="Normal 4 6 2 3 2 3" xfId="5185" xr:uid="{00000000-0005-0000-0000-000030160000}"/>
    <cellStyle name="Normal 4 6 2 3 2 3 2" xfId="40703" xr:uid="{96C4F3BB-98C5-444C-92B2-E47AB66AC150}"/>
    <cellStyle name="Normal 4 6 2 3 2 3 3" xfId="32256" xr:uid="{245B07BA-D000-4E40-B7CE-AB7327A9A30E}"/>
    <cellStyle name="Normal 4 6 2 3 2 3 4" xfId="23808" xr:uid="{5FE3EF2E-E603-4486-A360-6F0C749EDC72}"/>
    <cellStyle name="Normal 4 6 2 3 2 3 5" xfId="14511" xr:uid="{C856451A-2A84-4B85-A7B4-55658E4170D7}"/>
    <cellStyle name="Normal 4 6 2 3 2 4" xfId="9457" xr:uid="{E86AED2D-42AD-49DE-9461-1FA72B82C89E}"/>
    <cellStyle name="Normal 4 6 2 3 2 4 2" xfId="36486" xr:uid="{D0ECDF1F-978F-4738-A2F7-C909DAD88096}"/>
    <cellStyle name="Normal 4 6 2 3 2 4 3" xfId="18770" xr:uid="{1D84191F-6ED7-49D3-B729-2AEB40D70C4D}"/>
    <cellStyle name="Normal 4 6 2 3 2 5" xfId="28038" xr:uid="{722B2364-6038-4D90-8E83-5DDA80B1D923}"/>
    <cellStyle name="Normal 4 6 2 3 2 6" xfId="19591" xr:uid="{94C258EE-468E-42E2-971F-98EC6DD96015}"/>
    <cellStyle name="Normal 4 6 2 3 2 7" xfId="10294" xr:uid="{A8F4EAFF-D0B8-4F76-ADF2-E78A68F1B483}"/>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43261" xr:uid="{C655613D-5B12-4154-AD86-F43873E00DDC}"/>
    <cellStyle name="Normal 4 6 2 3 3 2 2 3" xfId="34814" xr:uid="{D3EE5C8B-3CBD-4375-8012-32447C1E268F}"/>
    <cellStyle name="Normal 4 6 2 3 3 2 2 4" xfId="26366" xr:uid="{43916179-E70B-493F-803C-4C052B3E7862}"/>
    <cellStyle name="Normal 4 6 2 3 3 2 2 5" xfId="17069" xr:uid="{A80445F0-01AB-4FB2-8D64-503A376AF8EA}"/>
    <cellStyle name="Normal 4 6 2 3 3 2 3" xfId="39044" xr:uid="{7AE1F932-C1F2-4B7F-BEF1-F5FC3B1A2C8B}"/>
    <cellStyle name="Normal 4 6 2 3 3 2 4" xfId="30596" xr:uid="{C5AA9E98-8CD1-4E67-A53E-1A6215D3B1F1}"/>
    <cellStyle name="Normal 4 6 2 3 3 2 5" xfId="22149" xr:uid="{9405396E-672C-4581-91A9-CDD3ED7327AA}"/>
    <cellStyle name="Normal 4 6 2 3 3 2 6" xfId="12852" xr:uid="{6CDA7626-B025-4E1F-B582-C2861780C19B}"/>
    <cellStyle name="Normal 4 6 2 3 3 3" xfId="5598" xr:uid="{00000000-0005-0000-0000-000034160000}"/>
    <cellStyle name="Normal 4 6 2 3 3 3 2" xfId="41116" xr:uid="{E96EADFD-286C-4EFC-916D-34E4C5EB34F6}"/>
    <cellStyle name="Normal 4 6 2 3 3 3 3" xfId="32669" xr:uid="{C3D10E3D-B090-44A0-ACEC-75A467D58177}"/>
    <cellStyle name="Normal 4 6 2 3 3 3 4" xfId="24221" xr:uid="{E283BDA0-56DE-40CC-923F-017A710F9D40}"/>
    <cellStyle name="Normal 4 6 2 3 3 3 5" xfId="14924" xr:uid="{7F7D6549-78EB-4B9D-BA31-7D2F72B07363}"/>
    <cellStyle name="Normal 4 6 2 3 3 4" xfId="36899" xr:uid="{AC215B6B-AFD6-43DA-A9EB-8E854389B61D}"/>
    <cellStyle name="Normal 4 6 2 3 3 5" xfId="28451" xr:uid="{084A8BA2-1BAE-4FAB-A00F-401F42A59E32}"/>
    <cellStyle name="Normal 4 6 2 3 3 6" xfId="20004" xr:uid="{815BE202-68A7-450B-904A-45C46BA12466}"/>
    <cellStyle name="Normal 4 6 2 3 3 7" xfId="10707" xr:uid="{1BFCFCE7-11B7-4348-B4CD-4C0BD34350E2}"/>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43674" xr:uid="{91C4A934-022F-4AFA-BB5E-DD8279542ABC}"/>
    <cellStyle name="Normal 4 6 2 3 4 2 2 3" xfId="35227" xr:uid="{BA6AEFF6-EF1A-4482-8081-944A1FA7E04B}"/>
    <cellStyle name="Normal 4 6 2 3 4 2 2 4" xfId="26779" xr:uid="{008574D5-EF4B-4411-8678-3C2E3DCC36F9}"/>
    <cellStyle name="Normal 4 6 2 3 4 2 2 5" xfId="17482" xr:uid="{342D62C8-DC80-4D0D-B17E-6C05985B2DB1}"/>
    <cellStyle name="Normal 4 6 2 3 4 2 3" xfId="39457" xr:uid="{0B9ADD5C-FC2E-4F03-B970-102261570A5B}"/>
    <cellStyle name="Normal 4 6 2 3 4 2 4" xfId="31009" xr:uid="{9E531872-E5B4-48A1-B9C1-83FC62339A69}"/>
    <cellStyle name="Normal 4 6 2 3 4 2 5" xfId="22562" xr:uid="{B1107839-872C-4EB0-ADE6-C704E1290395}"/>
    <cellStyle name="Normal 4 6 2 3 4 2 6" xfId="13265" xr:uid="{6F97AA77-54A6-4CBE-BA8C-497A6176A3AA}"/>
    <cellStyle name="Normal 4 6 2 3 4 3" xfId="6011" xr:uid="{00000000-0005-0000-0000-000038160000}"/>
    <cellStyle name="Normal 4 6 2 3 4 3 2" xfId="41529" xr:uid="{58B89552-6B69-47A9-B6C0-94DF0C922467}"/>
    <cellStyle name="Normal 4 6 2 3 4 3 3" xfId="33082" xr:uid="{069F5031-A425-4C87-A465-FD8961164C21}"/>
    <cellStyle name="Normal 4 6 2 3 4 3 4" xfId="24634" xr:uid="{E7F85692-F64B-419B-8990-2FF83E0CEEF3}"/>
    <cellStyle name="Normal 4 6 2 3 4 3 5" xfId="15337" xr:uid="{73C90E25-C8B7-4C73-B5F2-A192438B5B32}"/>
    <cellStyle name="Normal 4 6 2 3 4 4" xfId="37312" xr:uid="{8C9D81E6-0955-404C-A3FA-45CA1FE5B67A}"/>
    <cellStyle name="Normal 4 6 2 3 4 5" xfId="28864" xr:uid="{DFE53241-C582-4EBB-8915-4C816BCFA46D}"/>
    <cellStyle name="Normal 4 6 2 3 4 6" xfId="20417" xr:uid="{299261B6-252B-4EA9-8672-09B3FA980E77}"/>
    <cellStyle name="Normal 4 6 2 3 4 7" xfId="11120" xr:uid="{F8EF0923-0C96-4973-A89E-7E430074AED0}"/>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44087" xr:uid="{1E1F63B6-EA7B-41A3-9043-614AE7220B23}"/>
    <cellStyle name="Normal 4 6 2 3 5 2 2 3" xfId="35640" xr:uid="{C4456218-DB20-41A4-8D30-C133F95A5444}"/>
    <cellStyle name="Normal 4 6 2 3 5 2 2 4" xfId="27192" xr:uid="{367993EC-08A6-4D02-9C51-05EE30191260}"/>
    <cellStyle name="Normal 4 6 2 3 5 2 2 5" xfId="17895" xr:uid="{E92BEBAF-C0E0-4919-B792-9F3BB1A68BD1}"/>
    <cellStyle name="Normal 4 6 2 3 5 2 3" xfId="39870" xr:uid="{57C82FD6-FF91-41A0-8FD5-2691975F1ABC}"/>
    <cellStyle name="Normal 4 6 2 3 5 2 4" xfId="31422" xr:uid="{C20C7D4F-3505-480C-B161-DCA2D414CDEC}"/>
    <cellStyle name="Normal 4 6 2 3 5 2 5" xfId="22975" xr:uid="{FBCDAFDC-B694-48EB-8437-CC7B5F3AE3AD}"/>
    <cellStyle name="Normal 4 6 2 3 5 2 6" xfId="13678" xr:uid="{406E3014-EF4F-49BF-B0A1-3D8D8D9D4484}"/>
    <cellStyle name="Normal 4 6 2 3 5 3" xfId="6424" xr:uid="{00000000-0005-0000-0000-00003C160000}"/>
    <cellStyle name="Normal 4 6 2 3 5 3 2" xfId="41942" xr:uid="{379D4275-B54B-4727-9021-FDF800FEB8C9}"/>
    <cellStyle name="Normal 4 6 2 3 5 3 3" xfId="33495" xr:uid="{8AFC743A-7FB9-4307-AFC4-BFC9DAC34145}"/>
    <cellStyle name="Normal 4 6 2 3 5 3 4" xfId="25047" xr:uid="{E20311DB-551E-434E-8D4F-E28A498D88F9}"/>
    <cellStyle name="Normal 4 6 2 3 5 3 5" xfId="15750" xr:uid="{21006203-102D-41EE-A457-6A106895AEFE}"/>
    <cellStyle name="Normal 4 6 2 3 5 4" xfId="37725" xr:uid="{3D08E587-376D-4223-BB9D-B8568DC678E8}"/>
    <cellStyle name="Normal 4 6 2 3 5 5" xfId="29277" xr:uid="{CB939109-8812-4E01-AD02-76174FDFEDE0}"/>
    <cellStyle name="Normal 4 6 2 3 5 6" xfId="20830" xr:uid="{BE9E61D3-8B59-4D18-92E7-CC56E0C84A80}"/>
    <cellStyle name="Normal 4 6 2 3 5 7" xfId="11533" xr:uid="{815D9D6C-372F-4185-8517-C7D114354F28}"/>
    <cellStyle name="Normal 4 6 2 3 6" xfId="2554" xr:uid="{00000000-0005-0000-0000-00003D160000}"/>
    <cellStyle name="Normal 4 6 2 3 6 2" xfId="6837" xr:uid="{00000000-0005-0000-0000-00003E160000}"/>
    <cellStyle name="Normal 4 6 2 3 6 2 2" xfId="42355" xr:uid="{518AC27E-7DFE-4AC4-8A6D-A0DE7F538AB4}"/>
    <cellStyle name="Normal 4 6 2 3 6 2 3" xfId="33908" xr:uid="{31BB186A-2895-4EAF-AEC4-E0C9ACD005FD}"/>
    <cellStyle name="Normal 4 6 2 3 6 2 4" xfId="25460" xr:uid="{370C9AB9-69F0-4F88-B842-EDFC9B9D5E80}"/>
    <cellStyle name="Normal 4 6 2 3 6 2 5" xfId="16163" xr:uid="{7735FA1D-94E7-4089-BEBB-2DC67A3F6149}"/>
    <cellStyle name="Normal 4 6 2 3 6 3" xfId="38138" xr:uid="{B2278ABC-1A3D-47E5-A8A0-55982434E4EF}"/>
    <cellStyle name="Normal 4 6 2 3 6 4" xfId="29690" xr:uid="{E5EC7D18-78C4-45FD-A24A-E8A721AB593A}"/>
    <cellStyle name="Normal 4 6 2 3 6 5" xfId="21243" xr:uid="{7DBA711B-1617-4D70-B07C-E2F3F2EB4159}"/>
    <cellStyle name="Normal 4 6 2 3 6 6" xfId="11946" xr:uid="{4E1F18B3-4E85-49E2-9E6C-2F1DD4ED5DBF}"/>
    <cellStyle name="Normal 4 6 2 3 7" xfId="4772" xr:uid="{00000000-0005-0000-0000-00003F160000}"/>
    <cellStyle name="Normal 4 6 2 3 7 2" xfId="40290" xr:uid="{48441FD6-31BD-4B95-9C67-FD0551A74EF0}"/>
    <cellStyle name="Normal 4 6 2 3 7 3" xfId="31843" xr:uid="{DC9D26F9-F1FC-47EB-8037-E63BEA4EC853}"/>
    <cellStyle name="Normal 4 6 2 3 7 4" xfId="23395" xr:uid="{F7A840C0-51D2-441F-9D3D-43CF5F1D0A6D}"/>
    <cellStyle name="Normal 4 6 2 3 7 5" xfId="14098" xr:uid="{7BB594E3-5125-4D84-AE24-28C9E2CE950D}"/>
    <cellStyle name="Normal 4 6 2 3 8" xfId="9032" xr:uid="{576A1DC5-5971-4772-803F-0A60F80D4C41}"/>
    <cellStyle name="Normal 4 6 2 3 8 2" xfId="36073" xr:uid="{B56FF18C-A593-4A70-90CC-40785470FC82}"/>
    <cellStyle name="Normal 4 6 2 3 8 3" xfId="18355" xr:uid="{984714B5-E6D3-46BA-BFBC-CC6117C9C62F}"/>
    <cellStyle name="Normal 4 6 2 3 9" xfId="27625" xr:uid="{DE33A851-7762-4DAF-8967-E73D729A4E00}"/>
    <cellStyle name="Normal 4 6 2 4" xfId="870" xr:uid="{00000000-0005-0000-0000-000040160000}"/>
    <cellStyle name="Normal 4 6 2 4 2" xfId="3105" xr:uid="{00000000-0005-0000-0000-000041160000}"/>
    <cellStyle name="Normal 4 6 2 4 2 2" xfId="7327" xr:uid="{00000000-0005-0000-0000-000042160000}"/>
    <cellStyle name="Normal 4 6 2 4 2 2 2" xfId="42845" xr:uid="{0B882343-DB91-4EFA-BA02-63F7351A4BCA}"/>
    <cellStyle name="Normal 4 6 2 4 2 2 3" xfId="34398" xr:uid="{28A87C81-6381-4947-B71C-0C8B315A9CC7}"/>
    <cellStyle name="Normal 4 6 2 4 2 2 4" xfId="25950" xr:uid="{B2838F4A-620E-4806-9C83-E6B868C610F1}"/>
    <cellStyle name="Normal 4 6 2 4 2 2 5" xfId="16653" xr:uid="{28178113-C8C9-41BF-B09E-8485F8A46462}"/>
    <cellStyle name="Normal 4 6 2 4 2 3" xfId="38628" xr:uid="{54355D40-A754-4536-A315-B99FFA63C69E}"/>
    <cellStyle name="Normal 4 6 2 4 2 4" xfId="30180" xr:uid="{E85BAD62-F0A7-49A2-9AB9-981D1BE1B58F}"/>
    <cellStyle name="Normal 4 6 2 4 2 5" xfId="21733" xr:uid="{6514BA09-5629-4012-9387-82DFE9C4342F}"/>
    <cellStyle name="Normal 4 6 2 4 2 6" xfId="12436" xr:uid="{98A9CE03-1BFA-4F37-A1CC-3655FAA8849C}"/>
    <cellStyle name="Normal 4 6 2 4 3" xfId="5182" xr:uid="{00000000-0005-0000-0000-000043160000}"/>
    <cellStyle name="Normal 4 6 2 4 3 2" xfId="40700" xr:uid="{FEE2D677-34E1-4EF4-96BF-915AF231C128}"/>
    <cellStyle name="Normal 4 6 2 4 3 3" xfId="32253" xr:uid="{79164814-2972-4F04-9AB6-5C7B64B7C55E}"/>
    <cellStyle name="Normal 4 6 2 4 3 4" xfId="23805" xr:uid="{005A4192-BAA7-43C8-A771-670A5152A5FA}"/>
    <cellStyle name="Normal 4 6 2 4 3 5" xfId="14508" xr:uid="{7660BBFF-3670-4578-AD89-787ADD2BF47D}"/>
    <cellStyle name="Normal 4 6 2 4 4" xfId="9250" xr:uid="{CBBC9A51-5203-4C00-93C7-FE7C973DCDD1}"/>
    <cellStyle name="Normal 4 6 2 4 4 2" xfId="36483" xr:uid="{98C90D05-DCC7-4F45-B435-F9CD4724A617}"/>
    <cellStyle name="Normal 4 6 2 4 4 3" xfId="18563" xr:uid="{837093DA-17F4-4F66-A578-0C19D3E3F9FB}"/>
    <cellStyle name="Normal 4 6 2 4 5" xfId="28035" xr:uid="{95FAC211-BC3F-43BC-8E0B-289B74DD05C3}"/>
    <cellStyle name="Normal 4 6 2 4 6" xfId="19588" xr:uid="{109ED644-ECF5-477D-8CDA-5E4B73323C93}"/>
    <cellStyle name="Normal 4 6 2 4 7" xfId="10291" xr:uid="{0884C76B-6A72-4697-B817-AE5927912FC8}"/>
    <cellStyle name="Normal 4 6 2 5" xfId="1288" xr:uid="{00000000-0005-0000-0000-000044160000}"/>
    <cellStyle name="Normal 4 6 2 5 2" xfId="3518" xr:uid="{00000000-0005-0000-0000-000045160000}"/>
    <cellStyle name="Normal 4 6 2 5 2 2" xfId="7740" xr:uid="{00000000-0005-0000-0000-000046160000}"/>
    <cellStyle name="Normal 4 6 2 5 2 2 2" xfId="43258" xr:uid="{C8A98514-C928-4FFD-B068-7C515617B07E}"/>
    <cellStyle name="Normal 4 6 2 5 2 2 3" xfId="34811" xr:uid="{BE54B26C-5E9A-41A1-B30F-E31347AADEC5}"/>
    <cellStyle name="Normal 4 6 2 5 2 2 4" xfId="26363" xr:uid="{13D64CDD-CBBA-4AFC-B8BB-9573B0A35197}"/>
    <cellStyle name="Normal 4 6 2 5 2 2 5" xfId="17066" xr:uid="{A5A127DC-E178-44E1-8221-E0E0030969D0}"/>
    <cellStyle name="Normal 4 6 2 5 2 3" xfId="39041" xr:uid="{DA977BE0-0CF2-414A-A8EA-4B79B2718401}"/>
    <cellStyle name="Normal 4 6 2 5 2 4" xfId="30593" xr:uid="{E5459A60-93F3-4C73-8EBF-AE8848327EBD}"/>
    <cellStyle name="Normal 4 6 2 5 2 5" xfId="22146" xr:uid="{10D24DFB-1CF1-42F9-9055-C696A81B13B2}"/>
    <cellStyle name="Normal 4 6 2 5 2 6" xfId="12849" xr:uid="{BC18E7CE-B9FA-44AE-A6C4-A5359DC5D618}"/>
    <cellStyle name="Normal 4 6 2 5 3" xfId="5595" xr:uid="{00000000-0005-0000-0000-000047160000}"/>
    <cellStyle name="Normal 4 6 2 5 3 2" xfId="41113" xr:uid="{82B9A5DD-FF5E-4B08-BC79-C1734A0C4E91}"/>
    <cellStyle name="Normal 4 6 2 5 3 3" xfId="32666" xr:uid="{1BD5261A-2618-4AF7-AD2D-BAA9943AE240}"/>
    <cellStyle name="Normal 4 6 2 5 3 4" xfId="24218" xr:uid="{B2361B2E-16F4-4B0C-9C87-CC8281C140B8}"/>
    <cellStyle name="Normal 4 6 2 5 3 5" xfId="14921" xr:uid="{CDA1DD60-CB66-47FE-B693-4A7DEC2B3AD4}"/>
    <cellStyle name="Normal 4 6 2 5 4" xfId="36896" xr:uid="{AF58AE67-3F54-4A51-881C-66A9CF4303C6}"/>
    <cellStyle name="Normal 4 6 2 5 5" xfId="28448" xr:uid="{C62FE414-ED9C-4792-B45E-13617973169A}"/>
    <cellStyle name="Normal 4 6 2 5 6" xfId="20001" xr:uid="{8A5ADA3F-0D1F-485A-A3D9-19541CF75504}"/>
    <cellStyle name="Normal 4 6 2 5 7" xfId="10704" xr:uid="{F7349336-3326-4C52-B6C6-8DAEB9B86B1D}"/>
    <cellStyle name="Normal 4 6 2 6" xfId="1701" xr:uid="{00000000-0005-0000-0000-000048160000}"/>
    <cellStyle name="Normal 4 6 2 6 2" xfId="3931" xr:uid="{00000000-0005-0000-0000-000049160000}"/>
    <cellStyle name="Normal 4 6 2 6 2 2" xfId="8153" xr:uid="{00000000-0005-0000-0000-00004A160000}"/>
    <cellStyle name="Normal 4 6 2 6 2 2 2" xfId="43671" xr:uid="{D66BF556-E054-47A0-BD9E-5480AD373E6A}"/>
    <cellStyle name="Normal 4 6 2 6 2 2 3" xfId="35224" xr:uid="{EBD433A3-3159-4B3F-9435-FE45612C6744}"/>
    <cellStyle name="Normal 4 6 2 6 2 2 4" xfId="26776" xr:uid="{C1FF5F0C-5179-4F17-92B6-D99EFD0901E5}"/>
    <cellStyle name="Normal 4 6 2 6 2 2 5" xfId="17479" xr:uid="{B8716FB1-EF3C-4D22-8CC2-623C97D3347F}"/>
    <cellStyle name="Normal 4 6 2 6 2 3" xfId="39454" xr:uid="{8AA726E8-DE6E-4484-ADF1-1DC8E0BE6DD4}"/>
    <cellStyle name="Normal 4 6 2 6 2 4" xfId="31006" xr:uid="{DF69D5B7-2E78-4E15-BBB3-5DD0D7D00A87}"/>
    <cellStyle name="Normal 4 6 2 6 2 5" xfId="22559" xr:uid="{BB66CDF5-6740-478C-B824-221EE9E5E4EF}"/>
    <cellStyle name="Normal 4 6 2 6 2 6" xfId="13262" xr:uid="{647364B7-24A0-49CD-92E6-E372F3509FDE}"/>
    <cellStyle name="Normal 4 6 2 6 3" xfId="6008" xr:uid="{00000000-0005-0000-0000-00004B160000}"/>
    <cellStyle name="Normal 4 6 2 6 3 2" xfId="41526" xr:uid="{991655A0-CC8C-4365-89D5-2F23636C6D6A}"/>
    <cellStyle name="Normal 4 6 2 6 3 3" xfId="33079" xr:uid="{CA7773D7-D49C-4A95-B0A5-8BF4651C9429}"/>
    <cellStyle name="Normal 4 6 2 6 3 4" xfId="24631" xr:uid="{A0A29295-33D3-4117-86C4-5033F65FCA63}"/>
    <cellStyle name="Normal 4 6 2 6 3 5" xfId="15334" xr:uid="{8287D995-F733-40D1-996D-D7557EF89EE6}"/>
    <cellStyle name="Normal 4 6 2 6 4" xfId="37309" xr:uid="{D74E6FA8-6358-42EC-AE5A-CC3EF525AB1B}"/>
    <cellStyle name="Normal 4 6 2 6 5" xfId="28861" xr:uid="{5F62EE25-D647-4F32-9474-FB6A670E6E31}"/>
    <cellStyle name="Normal 4 6 2 6 6" xfId="20414" xr:uid="{F18D760B-E558-4AE9-8352-4941E73C7410}"/>
    <cellStyle name="Normal 4 6 2 6 7" xfId="11117" xr:uid="{EE0EE613-B456-43D4-8482-F0709E82A763}"/>
    <cellStyle name="Normal 4 6 2 7" xfId="2115" xr:uid="{00000000-0005-0000-0000-00004C160000}"/>
    <cellStyle name="Normal 4 6 2 7 2" xfId="4344" xr:uid="{00000000-0005-0000-0000-00004D160000}"/>
    <cellStyle name="Normal 4 6 2 7 2 2" xfId="8566" xr:uid="{00000000-0005-0000-0000-00004E160000}"/>
    <cellStyle name="Normal 4 6 2 7 2 2 2" xfId="44084" xr:uid="{B66DD242-E27B-4369-B6B7-175BB299BD37}"/>
    <cellStyle name="Normal 4 6 2 7 2 2 3" xfId="35637" xr:uid="{11752376-164E-40B4-835A-D2D98193BE51}"/>
    <cellStyle name="Normal 4 6 2 7 2 2 4" xfId="27189" xr:uid="{D9AFA25E-151B-4332-9BD6-1BB60929E0C3}"/>
    <cellStyle name="Normal 4 6 2 7 2 2 5" xfId="17892" xr:uid="{EFBD65CA-6BDD-4250-8D8D-B9DD2CD48E25}"/>
    <cellStyle name="Normal 4 6 2 7 2 3" xfId="39867" xr:uid="{02D07D9B-45B8-4B06-8399-F56E23FF7539}"/>
    <cellStyle name="Normal 4 6 2 7 2 4" xfId="31419" xr:uid="{EEB3B61A-6E07-40A2-85B1-715E21B8DA01}"/>
    <cellStyle name="Normal 4 6 2 7 2 5" xfId="22972" xr:uid="{391ADE0E-411E-4968-A7A1-A9753F7971AE}"/>
    <cellStyle name="Normal 4 6 2 7 2 6" xfId="13675" xr:uid="{09CB78C3-680B-4388-B150-E021A44873D7}"/>
    <cellStyle name="Normal 4 6 2 7 3" xfId="6421" xr:uid="{00000000-0005-0000-0000-00004F160000}"/>
    <cellStyle name="Normal 4 6 2 7 3 2" xfId="41939" xr:uid="{FB8A0C6F-39AB-4AF8-9BD6-681BD247F1E4}"/>
    <cellStyle name="Normal 4 6 2 7 3 3" xfId="33492" xr:uid="{7FCFEC8E-64EA-41D2-9E7E-9C59C9A5D960}"/>
    <cellStyle name="Normal 4 6 2 7 3 4" xfId="25044" xr:uid="{C97C9A30-74CA-4397-BC0F-B67C28F9EC4B}"/>
    <cellStyle name="Normal 4 6 2 7 3 5" xfId="15747" xr:uid="{2E09F9CC-7566-490C-BBA4-1054358452AA}"/>
    <cellStyle name="Normal 4 6 2 7 4" xfId="37722" xr:uid="{5DC543F2-6885-4652-84D7-519F6B6F4A91}"/>
    <cellStyle name="Normal 4 6 2 7 5" xfId="29274" xr:uid="{5D9AF923-E7A1-4215-8AF3-2C32368D9A18}"/>
    <cellStyle name="Normal 4 6 2 7 6" xfId="20827" xr:uid="{7E0042CC-98AC-49FF-90C6-0A58A5F57E0D}"/>
    <cellStyle name="Normal 4 6 2 7 7" xfId="11530" xr:uid="{E021FF61-4A72-4B70-A351-FD7B3D50034D}"/>
    <cellStyle name="Normal 4 6 2 8" xfId="2551" xr:uid="{00000000-0005-0000-0000-000050160000}"/>
    <cellStyle name="Normal 4 6 2 8 2" xfId="6834" xr:uid="{00000000-0005-0000-0000-000051160000}"/>
    <cellStyle name="Normal 4 6 2 8 2 2" xfId="42352" xr:uid="{A3539CF7-547A-4AA7-9C7E-02F57D388E42}"/>
    <cellStyle name="Normal 4 6 2 8 2 3" xfId="33905" xr:uid="{F296338B-9585-40E3-97D2-BA34BCE9511D}"/>
    <cellStyle name="Normal 4 6 2 8 2 4" xfId="25457" xr:uid="{8C0342AA-29DF-484C-A821-3F225BF107A0}"/>
    <cellStyle name="Normal 4 6 2 8 2 5" xfId="16160" xr:uid="{1B5D1345-8701-41B9-B3EC-8E8F11DF40A7}"/>
    <cellStyle name="Normal 4 6 2 8 3" xfId="38135" xr:uid="{9CFEAC46-DA80-45B3-9DCB-E5286E6EEEAA}"/>
    <cellStyle name="Normal 4 6 2 8 4" xfId="29687" xr:uid="{6587A7FF-2C29-44DA-A281-DCA4E70DFAAF}"/>
    <cellStyle name="Normal 4 6 2 8 5" xfId="21240" xr:uid="{5C24FE01-1795-4A2B-B859-A8A413B8CA3F}"/>
    <cellStyle name="Normal 4 6 2 8 6" xfId="11943" xr:uid="{056A7DAD-159C-476E-82F9-3F8D5315587B}"/>
    <cellStyle name="Normal 4 6 2 9" xfId="4769" xr:uid="{00000000-0005-0000-0000-000052160000}"/>
    <cellStyle name="Normal 4 6 2 9 2" xfId="40287" xr:uid="{1E4F54D2-69D5-494F-9887-5CCF0651D0D4}"/>
    <cellStyle name="Normal 4 6 2 9 3" xfId="31840" xr:uid="{BE4B19EF-FA13-47FA-BA17-EA83F929649C}"/>
    <cellStyle name="Normal 4 6 2 9 4" xfId="23392" xr:uid="{5A9500FE-AB25-435B-8F48-14B21CDC9B22}"/>
    <cellStyle name="Normal 4 6 2 9 5" xfId="14095" xr:uid="{71DB0E3F-A94E-42F1-BAEF-40F6BD5A4D16}"/>
    <cellStyle name="Normal 4 6 3" xfId="400" xr:uid="{00000000-0005-0000-0000-000053160000}"/>
    <cellStyle name="Normal 4 6 3 10" xfId="27626" xr:uid="{2D1E05B4-F528-4746-B774-CEE098EF3846}"/>
    <cellStyle name="Normal 4 6 3 11" xfId="19179" xr:uid="{AE48FC73-2067-448F-90B1-7498187193D1}"/>
    <cellStyle name="Normal 4 6 3 12" xfId="9882" xr:uid="{872DE422-921D-4B0E-A5FE-F5051B4D4237}"/>
    <cellStyle name="Normal 4 6 3 2" xfId="401" xr:uid="{00000000-0005-0000-0000-000054160000}"/>
    <cellStyle name="Normal 4 6 3 2 10" xfId="19180" xr:uid="{B5AF9F2A-AA03-4155-A0A2-F277BBC7FBA2}"/>
    <cellStyle name="Normal 4 6 3 2 11" xfId="9883" xr:uid="{233070F1-B568-49D2-81CD-686EF8232AE3}"/>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42850" xr:uid="{2319AD74-0CC4-47FC-9F54-B8AD41A1D3A0}"/>
    <cellStyle name="Normal 4 6 3 2 2 2 2 3" xfId="34403" xr:uid="{3658B130-70EE-4513-B743-4F35CD7B94D2}"/>
    <cellStyle name="Normal 4 6 3 2 2 2 2 4" xfId="25955" xr:uid="{FFCF9E37-78A2-445C-B62C-B83B1CF6DBB7}"/>
    <cellStyle name="Normal 4 6 3 2 2 2 2 5" xfId="16658" xr:uid="{91D930B2-B9B3-4008-91DF-0D5BF1723101}"/>
    <cellStyle name="Normal 4 6 3 2 2 2 3" xfId="38633" xr:uid="{82C5A09F-B46C-49F3-A08C-6D6361E9E912}"/>
    <cellStyle name="Normal 4 6 3 2 2 2 4" xfId="30185" xr:uid="{7DDDD18E-8C6C-48F9-81D2-F76B9984D7A5}"/>
    <cellStyle name="Normal 4 6 3 2 2 2 5" xfId="21738" xr:uid="{6C1F23A6-61E4-4462-80F3-3DC0FBB73FEA}"/>
    <cellStyle name="Normal 4 6 3 2 2 2 6" xfId="12441" xr:uid="{F5F657A8-E111-4D78-B6A9-1B2B4FC20231}"/>
    <cellStyle name="Normal 4 6 3 2 2 3" xfId="5187" xr:uid="{00000000-0005-0000-0000-000058160000}"/>
    <cellStyle name="Normal 4 6 3 2 2 3 2" xfId="40705" xr:uid="{CE7BE23E-54AC-4AE0-AF3D-7AE076735893}"/>
    <cellStyle name="Normal 4 6 3 2 2 3 3" xfId="32258" xr:uid="{47714C79-B01A-4E04-8EAA-FAA3629FE26D}"/>
    <cellStyle name="Normal 4 6 3 2 2 3 4" xfId="23810" xr:uid="{3B975C2A-9062-462E-9793-274413CB4E90}"/>
    <cellStyle name="Normal 4 6 3 2 2 3 5" xfId="14513" xr:uid="{B892C37F-A58E-4E53-91F7-EC9B6981439C}"/>
    <cellStyle name="Normal 4 6 3 2 2 4" xfId="9507" xr:uid="{63E4C3EA-8BE6-4CDE-9E44-1D64049D4CF5}"/>
    <cellStyle name="Normal 4 6 3 2 2 4 2" xfId="36488" xr:uid="{61D79D7E-8216-4AEF-94C5-45CD9694DCDD}"/>
    <cellStyle name="Normal 4 6 3 2 2 4 3" xfId="18820" xr:uid="{57BD1B8F-2546-4E2F-9193-716710CDDC8F}"/>
    <cellStyle name="Normal 4 6 3 2 2 5" xfId="28040" xr:uid="{6BDFCFDD-6163-4B06-88C9-F925EB22AB0F}"/>
    <cellStyle name="Normal 4 6 3 2 2 6" xfId="19593" xr:uid="{998A15F2-052C-460D-B50A-B775B7885FD2}"/>
    <cellStyle name="Normal 4 6 3 2 2 7" xfId="10296" xr:uid="{AF856550-6384-471D-8907-B2152889957A}"/>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43263" xr:uid="{3613587E-A623-40E1-B33F-B31F91577BDA}"/>
    <cellStyle name="Normal 4 6 3 2 3 2 2 3" xfId="34816" xr:uid="{BE681896-91E1-4BEE-9007-046381113BF1}"/>
    <cellStyle name="Normal 4 6 3 2 3 2 2 4" xfId="26368" xr:uid="{134A1FFB-14E4-4081-996D-39ABB3677D59}"/>
    <cellStyle name="Normal 4 6 3 2 3 2 2 5" xfId="17071" xr:uid="{6D9419C0-C1F5-4052-B87A-36BEFD5CBC99}"/>
    <cellStyle name="Normal 4 6 3 2 3 2 3" xfId="39046" xr:uid="{BDA377A4-3BC0-4950-BAC0-1C9D4040F1C8}"/>
    <cellStyle name="Normal 4 6 3 2 3 2 4" xfId="30598" xr:uid="{8D1B744B-786B-4DE0-A2D9-07B8956B2AAD}"/>
    <cellStyle name="Normal 4 6 3 2 3 2 5" xfId="22151" xr:uid="{2FF25C74-3037-4273-B99E-A1557B10CBB5}"/>
    <cellStyle name="Normal 4 6 3 2 3 2 6" xfId="12854" xr:uid="{39FEA52F-AA5B-4D3D-8314-E860088D96E9}"/>
    <cellStyle name="Normal 4 6 3 2 3 3" xfId="5600" xr:uid="{00000000-0005-0000-0000-00005C160000}"/>
    <cellStyle name="Normal 4 6 3 2 3 3 2" xfId="41118" xr:uid="{F52C0375-8218-474C-96B4-668C2F6A2218}"/>
    <cellStyle name="Normal 4 6 3 2 3 3 3" xfId="32671" xr:uid="{E44F50B5-DB7C-4B1F-90F4-F5B8A7AE8DC1}"/>
    <cellStyle name="Normal 4 6 3 2 3 3 4" xfId="24223" xr:uid="{54347036-A157-425A-9745-9CE3EAEBD755}"/>
    <cellStyle name="Normal 4 6 3 2 3 3 5" xfId="14926" xr:uid="{F3C48B07-8C8D-4882-9049-1F6F6C7AE8B6}"/>
    <cellStyle name="Normal 4 6 3 2 3 4" xfId="36901" xr:uid="{6CA869AB-DAFC-44A5-ADC5-5A03966E6E55}"/>
    <cellStyle name="Normal 4 6 3 2 3 5" xfId="28453" xr:uid="{DBD471AA-EC48-4416-BA9D-A6F54DBE2EC5}"/>
    <cellStyle name="Normal 4 6 3 2 3 6" xfId="20006" xr:uid="{4754208C-2071-41E1-B7B0-694CA32676C6}"/>
    <cellStyle name="Normal 4 6 3 2 3 7" xfId="10709" xr:uid="{00352ED2-50FF-40E4-B49F-571F3AB51795}"/>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43676" xr:uid="{9BF738CD-8441-492E-8955-7229CB23B1A5}"/>
    <cellStyle name="Normal 4 6 3 2 4 2 2 3" xfId="35229" xr:uid="{C4424F90-75B1-41D3-8F7A-5A37FFFDEB76}"/>
    <cellStyle name="Normal 4 6 3 2 4 2 2 4" xfId="26781" xr:uid="{F3A751DF-587B-472E-B12E-FEE11FEBE569}"/>
    <cellStyle name="Normal 4 6 3 2 4 2 2 5" xfId="17484" xr:uid="{8FA97012-A083-44CD-A875-CE011505FE9B}"/>
    <cellStyle name="Normal 4 6 3 2 4 2 3" xfId="39459" xr:uid="{7F5426F6-3512-4DA2-B8CD-0C39CA8A1C0D}"/>
    <cellStyle name="Normal 4 6 3 2 4 2 4" xfId="31011" xr:uid="{353E7220-90A3-40AA-98E3-31471C95BC13}"/>
    <cellStyle name="Normal 4 6 3 2 4 2 5" xfId="22564" xr:uid="{85603836-8285-41DD-B410-72A73F15EDA8}"/>
    <cellStyle name="Normal 4 6 3 2 4 2 6" xfId="13267" xr:uid="{F9597579-42A0-43CB-B46A-464D16115A08}"/>
    <cellStyle name="Normal 4 6 3 2 4 3" xfId="6013" xr:uid="{00000000-0005-0000-0000-000060160000}"/>
    <cellStyle name="Normal 4 6 3 2 4 3 2" xfId="41531" xr:uid="{EE6B6ADD-11B9-4913-AC5E-C2E830113132}"/>
    <cellStyle name="Normal 4 6 3 2 4 3 3" xfId="33084" xr:uid="{3E33DE7F-C46D-41AE-B570-A0CCF1DEB7EE}"/>
    <cellStyle name="Normal 4 6 3 2 4 3 4" xfId="24636" xr:uid="{6ADD50CE-35B7-426D-9624-0BB037FB798F}"/>
    <cellStyle name="Normal 4 6 3 2 4 3 5" xfId="15339" xr:uid="{05A740E9-A6B1-486C-A094-EB0F9CB566C8}"/>
    <cellStyle name="Normal 4 6 3 2 4 4" xfId="37314" xr:uid="{27C2CDD3-BAFC-45B2-9C82-F9633CE10C52}"/>
    <cellStyle name="Normal 4 6 3 2 4 5" xfId="28866" xr:uid="{57C28722-E240-4047-9303-D71C45750D9B}"/>
    <cellStyle name="Normal 4 6 3 2 4 6" xfId="20419" xr:uid="{81001BBD-18AE-49E2-901E-A0E42221A6AA}"/>
    <cellStyle name="Normal 4 6 3 2 4 7" xfId="11122" xr:uid="{D31695DC-CD28-469D-9CC8-1E557FBCE7E4}"/>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44089" xr:uid="{0024C41B-7E66-477F-AF44-95427DB3896E}"/>
    <cellStyle name="Normal 4 6 3 2 5 2 2 3" xfId="35642" xr:uid="{516F06FF-94BB-4A76-BF7C-B0EE4ABF32B0}"/>
    <cellStyle name="Normal 4 6 3 2 5 2 2 4" xfId="27194" xr:uid="{2C38FD7A-32D5-451D-A3B8-42AF9D461D0B}"/>
    <cellStyle name="Normal 4 6 3 2 5 2 2 5" xfId="17897" xr:uid="{1FA57BA4-242D-4782-9F23-501D82CC13A9}"/>
    <cellStyle name="Normal 4 6 3 2 5 2 3" xfId="39872" xr:uid="{C0F8C583-732D-46C5-AFEE-0630AE4E72B2}"/>
    <cellStyle name="Normal 4 6 3 2 5 2 4" xfId="31424" xr:uid="{945A9C28-8DCB-453E-AC0C-C18F7BCD91CA}"/>
    <cellStyle name="Normal 4 6 3 2 5 2 5" xfId="22977" xr:uid="{0CA96E35-4D1B-4A1C-B4A3-195BCDD6660B}"/>
    <cellStyle name="Normal 4 6 3 2 5 2 6" xfId="13680" xr:uid="{5B1CD247-950B-48D2-BDE2-0AAEA5A9FC4B}"/>
    <cellStyle name="Normal 4 6 3 2 5 3" xfId="6426" xr:uid="{00000000-0005-0000-0000-000064160000}"/>
    <cellStyle name="Normal 4 6 3 2 5 3 2" xfId="41944" xr:uid="{C64BB2BD-B28B-460A-B528-07C920393F62}"/>
    <cellStyle name="Normal 4 6 3 2 5 3 3" xfId="33497" xr:uid="{0E33E42A-05E4-4CB2-9166-2F111C00C977}"/>
    <cellStyle name="Normal 4 6 3 2 5 3 4" xfId="25049" xr:uid="{EE08BF2E-CF04-4A3C-A874-78E0CDD41D0B}"/>
    <cellStyle name="Normal 4 6 3 2 5 3 5" xfId="15752" xr:uid="{F2EE8E63-B617-4C86-A6D0-797B40E72D7E}"/>
    <cellStyle name="Normal 4 6 3 2 5 4" xfId="37727" xr:uid="{73A73756-95BD-40A1-8DB5-BD699D7CFB93}"/>
    <cellStyle name="Normal 4 6 3 2 5 5" xfId="29279" xr:uid="{77BBB2EE-B328-4479-99B8-E09507B92840}"/>
    <cellStyle name="Normal 4 6 3 2 5 6" xfId="20832" xr:uid="{09937CB3-2970-4769-B7E9-7501F0D9113D}"/>
    <cellStyle name="Normal 4 6 3 2 5 7" xfId="11535" xr:uid="{44B5BF90-D6FA-4B6E-821F-D4C7B3A07F5E}"/>
    <cellStyle name="Normal 4 6 3 2 6" xfId="2556" xr:uid="{00000000-0005-0000-0000-000065160000}"/>
    <cellStyle name="Normal 4 6 3 2 6 2" xfId="6839" xr:uid="{00000000-0005-0000-0000-000066160000}"/>
    <cellStyle name="Normal 4 6 3 2 6 2 2" xfId="42357" xr:uid="{23381789-88F4-443B-B62C-D8E95E80B410}"/>
    <cellStyle name="Normal 4 6 3 2 6 2 3" xfId="33910" xr:uid="{2D92C3F0-2198-4B95-9A53-B4B62A75F421}"/>
    <cellStyle name="Normal 4 6 3 2 6 2 4" xfId="25462" xr:uid="{50D809C9-1185-4E75-9E35-F4BE3D97AF54}"/>
    <cellStyle name="Normal 4 6 3 2 6 2 5" xfId="16165" xr:uid="{4BFAA0F0-5DD9-48D0-8A7D-E2164EFAE1AB}"/>
    <cellStyle name="Normal 4 6 3 2 6 3" xfId="38140" xr:uid="{EF57FBEF-0034-451B-9B4B-0030B3E502CC}"/>
    <cellStyle name="Normal 4 6 3 2 6 4" xfId="29692" xr:uid="{9EAA00FB-7262-4944-9426-4B5309A5BD4C}"/>
    <cellStyle name="Normal 4 6 3 2 6 5" xfId="21245" xr:uid="{2D9A43DF-7728-4B7A-BFB5-F889BA829458}"/>
    <cellStyle name="Normal 4 6 3 2 6 6" xfId="11948" xr:uid="{7720523B-AAD8-4350-96EB-FFB08A16998D}"/>
    <cellStyle name="Normal 4 6 3 2 7" xfId="4774" xr:uid="{00000000-0005-0000-0000-000067160000}"/>
    <cellStyle name="Normal 4 6 3 2 7 2" xfId="40292" xr:uid="{509A9783-3FE2-40C6-A49C-2C2E594FA422}"/>
    <cellStyle name="Normal 4 6 3 2 7 3" xfId="31845" xr:uid="{B7B83BBD-93C3-4AB9-B125-02E997CF5D9C}"/>
    <cellStyle name="Normal 4 6 3 2 7 4" xfId="23397" xr:uid="{A97FF316-3DE9-4058-B5DA-21824BB331E8}"/>
    <cellStyle name="Normal 4 6 3 2 7 5" xfId="14100" xr:uid="{6B786705-A608-497E-B87A-39F4C1185FB2}"/>
    <cellStyle name="Normal 4 6 3 2 8" xfId="9082" xr:uid="{B272D1AE-3713-4AD0-AE3F-D1A7344AD432}"/>
    <cellStyle name="Normal 4 6 3 2 8 2" xfId="36075" xr:uid="{17224763-83B0-46B4-AB48-7EE7CFDB97B8}"/>
    <cellStyle name="Normal 4 6 3 2 8 3" xfId="18405" xr:uid="{9CA7DF69-9AE1-464C-90C2-74BA499503C4}"/>
    <cellStyle name="Normal 4 6 3 2 9" xfId="27627" xr:uid="{0A4C54D8-49AA-4DDB-B052-441E4D7E2834}"/>
    <cellStyle name="Normal 4 6 3 3" xfId="874" xr:uid="{00000000-0005-0000-0000-000068160000}"/>
    <cellStyle name="Normal 4 6 3 3 2" xfId="3109" xr:uid="{00000000-0005-0000-0000-000069160000}"/>
    <cellStyle name="Normal 4 6 3 3 2 2" xfId="7331" xr:uid="{00000000-0005-0000-0000-00006A160000}"/>
    <cellStyle name="Normal 4 6 3 3 2 2 2" xfId="42849" xr:uid="{1F921C57-EA26-4455-996F-52A01B8F04EF}"/>
    <cellStyle name="Normal 4 6 3 3 2 2 3" xfId="34402" xr:uid="{26DAD11F-2307-4006-B96F-5B1B2293AD49}"/>
    <cellStyle name="Normal 4 6 3 3 2 2 4" xfId="25954" xr:uid="{C7A71957-299A-4E31-A766-96DF1B2E3FC7}"/>
    <cellStyle name="Normal 4 6 3 3 2 2 5" xfId="16657" xr:uid="{B85C98E5-89FA-47A3-A55D-A9249BA18780}"/>
    <cellStyle name="Normal 4 6 3 3 2 3" xfId="38632" xr:uid="{3638BFD6-9A7D-410C-ACAB-786D465E47DD}"/>
    <cellStyle name="Normal 4 6 3 3 2 4" xfId="30184" xr:uid="{A20F57FD-BEBD-40B5-A80B-63C9912BB89A}"/>
    <cellStyle name="Normal 4 6 3 3 2 5" xfId="21737" xr:uid="{82FC15E4-8B87-4ADD-9286-9217F4AA0B2F}"/>
    <cellStyle name="Normal 4 6 3 3 2 6" xfId="12440" xr:uid="{EBF2E15F-C3F0-46ED-BE2F-D21895962914}"/>
    <cellStyle name="Normal 4 6 3 3 3" xfId="5186" xr:uid="{00000000-0005-0000-0000-00006B160000}"/>
    <cellStyle name="Normal 4 6 3 3 3 2" xfId="40704" xr:uid="{6AC830A2-1FD0-4397-A2A9-E2650C667B54}"/>
    <cellStyle name="Normal 4 6 3 3 3 3" xfId="32257" xr:uid="{3A7688CD-69AE-42DF-8922-87C90791B55B}"/>
    <cellStyle name="Normal 4 6 3 3 3 4" xfId="23809" xr:uid="{7171BB38-F4A0-4034-BD37-650175AE9998}"/>
    <cellStyle name="Normal 4 6 3 3 3 5" xfId="14512" xr:uid="{B0C41B91-6D0C-4BA2-ACE0-CF2394F107B0}"/>
    <cellStyle name="Normal 4 6 3 3 4" xfId="9300" xr:uid="{955A2E97-C871-4115-A4F5-A642AE2D2C4B}"/>
    <cellStyle name="Normal 4 6 3 3 4 2" xfId="36487" xr:uid="{976022F1-460A-400D-81A9-28FF0DB02246}"/>
    <cellStyle name="Normal 4 6 3 3 4 3" xfId="18613" xr:uid="{2813C26B-BDD1-42AF-8092-214D9F4E9170}"/>
    <cellStyle name="Normal 4 6 3 3 5" xfId="28039" xr:uid="{3D567A9D-74B3-43EF-8065-EF258C6AA0D0}"/>
    <cellStyle name="Normal 4 6 3 3 6" xfId="19592" xr:uid="{0E81B428-16A9-4251-9256-42CD18FB144B}"/>
    <cellStyle name="Normal 4 6 3 3 7" xfId="10295" xr:uid="{1D9CC90B-A061-4CB1-AEF5-2CE44F89AEEE}"/>
    <cellStyle name="Normal 4 6 3 4" xfId="1292" xr:uid="{00000000-0005-0000-0000-00006C160000}"/>
    <cellStyle name="Normal 4 6 3 4 2" xfId="3522" xr:uid="{00000000-0005-0000-0000-00006D160000}"/>
    <cellStyle name="Normal 4 6 3 4 2 2" xfId="7744" xr:uid="{00000000-0005-0000-0000-00006E160000}"/>
    <cellStyle name="Normal 4 6 3 4 2 2 2" xfId="43262" xr:uid="{14DBF670-03E7-4280-9E38-CBA3CDDC5659}"/>
    <cellStyle name="Normal 4 6 3 4 2 2 3" xfId="34815" xr:uid="{79BC4050-E0E1-4021-9820-658F85F7C6DB}"/>
    <cellStyle name="Normal 4 6 3 4 2 2 4" xfId="26367" xr:uid="{53692022-CD7D-4144-89F8-0C693AACD171}"/>
    <cellStyle name="Normal 4 6 3 4 2 2 5" xfId="17070" xr:uid="{BE94AB05-C7BC-4435-B1AD-B3B4F23BD56F}"/>
    <cellStyle name="Normal 4 6 3 4 2 3" xfId="39045" xr:uid="{240B02D3-A820-44FC-B346-BEF77B6392A9}"/>
    <cellStyle name="Normal 4 6 3 4 2 4" xfId="30597" xr:uid="{46F26893-D58A-43DF-9017-1F7284BE9584}"/>
    <cellStyle name="Normal 4 6 3 4 2 5" xfId="22150" xr:uid="{8D1FA111-93E0-4114-922A-0EAD821D56FE}"/>
    <cellStyle name="Normal 4 6 3 4 2 6" xfId="12853" xr:uid="{9EC457CB-215E-48AA-8808-4E54C75E4ABD}"/>
    <cellStyle name="Normal 4 6 3 4 3" xfId="5599" xr:uid="{00000000-0005-0000-0000-00006F160000}"/>
    <cellStyle name="Normal 4 6 3 4 3 2" xfId="41117" xr:uid="{A9399D74-B914-4128-913C-021F41B7E6B4}"/>
    <cellStyle name="Normal 4 6 3 4 3 3" xfId="32670" xr:uid="{0395A4AB-291E-4837-976E-F72C001B1B20}"/>
    <cellStyle name="Normal 4 6 3 4 3 4" xfId="24222" xr:uid="{DB615AF8-441E-4DDC-A529-48C083CD1D52}"/>
    <cellStyle name="Normal 4 6 3 4 3 5" xfId="14925" xr:uid="{E5CFD256-F0B2-49CC-824B-0D6705070A5A}"/>
    <cellStyle name="Normal 4 6 3 4 4" xfId="36900" xr:uid="{233A4075-A7D3-4CDC-93D7-F8B6EE03B8DB}"/>
    <cellStyle name="Normal 4 6 3 4 5" xfId="28452" xr:uid="{2AE3A378-A3BD-4C6A-92E8-E91F71D9297C}"/>
    <cellStyle name="Normal 4 6 3 4 6" xfId="20005" xr:uid="{821C60FC-6240-44DB-8788-2887670B99B3}"/>
    <cellStyle name="Normal 4 6 3 4 7" xfId="10708" xr:uid="{09F2596F-A519-4889-BFF6-12CDE23B0A21}"/>
    <cellStyle name="Normal 4 6 3 5" xfId="1705" xr:uid="{00000000-0005-0000-0000-000070160000}"/>
    <cellStyle name="Normal 4 6 3 5 2" xfId="3935" xr:uid="{00000000-0005-0000-0000-000071160000}"/>
    <cellStyle name="Normal 4 6 3 5 2 2" xfId="8157" xr:uid="{00000000-0005-0000-0000-000072160000}"/>
    <cellStyle name="Normal 4 6 3 5 2 2 2" xfId="43675" xr:uid="{C0A03429-DDA5-4D65-9E5D-C0854253DB87}"/>
    <cellStyle name="Normal 4 6 3 5 2 2 3" xfId="35228" xr:uid="{B96F36D5-7B08-487F-9E3A-3FE664863E91}"/>
    <cellStyle name="Normal 4 6 3 5 2 2 4" xfId="26780" xr:uid="{D3C11D0F-0EBA-4DFF-8596-203E6401C98C}"/>
    <cellStyle name="Normal 4 6 3 5 2 2 5" xfId="17483" xr:uid="{E549DF85-472D-4DC9-923C-79BCD027EFF9}"/>
    <cellStyle name="Normal 4 6 3 5 2 3" xfId="39458" xr:uid="{F754F90C-E2EE-4162-B408-46CE28BD56EA}"/>
    <cellStyle name="Normal 4 6 3 5 2 4" xfId="31010" xr:uid="{D1D38CE8-E699-4324-9F7E-57D0656929E8}"/>
    <cellStyle name="Normal 4 6 3 5 2 5" xfId="22563" xr:uid="{70AB4ABF-81B5-4786-ABA8-CEE58DA91D20}"/>
    <cellStyle name="Normal 4 6 3 5 2 6" xfId="13266" xr:uid="{BC144D21-392F-4626-A75F-4308C6B2AEDA}"/>
    <cellStyle name="Normal 4 6 3 5 3" xfId="6012" xr:uid="{00000000-0005-0000-0000-000073160000}"/>
    <cellStyle name="Normal 4 6 3 5 3 2" xfId="41530" xr:uid="{D7748404-0AE3-4B71-910D-192CF78EE12E}"/>
    <cellStyle name="Normal 4 6 3 5 3 3" xfId="33083" xr:uid="{956F9D3A-6719-4F69-9998-1DA9352B0F29}"/>
    <cellStyle name="Normal 4 6 3 5 3 4" xfId="24635" xr:uid="{B0E4639D-1372-4147-A7B4-E2E2875A8CFF}"/>
    <cellStyle name="Normal 4 6 3 5 3 5" xfId="15338" xr:uid="{E3797DFE-48E2-493A-8D0D-5FF14B9AF3D5}"/>
    <cellStyle name="Normal 4 6 3 5 4" xfId="37313" xr:uid="{91937EE6-27EC-4563-9610-187D1CDBF16E}"/>
    <cellStyle name="Normal 4 6 3 5 5" xfId="28865" xr:uid="{CF591047-457E-47E2-B025-501BAE715B8D}"/>
    <cellStyle name="Normal 4 6 3 5 6" xfId="20418" xr:uid="{978FD831-FC10-4B2F-B9B3-BFEB397797AC}"/>
    <cellStyle name="Normal 4 6 3 5 7" xfId="11121" xr:uid="{243431E3-3985-4182-8134-9EACBFC42263}"/>
    <cellStyle name="Normal 4 6 3 6" xfId="2119" xr:uid="{00000000-0005-0000-0000-000074160000}"/>
    <cellStyle name="Normal 4 6 3 6 2" xfId="4348" xr:uid="{00000000-0005-0000-0000-000075160000}"/>
    <cellStyle name="Normal 4 6 3 6 2 2" xfId="8570" xr:uid="{00000000-0005-0000-0000-000076160000}"/>
    <cellStyle name="Normal 4 6 3 6 2 2 2" xfId="44088" xr:uid="{355022E9-966D-423B-A870-F8A7228D57A3}"/>
    <cellStyle name="Normal 4 6 3 6 2 2 3" xfId="35641" xr:uid="{CA6C0FD3-7F65-4D51-9EA5-6FD654A45E1D}"/>
    <cellStyle name="Normal 4 6 3 6 2 2 4" xfId="27193" xr:uid="{E4F40DC4-1730-4CAA-ACA3-F2376E887DCE}"/>
    <cellStyle name="Normal 4 6 3 6 2 2 5" xfId="17896" xr:uid="{873F5156-757E-4F95-B6A5-ACE746589AEF}"/>
    <cellStyle name="Normal 4 6 3 6 2 3" xfId="39871" xr:uid="{CC55D859-C219-48A7-AACB-E27194C9E0A5}"/>
    <cellStyle name="Normal 4 6 3 6 2 4" xfId="31423" xr:uid="{17443EEE-2EBE-44AB-BC38-E6D92ECF9A84}"/>
    <cellStyle name="Normal 4 6 3 6 2 5" xfId="22976" xr:uid="{2B63D20D-755E-4D30-8A1B-6AB4EAE901EC}"/>
    <cellStyle name="Normal 4 6 3 6 2 6" xfId="13679" xr:uid="{E8EA8A8F-6E83-49AC-9353-D2A0FF74653B}"/>
    <cellStyle name="Normal 4 6 3 6 3" xfId="6425" xr:uid="{00000000-0005-0000-0000-000077160000}"/>
    <cellStyle name="Normal 4 6 3 6 3 2" xfId="41943" xr:uid="{959F5118-911F-4281-AB56-E80344DDFC24}"/>
    <cellStyle name="Normal 4 6 3 6 3 3" xfId="33496" xr:uid="{A06A552A-F4F7-456E-BD88-6F2108A06E92}"/>
    <cellStyle name="Normal 4 6 3 6 3 4" xfId="25048" xr:uid="{815D4BA9-DD8D-40E9-A004-08A9437AEA4B}"/>
    <cellStyle name="Normal 4 6 3 6 3 5" xfId="15751" xr:uid="{217E08DB-E921-4653-98C0-96C49878A279}"/>
    <cellStyle name="Normal 4 6 3 6 4" xfId="37726" xr:uid="{077502C9-271E-4D68-AF7E-9700416522A1}"/>
    <cellStyle name="Normal 4 6 3 6 5" xfId="29278" xr:uid="{DAB39BE0-45E3-4C52-9EAA-B2F4FE14E804}"/>
    <cellStyle name="Normal 4 6 3 6 6" xfId="20831" xr:uid="{56B77691-A06B-4C1F-90C0-FBA5B9E5E416}"/>
    <cellStyle name="Normal 4 6 3 6 7" xfId="11534" xr:uid="{28C591B8-2345-4F65-AB68-A7DD68BE31FE}"/>
    <cellStyle name="Normal 4 6 3 7" xfId="2555" xr:uid="{00000000-0005-0000-0000-000078160000}"/>
    <cellStyle name="Normal 4 6 3 7 2" xfId="6838" xr:uid="{00000000-0005-0000-0000-000079160000}"/>
    <cellStyle name="Normal 4 6 3 7 2 2" xfId="42356" xr:uid="{91A68E1F-F453-43DD-9303-9B6247A8A371}"/>
    <cellStyle name="Normal 4 6 3 7 2 3" xfId="33909" xr:uid="{87642C81-E37C-43B8-96CE-56605F7B455A}"/>
    <cellStyle name="Normal 4 6 3 7 2 4" xfId="25461" xr:uid="{773E1FCF-896C-4875-A5D2-25AE3A19595B}"/>
    <cellStyle name="Normal 4 6 3 7 2 5" xfId="16164" xr:uid="{7F2930FA-D5F2-4012-AF84-EA4E3C9A6ED0}"/>
    <cellStyle name="Normal 4 6 3 7 3" xfId="38139" xr:uid="{5518705B-C7E6-434B-BCB6-337794F09EBF}"/>
    <cellStyle name="Normal 4 6 3 7 4" xfId="29691" xr:uid="{681C9A27-37AB-415D-90FA-87C4AF8CEE4E}"/>
    <cellStyle name="Normal 4 6 3 7 5" xfId="21244" xr:uid="{6FB90927-B7BA-49C6-B62C-01853DCB3AD5}"/>
    <cellStyle name="Normal 4 6 3 7 6" xfId="11947" xr:uid="{64010595-F56E-4431-BC7A-EC3361D4A5A9}"/>
    <cellStyle name="Normal 4 6 3 8" xfId="4773" xr:uid="{00000000-0005-0000-0000-00007A160000}"/>
    <cellStyle name="Normal 4 6 3 8 2" xfId="40291" xr:uid="{7657BA33-6870-450F-89CB-0E33F729C250}"/>
    <cellStyle name="Normal 4 6 3 8 3" xfId="31844" xr:uid="{6850C0D7-A676-4930-9F92-DC7AED959A47}"/>
    <cellStyle name="Normal 4 6 3 8 4" xfId="23396" xr:uid="{430F9818-612D-489E-A8FB-AAA3F88DC12B}"/>
    <cellStyle name="Normal 4 6 3 8 5" xfId="14099" xr:uid="{6A1FF3D6-6BFE-4BE7-AEDE-44570DA6B471}"/>
    <cellStyle name="Normal 4 6 3 9" xfId="8875" xr:uid="{DFD24C28-B729-444D-A0F6-B5522ED354D5}"/>
    <cellStyle name="Normal 4 6 3 9 2" xfId="36074" xr:uid="{DA0F574D-8D95-4085-A4A4-BC36FA354593}"/>
    <cellStyle name="Normal 4 6 3 9 3" xfId="18198" xr:uid="{25EB318C-9061-49F6-805E-F9F0E5F78278}"/>
    <cellStyle name="Normal 4 6 4" xfId="402" xr:uid="{00000000-0005-0000-0000-00007B160000}"/>
    <cellStyle name="Normal 4 6 4 10" xfId="19181" xr:uid="{3C2A9791-A5FD-413D-9E17-F233AB2AEA31}"/>
    <cellStyle name="Normal 4 6 4 11" xfId="9884" xr:uid="{AF4FD840-9BC6-4B44-83CB-B47F6921A739}"/>
    <cellStyle name="Normal 4 6 4 2" xfId="876" xr:uid="{00000000-0005-0000-0000-00007C160000}"/>
    <cellStyle name="Normal 4 6 4 2 2" xfId="3111" xr:uid="{00000000-0005-0000-0000-00007D160000}"/>
    <cellStyle name="Normal 4 6 4 2 2 2" xfId="7333" xr:uid="{00000000-0005-0000-0000-00007E160000}"/>
    <cellStyle name="Normal 4 6 4 2 2 2 2" xfId="42851" xr:uid="{F1EBBFC0-DF74-4A62-BFCF-4EB8C19F8F23}"/>
    <cellStyle name="Normal 4 6 4 2 2 2 3" xfId="34404" xr:uid="{CA56C6B0-425C-4C7A-87D9-E3673A323C80}"/>
    <cellStyle name="Normal 4 6 4 2 2 2 4" xfId="25956" xr:uid="{F42A83D4-3104-4612-80A1-8756025F3F85}"/>
    <cellStyle name="Normal 4 6 4 2 2 2 5" xfId="16659" xr:uid="{984BA9F4-8E9C-490D-8AC5-E8C22FA6A8D5}"/>
    <cellStyle name="Normal 4 6 4 2 2 3" xfId="38634" xr:uid="{429F97D8-DA37-462C-A4D8-5631310B20D3}"/>
    <cellStyle name="Normal 4 6 4 2 2 4" xfId="30186" xr:uid="{F180C9FC-1E2B-4FA2-87B0-8B91F770EC59}"/>
    <cellStyle name="Normal 4 6 4 2 2 5" xfId="21739" xr:uid="{F22EC97F-0CC5-4F29-929D-43ECBC70C747}"/>
    <cellStyle name="Normal 4 6 4 2 2 6" xfId="12442" xr:uid="{AB61E108-8B82-49B8-B881-6ACDAD6BE3DA}"/>
    <cellStyle name="Normal 4 6 4 2 3" xfId="5188" xr:uid="{00000000-0005-0000-0000-00007F160000}"/>
    <cellStyle name="Normal 4 6 4 2 3 2" xfId="40706" xr:uid="{1D3208AD-1318-484F-8E6F-11F1D6108BE3}"/>
    <cellStyle name="Normal 4 6 4 2 3 3" xfId="32259" xr:uid="{358814D9-039D-4481-8FD0-87EE55D4E2A5}"/>
    <cellStyle name="Normal 4 6 4 2 3 4" xfId="23811" xr:uid="{C17CDE3C-A27E-4097-A7E9-15DB951A7BCB}"/>
    <cellStyle name="Normal 4 6 4 2 3 5" xfId="14514" xr:uid="{E47EEFB1-1172-4366-A727-BF726CDC4899}"/>
    <cellStyle name="Normal 4 6 4 2 4" xfId="9404" xr:uid="{D1BAB6D6-35EF-4C34-91EA-2EB17352CDF9}"/>
    <cellStyle name="Normal 4 6 4 2 4 2" xfId="36489" xr:uid="{208DB975-D1AB-4EFD-A918-35CCC5F0F974}"/>
    <cellStyle name="Normal 4 6 4 2 4 3" xfId="18717" xr:uid="{DFEB4A8C-C80D-442D-9893-BD407FFE1AD1}"/>
    <cellStyle name="Normal 4 6 4 2 5" xfId="28041" xr:uid="{76C66213-9A81-4B10-B37D-BA3A924939CC}"/>
    <cellStyle name="Normal 4 6 4 2 6" xfId="19594" xr:uid="{449634A4-97CC-43E2-A163-E3B9C5B5517C}"/>
    <cellStyle name="Normal 4 6 4 2 7" xfId="10297" xr:uid="{D810702B-DCF8-4D9F-A1F5-BBDF55A08A65}"/>
    <cellStyle name="Normal 4 6 4 3" xfId="1294" xr:uid="{00000000-0005-0000-0000-000080160000}"/>
    <cellStyle name="Normal 4 6 4 3 2" xfId="3524" xr:uid="{00000000-0005-0000-0000-000081160000}"/>
    <cellStyle name="Normal 4 6 4 3 2 2" xfId="7746" xr:uid="{00000000-0005-0000-0000-000082160000}"/>
    <cellStyle name="Normal 4 6 4 3 2 2 2" xfId="43264" xr:uid="{F1247CAF-E908-4D7E-95D7-24A2346B28ED}"/>
    <cellStyle name="Normal 4 6 4 3 2 2 3" xfId="34817" xr:uid="{18672B0C-9217-4420-8BC0-8A7ABB6663AB}"/>
    <cellStyle name="Normal 4 6 4 3 2 2 4" xfId="26369" xr:uid="{AA87FF42-59FA-45E1-BF5F-5DFEA987C385}"/>
    <cellStyle name="Normal 4 6 4 3 2 2 5" xfId="17072" xr:uid="{218A0380-8717-4DAD-A640-D93E27A983FE}"/>
    <cellStyle name="Normal 4 6 4 3 2 3" xfId="39047" xr:uid="{1800CA5A-BC02-46E3-A945-F3843A82EC84}"/>
    <cellStyle name="Normal 4 6 4 3 2 4" xfId="30599" xr:uid="{DBC185BC-CD82-48C1-8BF8-1216FEFD3AB5}"/>
    <cellStyle name="Normal 4 6 4 3 2 5" xfId="22152" xr:uid="{BCD5ECD8-2029-405E-8803-189B10278ADC}"/>
    <cellStyle name="Normal 4 6 4 3 2 6" xfId="12855" xr:uid="{6F3D2683-D3FE-4A2B-B6CB-ED929B4299F0}"/>
    <cellStyle name="Normal 4 6 4 3 3" xfId="5601" xr:uid="{00000000-0005-0000-0000-000083160000}"/>
    <cellStyle name="Normal 4 6 4 3 3 2" xfId="41119" xr:uid="{BDEBFFE6-5527-4AA5-B3C3-7CDA42E4FEC9}"/>
    <cellStyle name="Normal 4 6 4 3 3 3" xfId="32672" xr:uid="{762DE3D3-E072-48D3-91ED-C846DB95325A}"/>
    <cellStyle name="Normal 4 6 4 3 3 4" xfId="24224" xr:uid="{75279F28-02CA-412D-8A1F-1714D15AFABB}"/>
    <cellStyle name="Normal 4 6 4 3 3 5" xfId="14927" xr:uid="{B95A3783-2ED7-43BA-ABA6-F8EBC6E45189}"/>
    <cellStyle name="Normal 4 6 4 3 4" xfId="36902" xr:uid="{FB33C8D9-E959-42D3-B36E-0CD3953B6F96}"/>
    <cellStyle name="Normal 4 6 4 3 5" xfId="28454" xr:uid="{EF280F0B-467E-4B18-8382-4B93D92CB189}"/>
    <cellStyle name="Normal 4 6 4 3 6" xfId="20007" xr:uid="{F5D3B8E2-B4C2-42F2-A975-20F57FCA89A9}"/>
    <cellStyle name="Normal 4 6 4 3 7" xfId="10710" xr:uid="{B4570650-82EF-485A-B6D9-C02FF7BCA789}"/>
    <cellStyle name="Normal 4 6 4 4" xfId="1707" xr:uid="{00000000-0005-0000-0000-000084160000}"/>
    <cellStyle name="Normal 4 6 4 4 2" xfId="3937" xr:uid="{00000000-0005-0000-0000-000085160000}"/>
    <cellStyle name="Normal 4 6 4 4 2 2" xfId="8159" xr:uid="{00000000-0005-0000-0000-000086160000}"/>
    <cellStyle name="Normal 4 6 4 4 2 2 2" xfId="43677" xr:uid="{64A858BA-B343-447C-896F-66F5D95189AB}"/>
    <cellStyle name="Normal 4 6 4 4 2 2 3" xfId="35230" xr:uid="{D8A44F86-08CB-452C-84FC-B8497E5055FC}"/>
    <cellStyle name="Normal 4 6 4 4 2 2 4" xfId="26782" xr:uid="{0A62C2EB-CEAA-4005-B321-6A40250D26E1}"/>
    <cellStyle name="Normal 4 6 4 4 2 2 5" xfId="17485" xr:uid="{BDF79E32-D38F-48FA-A641-4DF04D6D806F}"/>
    <cellStyle name="Normal 4 6 4 4 2 3" xfId="39460" xr:uid="{6DE7334C-C2F6-4FA6-A21B-50AC0483314D}"/>
    <cellStyle name="Normal 4 6 4 4 2 4" xfId="31012" xr:uid="{56E95CAB-2FFD-4358-A268-CAD9AEA93FD8}"/>
    <cellStyle name="Normal 4 6 4 4 2 5" xfId="22565" xr:uid="{BDDCA4F9-4BD9-4674-BF6A-FD76614BFE94}"/>
    <cellStyle name="Normal 4 6 4 4 2 6" xfId="13268" xr:uid="{BF831271-B4ED-4101-BC74-551A90DD1E5E}"/>
    <cellStyle name="Normal 4 6 4 4 3" xfId="6014" xr:uid="{00000000-0005-0000-0000-000087160000}"/>
    <cellStyle name="Normal 4 6 4 4 3 2" xfId="41532" xr:uid="{5E02C820-D6D1-4500-86DD-96123DC8D6ED}"/>
    <cellStyle name="Normal 4 6 4 4 3 3" xfId="33085" xr:uid="{3DD9AF76-1944-40CD-87D0-697A87C0BF00}"/>
    <cellStyle name="Normal 4 6 4 4 3 4" xfId="24637" xr:uid="{705D6855-C7B8-4A54-91D6-5EBCB666198B}"/>
    <cellStyle name="Normal 4 6 4 4 3 5" xfId="15340" xr:uid="{6CB25726-6E13-4BE9-BC5E-826148CA167B}"/>
    <cellStyle name="Normal 4 6 4 4 4" xfId="37315" xr:uid="{71FD6986-DECD-4028-8BDA-0335767F3565}"/>
    <cellStyle name="Normal 4 6 4 4 5" xfId="28867" xr:uid="{E560F2FD-1D38-4A85-A417-27BDA8805925}"/>
    <cellStyle name="Normal 4 6 4 4 6" xfId="20420" xr:uid="{20EF26C7-367B-423D-9E67-9E618B6066E2}"/>
    <cellStyle name="Normal 4 6 4 4 7" xfId="11123" xr:uid="{A8CBD212-994C-4919-9A72-F5E832E2374A}"/>
    <cellStyle name="Normal 4 6 4 5" xfId="2121" xr:uid="{00000000-0005-0000-0000-000088160000}"/>
    <cellStyle name="Normal 4 6 4 5 2" xfId="4350" xr:uid="{00000000-0005-0000-0000-000089160000}"/>
    <cellStyle name="Normal 4 6 4 5 2 2" xfId="8572" xr:uid="{00000000-0005-0000-0000-00008A160000}"/>
    <cellStyle name="Normal 4 6 4 5 2 2 2" xfId="44090" xr:uid="{BBB7400D-C95F-42A2-80C8-7F3C9CDFC55A}"/>
    <cellStyle name="Normal 4 6 4 5 2 2 3" xfId="35643" xr:uid="{91E401AE-1C04-40D6-83D7-D729182397CC}"/>
    <cellStyle name="Normal 4 6 4 5 2 2 4" xfId="27195" xr:uid="{D26B624D-B4B7-448C-A861-8FA36BA2F678}"/>
    <cellStyle name="Normal 4 6 4 5 2 2 5" xfId="17898" xr:uid="{68F9257E-B424-4F6C-B797-9348E12BE3E2}"/>
    <cellStyle name="Normal 4 6 4 5 2 3" xfId="39873" xr:uid="{49234D10-598D-4917-86B1-A7BDFF4B5D8F}"/>
    <cellStyle name="Normal 4 6 4 5 2 4" xfId="31425" xr:uid="{9A517428-3136-4FE8-8545-606E167B6918}"/>
    <cellStyle name="Normal 4 6 4 5 2 5" xfId="22978" xr:uid="{0D6781BB-159C-4E3B-8C03-E9473FF4CB66}"/>
    <cellStyle name="Normal 4 6 4 5 2 6" xfId="13681" xr:uid="{C27A30A7-FFE8-4469-8894-587B5B33CA9E}"/>
    <cellStyle name="Normal 4 6 4 5 3" xfId="6427" xr:uid="{00000000-0005-0000-0000-00008B160000}"/>
    <cellStyle name="Normal 4 6 4 5 3 2" xfId="41945" xr:uid="{E98E1B7B-2D18-406F-BB1D-62185C0ACE4C}"/>
    <cellStyle name="Normal 4 6 4 5 3 3" xfId="33498" xr:uid="{F92DDA1C-01E8-4734-89A7-94FAC999D183}"/>
    <cellStyle name="Normal 4 6 4 5 3 4" xfId="25050" xr:uid="{09571FF5-8487-4086-B8D0-A201DB67D1EF}"/>
    <cellStyle name="Normal 4 6 4 5 3 5" xfId="15753" xr:uid="{2DB60D27-0ACF-4883-93E6-DFF1CD48CE72}"/>
    <cellStyle name="Normal 4 6 4 5 4" xfId="37728" xr:uid="{C771264F-060D-4A9C-BE1D-0FDC40BD034C}"/>
    <cellStyle name="Normal 4 6 4 5 5" xfId="29280" xr:uid="{F7D5E125-E39F-4429-92A1-62FBA01EDCEB}"/>
    <cellStyle name="Normal 4 6 4 5 6" xfId="20833" xr:uid="{DD977844-E533-4176-885A-2FB586C296FF}"/>
    <cellStyle name="Normal 4 6 4 5 7" xfId="11536" xr:uid="{39AFBDE2-9C17-4C2E-95F9-67EABBD3FE06}"/>
    <cellStyle name="Normal 4 6 4 6" xfId="2557" xr:uid="{00000000-0005-0000-0000-00008C160000}"/>
    <cellStyle name="Normal 4 6 4 6 2" xfId="6840" xr:uid="{00000000-0005-0000-0000-00008D160000}"/>
    <cellStyle name="Normal 4 6 4 6 2 2" xfId="42358" xr:uid="{D408C511-A8FD-43F8-9994-07B48BFCBF8A}"/>
    <cellStyle name="Normal 4 6 4 6 2 3" xfId="33911" xr:uid="{A53ED35A-C391-4D9D-A774-DD2B5DDD8458}"/>
    <cellStyle name="Normal 4 6 4 6 2 4" xfId="25463" xr:uid="{3D770495-8626-476A-95AF-8237B2DE7A0E}"/>
    <cellStyle name="Normal 4 6 4 6 2 5" xfId="16166" xr:uid="{62110D06-DE40-41DC-8F5A-FE558D83BE4F}"/>
    <cellStyle name="Normal 4 6 4 6 3" xfId="38141" xr:uid="{43E044C2-5CC4-48A7-A6F2-07F57EFCF015}"/>
    <cellStyle name="Normal 4 6 4 6 4" xfId="29693" xr:uid="{98DC0E4A-1010-4776-9B06-C0EC45855B18}"/>
    <cellStyle name="Normal 4 6 4 6 5" xfId="21246" xr:uid="{1D553075-6D08-4BDD-B751-F8A22BA4CE03}"/>
    <cellStyle name="Normal 4 6 4 6 6" xfId="11949" xr:uid="{BCB89BF8-098D-41FF-942B-29F05DB90125}"/>
    <cellStyle name="Normal 4 6 4 7" xfId="4775" xr:uid="{00000000-0005-0000-0000-00008E160000}"/>
    <cellStyle name="Normal 4 6 4 7 2" xfId="40293" xr:uid="{CCEE97A7-BEE0-4B84-A486-0E1D2459D81E}"/>
    <cellStyle name="Normal 4 6 4 7 3" xfId="31846" xr:uid="{D2EA5945-A008-4A4E-954D-832A84E1BF75}"/>
    <cellStyle name="Normal 4 6 4 7 4" xfId="23398" xr:uid="{0D1F4FE7-BECA-448C-AF41-21F144D0CFC7}"/>
    <cellStyle name="Normal 4 6 4 7 5" xfId="14101" xr:uid="{2EE11AD3-CEA8-402A-81DA-3F23726E19F2}"/>
    <cellStyle name="Normal 4 6 4 8" xfId="8979" xr:uid="{358D1440-F461-4509-8416-8F78F7D13FF4}"/>
    <cellStyle name="Normal 4 6 4 8 2" xfId="36076" xr:uid="{34965A3A-177E-4520-949C-E85E70DDE7B0}"/>
    <cellStyle name="Normal 4 6 4 8 3" xfId="18302" xr:uid="{BC736C74-783B-4D8A-9620-3CBD970B6B54}"/>
    <cellStyle name="Normal 4 6 4 9" xfId="27628" xr:uid="{FC53BDAB-8945-457F-B42A-C3ABAE1269B5}"/>
    <cellStyle name="Normal 4 6 5" xfId="869" xr:uid="{00000000-0005-0000-0000-00008F160000}"/>
    <cellStyle name="Normal 4 6 5 2" xfId="3104" xr:uid="{00000000-0005-0000-0000-000090160000}"/>
    <cellStyle name="Normal 4 6 5 2 2" xfId="7326" xr:uid="{00000000-0005-0000-0000-000091160000}"/>
    <cellStyle name="Normal 4 6 5 2 2 2" xfId="42844" xr:uid="{1EAE637B-F138-41EF-9779-0D7F58AB7E67}"/>
    <cellStyle name="Normal 4 6 5 2 2 3" xfId="34397" xr:uid="{3469D7C5-229A-4942-AD1B-D9E8BB4C442E}"/>
    <cellStyle name="Normal 4 6 5 2 2 4" xfId="25949" xr:uid="{8F629985-C4D4-4DD2-B4BF-89467205797A}"/>
    <cellStyle name="Normal 4 6 5 2 2 5" xfId="16652" xr:uid="{DAAEB7BB-30B7-4E19-B75C-AF3727CC1514}"/>
    <cellStyle name="Normal 4 6 5 2 3" xfId="38627" xr:uid="{F8293F70-5F54-4658-8761-55E035825783}"/>
    <cellStyle name="Normal 4 6 5 2 4" xfId="30179" xr:uid="{97E7494B-DC70-4527-9F0E-538D9C051E8D}"/>
    <cellStyle name="Normal 4 6 5 2 5" xfId="21732" xr:uid="{251BBD90-747C-42E5-832C-4CBB6A151966}"/>
    <cellStyle name="Normal 4 6 5 2 6" xfId="12435" xr:uid="{C8592B3B-8D36-41D0-BBE7-871BB904C1CF}"/>
    <cellStyle name="Normal 4 6 5 3" xfId="5181" xr:uid="{00000000-0005-0000-0000-000092160000}"/>
    <cellStyle name="Normal 4 6 5 3 2" xfId="40699" xr:uid="{8581D85C-3510-4D00-9D8F-8FA402FEF122}"/>
    <cellStyle name="Normal 4 6 5 3 3" xfId="32252" xr:uid="{6B699510-849F-4646-8FD4-7C2E0F184294}"/>
    <cellStyle name="Normal 4 6 5 3 4" xfId="23804" xr:uid="{E34D754B-7CF9-465B-B697-224DD53143B3}"/>
    <cellStyle name="Normal 4 6 5 3 5" xfId="14507" xr:uid="{EBC709E3-5773-48BE-B9F6-058500427DEF}"/>
    <cellStyle name="Normal 4 6 5 4" xfId="9196" xr:uid="{8DF5D81E-BEC3-4373-A99C-2D9CDEEBBA3C}"/>
    <cellStyle name="Normal 4 6 5 4 2" xfId="36482" xr:uid="{37222436-C182-44DF-94EE-E56263719E23}"/>
    <cellStyle name="Normal 4 6 5 4 3" xfId="18510" xr:uid="{671C60ED-786D-4CF1-AE09-481A6823A6D7}"/>
    <cellStyle name="Normal 4 6 5 5" xfId="28034" xr:uid="{013794C8-0F3A-4C71-A6FC-A1E9104B00BC}"/>
    <cellStyle name="Normal 4 6 5 6" xfId="19587" xr:uid="{C921DAC5-4007-496E-BC15-D1C63BD332E5}"/>
    <cellStyle name="Normal 4 6 5 7" xfId="10290" xr:uid="{377046D1-4074-4173-81FD-FFB7794BB90C}"/>
    <cellStyle name="Normal 4 6 6" xfId="1287" xr:uid="{00000000-0005-0000-0000-000093160000}"/>
    <cellStyle name="Normal 4 6 6 2" xfId="3517" xr:uid="{00000000-0005-0000-0000-000094160000}"/>
    <cellStyle name="Normal 4 6 6 2 2" xfId="7739" xr:uid="{00000000-0005-0000-0000-000095160000}"/>
    <cellStyle name="Normal 4 6 6 2 2 2" xfId="43257" xr:uid="{F2686FFA-0BD4-4035-A725-E935892B5530}"/>
    <cellStyle name="Normal 4 6 6 2 2 3" xfId="34810" xr:uid="{D8DA9D87-D79D-40F8-81F1-4FD017C031A5}"/>
    <cellStyle name="Normal 4 6 6 2 2 4" xfId="26362" xr:uid="{26D34598-CDA9-4CD5-999D-470DB5CC2917}"/>
    <cellStyle name="Normal 4 6 6 2 2 5" xfId="17065" xr:uid="{D05BBA3E-7CAE-451F-868B-86462536EC32}"/>
    <cellStyle name="Normal 4 6 6 2 3" xfId="39040" xr:uid="{379D347C-AE1E-4A8F-A6E3-FD97D9D1FB82}"/>
    <cellStyle name="Normal 4 6 6 2 4" xfId="30592" xr:uid="{44C232D1-C23C-4D78-B189-AD79CC46A787}"/>
    <cellStyle name="Normal 4 6 6 2 5" xfId="22145" xr:uid="{C25B6080-03A7-43EC-843E-C990B62F1DB2}"/>
    <cellStyle name="Normal 4 6 6 2 6" xfId="12848" xr:uid="{AEA50095-6D25-4CD0-A046-9FA42BBDEDD8}"/>
    <cellStyle name="Normal 4 6 6 3" xfId="5594" xr:uid="{00000000-0005-0000-0000-000096160000}"/>
    <cellStyle name="Normal 4 6 6 3 2" xfId="41112" xr:uid="{E224CA76-3A89-4579-9391-154FEC96586C}"/>
    <cellStyle name="Normal 4 6 6 3 3" xfId="32665" xr:uid="{9BB984CF-CEE5-44CF-B672-86FD292CEA0B}"/>
    <cellStyle name="Normal 4 6 6 3 4" xfId="24217" xr:uid="{CAD6F38F-A2D9-4CBF-9F10-0DE883D28648}"/>
    <cellStyle name="Normal 4 6 6 3 5" xfId="14920" xr:uid="{8C77288A-D24A-4C38-98A5-62497FB5A196}"/>
    <cellStyle name="Normal 4 6 6 4" xfId="36895" xr:uid="{6B711352-4805-4D35-BC99-472FEB1F6512}"/>
    <cellStyle name="Normal 4 6 6 5" xfId="28447" xr:uid="{E66689D3-BA33-41B4-B4B7-062FC8BD9414}"/>
    <cellStyle name="Normal 4 6 6 6" xfId="20000" xr:uid="{06490B6D-993A-4CC8-BAC4-F2652515372F}"/>
    <cellStyle name="Normal 4 6 6 7" xfId="10703" xr:uid="{7FDF265B-EA14-4131-B2B7-7D26A3AC59AC}"/>
    <cellStyle name="Normal 4 6 7" xfId="1700" xr:uid="{00000000-0005-0000-0000-000097160000}"/>
    <cellStyle name="Normal 4 6 7 2" xfId="3930" xr:uid="{00000000-0005-0000-0000-000098160000}"/>
    <cellStyle name="Normal 4 6 7 2 2" xfId="8152" xr:uid="{00000000-0005-0000-0000-000099160000}"/>
    <cellStyle name="Normal 4 6 7 2 2 2" xfId="43670" xr:uid="{5A68A140-5620-45CB-96BC-BCE9DD449F61}"/>
    <cellStyle name="Normal 4 6 7 2 2 3" xfId="35223" xr:uid="{CEA53948-BBB3-4978-A257-3803E5096DAA}"/>
    <cellStyle name="Normal 4 6 7 2 2 4" xfId="26775" xr:uid="{89C00B16-E0E2-44B3-A5F6-3613753BB00C}"/>
    <cellStyle name="Normal 4 6 7 2 2 5" xfId="17478" xr:uid="{9AA1CBE6-9F85-469F-BFC0-2E2D8C835145}"/>
    <cellStyle name="Normal 4 6 7 2 3" xfId="39453" xr:uid="{827BDCFC-0D81-47C2-9E17-A07817E3AAA2}"/>
    <cellStyle name="Normal 4 6 7 2 4" xfId="31005" xr:uid="{84F93C6D-168B-429F-85C6-C60B561B75CE}"/>
    <cellStyle name="Normal 4 6 7 2 5" xfId="22558" xr:uid="{88A6A2D7-BB87-4FF1-9F02-B90F4063ACD1}"/>
    <cellStyle name="Normal 4 6 7 2 6" xfId="13261" xr:uid="{464E7A41-BE5A-49BD-899E-C1975F7DEF3F}"/>
    <cellStyle name="Normal 4 6 7 3" xfId="6007" xr:uid="{00000000-0005-0000-0000-00009A160000}"/>
    <cellStyle name="Normal 4 6 7 3 2" xfId="41525" xr:uid="{FFFB7EB1-F86D-473D-BA1C-9191192C56BB}"/>
    <cellStyle name="Normal 4 6 7 3 3" xfId="33078" xr:uid="{DCAD90B0-EED8-4C05-9F06-4A173E271B0A}"/>
    <cellStyle name="Normal 4 6 7 3 4" xfId="24630" xr:uid="{4E53A982-F4E8-4859-A90A-E9E94CEDEACF}"/>
    <cellStyle name="Normal 4 6 7 3 5" xfId="15333" xr:uid="{4A98A201-036B-4251-AD75-4969050BDF00}"/>
    <cellStyle name="Normal 4 6 7 4" xfId="37308" xr:uid="{3B424736-94CA-4206-9033-3BBBEC033FA8}"/>
    <cellStyle name="Normal 4 6 7 5" xfId="28860" xr:uid="{77067C4A-1700-4EF7-AFC5-05B33184C28B}"/>
    <cellStyle name="Normal 4 6 7 6" xfId="20413" xr:uid="{F94DB2BA-6F12-48B1-BD21-FEA217F54BAA}"/>
    <cellStyle name="Normal 4 6 7 7" xfId="11116" xr:uid="{7883F934-9358-43D0-9035-4CEEFF19ECBA}"/>
    <cellStyle name="Normal 4 6 8" xfId="2114" xr:uid="{00000000-0005-0000-0000-00009B160000}"/>
    <cellStyle name="Normal 4 6 8 2" xfId="4343" xr:uid="{00000000-0005-0000-0000-00009C160000}"/>
    <cellStyle name="Normal 4 6 8 2 2" xfId="8565" xr:uid="{00000000-0005-0000-0000-00009D160000}"/>
    <cellStyle name="Normal 4 6 8 2 2 2" xfId="44083" xr:uid="{55F7CE33-4451-4EEA-BA4E-FC7C01D790DC}"/>
    <cellStyle name="Normal 4 6 8 2 2 3" xfId="35636" xr:uid="{A3F37EFB-187B-48B7-BF30-4E71AB41F99F}"/>
    <cellStyle name="Normal 4 6 8 2 2 4" xfId="27188" xr:uid="{40687318-30FC-4386-B930-F6ECC8D4A593}"/>
    <cellStyle name="Normal 4 6 8 2 2 5" xfId="17891" xr:uid="{745DF9FD-8BAD-4A93-90BD-EA28634587D1}"/>
    <cellStyle name="Normal 4 6 8 2 3" xfId="39866" xr:uid="{BFCFD624-C4C2-439F-99BC-17F7538A5C3B}"/>
    <cellStyle name="Normal 4 6 8 2 4" xfId="31418" xr:uid="{9C7AD697-AFCA-4348-90BE-AB1F20CF8992}"/>
    <cellStyle name="Normal 4 6 8 2 5" xfId="22971" xr:uid="{90F56E8E-E804-44EA-9174-CE4CEB31EBC6}"/>
    <cellStyle name="Normal 4 6 8 2 6" xfId="13674" xr:uid="{1273EEDF-E44D-434D-B6F9-88AA5C0DECFF}"/>
    <cellStyle name="Normal 4 6 8 3" xfId="6420" xr:uid="{00000000-0005-0000-0000-00009E160000}"/>
    <cellStyle name="Normal 4 6 8 3 2" xfId="41938" xr:uid="{8CD814B0-6C4B-46DB-A220-F1A359D2465A}"/>
    <cellStyle name="Normal 4 6 8 3 3" xfId="33491" xr:uid="{622C0270-CA80-4983-B61D-ECB24563BFB3}"/>
    <cellStyle name="Normal 4 6 8 3 4" xfId="25043" xr:uid="{80F4C185-0440-4286-B568-19DFE62B0A64}"/>
    <cellStyle name="Normal 4 6 8 3 5" xfId="15746" xr:uid="{86348097-EB3D-43DB-823A-1F938BBEE4C8}"/>
    <cellStyle name="Normal 4 6 8 4" xfId="37721" xr:uid="{4E8FAFC1-7486-4BD9-9F24-79BFAE1EDE7F}"/>
    <cellStyle name="Normal 4 6 8 5" xfId="29273" xr:uid="{4834535C-4107-451E-AD86-BE2863CF6431}"/>
    <cellStyle name="Normal 4 6 8 6" xfId="20826" xr:uid="{A3B83B3E-A8BF-49EA-BE92-2FE66005F889}"/>
    <cellStyle name="Normal 4 6 8 7" xfId="11529" xr:uid="{10E5B8D9-0C8C-4301-B346-D3A582E6E460}"/>
    <cellStyle name="Normal 4 6 9" xfId="2550" xr:uid="{00000000-0005-0000-0000-00009F160000}"/>
    <cellStyle name="Normal 4 6 9 2" xfId="6833" xr:uid="{00000000-0005-0000-0000-0000A0160000}"/>
    <cellStyle name="Normal 4 6 9 2 2" xfId="42351" xr:uid="{57525ACE-AA09-4DA0-ADF4-C7836E8C9481}"/>
    <cellStyle name="Normal 4 6 9 2 3" xfId="33904" xr:uid="{006DF35C-34B5-46FA-B05F-01AF75CE4D30}"/>
    <cellStyle name="Normal 4 6 9 2 4" xfId="25456" xr:uid="{BEC0C69A-F59F-4CB7-84DE-43F42B7FDF36}"/>
    <cellStyle name="Normal 4 6 9 2 5" xfId="16159" xr:uid="{3D224628-AD1C-4D2B-8666-BC7E1DECE1B4}"/>
    <cellStyle name="Normal 4 6 9 3" xfId="38134" xr:uid="{AB76A490-890F-47AE-83A2-B86ADB4ECD75}"/>
    <cellStyle name="Normal 4 6 9 4" xfId="29686" xr:uid="{2634FF58-073E-4954-A4F6-55DBDBBBDC71}"/>
    <cellStyle name="Normal 4 6 9 5" xfId="21239" xr:uid="{92E318DF-CBB7-42E9-942B-F74F9BF2FE06}"/>
    <cellStyle name="Normal 4 6 9 6" xfId="11942" xr:uid="{D7D954A3-EAC7-4A4B-B22F-B9CE16D54484}"/>
    <cellStyle name="Normal 4 7" xfId="403" xr:uid="{00000000-0005-0000-0000-0000A1160000}"/>
    <cellStyle name="Normal 4 7 10" xfId="27629" xr:uid="{21DE2A14-1F8D-437E-8606-E59C4110E290}"/>
    <cellStyle name="Normal 4 7 11" xfId="19182" xr:uid="{2CC1D008-0707-4F33-9304-093741AD5B7E}"/>
    <cellStyle name="Normal 4 7 12" xfId="9885" xr:uid="{1622DEFD-E4F3-492A-A199-71286960F139}"/>
    <cellStyle name="Normal 4 7 2" xfId="404" xr:uid="{00000000-0005-0000-0000-0000A2160000}"/>
    <cellStyle name="Normal 4 7 2 10" xfId="19183" xr:uid="{A8B30C87-EB06-43BF-8B9C-71FC07044448}"/>
    <cellStyle name="Normal 4 7 2 11" xfId="9886" xr:uid="{10362E40-0799-469E-ABFD-EC0A2F46A634}"/>
    <cellStyle name="Normal 4 7 2 2" xfId="878" xr:uid="{00000000-0005-0000-0000-0000A3160000}"/>
    <cellStyle name="Normal 4 7 2 2 2" xfId="3113" xr:uid="{00000000-0005-0000-0000-0000A4160000}"/>
    <cellStyle name="Normal 4 7 2 2 2 2" xfId="7335" xr:uid="{00000000-0005-0000-0000-0000A5160000}"/>
    <cellStyle name="Normal 4 7 2 2 2 2 2" xfId="42853" xr:uid="{7ECABFFA-9A85-4809-AFC1-E78404E3F197}"/>
    <cellStyle name="Normal 4 7 2 2 2 2 3" xfId="34406" xr:uid="{F7E24B51-E854-4CCC-B42A-6816E6616AC3}"/>
    <cellStyle name="Normal 4 7 2 2 2 2 4" xfId="25958" xr:uid="{66F91AE2-3EB5-41AA-BBD1-24341092E347}"/>
    <cellStyle name="Normal 4 7 2 2 2 2 5" xfId="16661" xr:uid="{2D208B72-FC5A-4A94-8DD8-7827A949FDEA}"/>
    <cellStyle name="Normal 4 7 2 2 2 3" xfId="38636" xr:uid="{0D2FC4CC-7049-4B90-A170-332DB9BB5A6A}"/>
    <cellStyle name="Normal 4 7 2 2 2 4" xfId="30188" xr:uid="{140BDC48-571C-40CF-93B0-5899006BC18E}"/>
    <cellStyle name="Normal 4 7 2 2 2 5" xfId="21741" xr:uid="{1FBF0360-7341-4DC7-B7E3-3776BEC81F1F}"/>
    <cellStyle name="Normal 4 7 2 2 2 6" xfId="12444" xr:uid="{7D2F0173-A3B1-4D27-8269-F923FD6B84F9}"/>
    <cellStyle name="Normal 4 7 2 2 3" xfId="5190" xr:uid="{00000000-0005-0000-0000-0000A6160000}"/>
    <cellStyle name="Normal 4 7 2 2 3 2" xfId="40708" xr:uid="{E0BC9B89-27AD-4B36-9B81-67898979615B}"/>
    <cellStyle name="Normal 4 7 2 2 3 3" xfId="32261" xr:uid="{4B0E7E4F-53FB-48B5-BB66-752E5F00BB61}"/>
    <cellStyle name="Normal 4 7 2 2 3 4" xfId="23813" xr:uid="{65947FCB-9EDB-499C-9AEE-8394354AA927}"/>
    <cellStyle name="Normal 4 7 2 2 3 5" xfId="14516" xr:uid="{A36C0F0D-3B72-443B-84EA-A909BDBB10F0}"/>
    <cellStyle name="Normal 4 7 2 2 4" xfId="9475" xr:uid="{1E309EF6-7D7C-4A4D-B2F1-E00D0CF6E167}"/>
    <cellStyle name="Normal 4 7 2 2 4 2" xfId="36491" xr:uid="{2C1513A2-4805-4D38-ABB7-8CC71F33E570}"/>
    <cellStyle name="Normal 4 7 2 2 4 3" xfId="18788" xr:uid="{0962ED1C-268E-45BD-8E57-A097820B8ADB}"/>
    <cellStyle name="Normal 4 7 2 2 5" xfId="28043" xr:uid="{1C77AFF4-2643-4789-92DD-A39C2C4AA34E}"/>
    <cellStyle name="Normal 4 7 2 2 6" xfId="19596" xr:uid="{4BC634CC-67F2-4A7D-89FF-31DBDA9281F6}"/>
    <cellStyle name="Normal 4 7 2 2 7" xfId="10299" xr:uid="{58FB915D-D15D-4EA9-9F01-FC75AD8705CA}"/>
    <cellStyle name="Normal 4 7 2 3" xfId="1296" xr:uid="{00000000-0005-0000-0000-0000A7160000}"/>
    <cellStyle name="Normal 4 7 2 3 2" xfId="3526" xr:uid="{00000000-0005-0000-0000-0000A8160000}"/>
    <cellStyle name="Normal 4 7 2 3 2 2" xfId="7748" xr:uid="{00000000-0005-0000-0000-0000A9160000}"/>
    <cellStyle name="Normal 4 7 2 3 2 2 2" xfId="43266" xr:uid="{40447D01-6F58-404D-B1E8-FB1071293716}"/>
    <cellStyle name="Normal 4 7 2 3 2 2 3" xfId="34819" xr:uid="{35BD0A00-A919-4BA3-A507-1DD9E217171F}"/>
    <cellStyle name="Normal 4 7 2 3 2 2 4" xfId="26371" xr:uid="{3A337F9A-7E98-4B85-8287-72995108B849}"/>
    <cellStyle name="Normal 4 7 2 3 2 2 5" xfId="17074" xr:uid="{38C63C85-1EF2-4F26-84BD-F8B2CF00E19A}"/>
    <cellStyle name="Normal 4 7 2 3 2 3" xfId="39049" xr:uid="{E30CDDBB-F278-4994-87F6-8E65CADD7B7F}"/>
    <cellStyle name="Normal 4 7 2 3 2 4" xfId="30601" xr:uid="{D4F664AB-544C-4807-9B40-78E46FAE04E4}"/>
    <cellStyle name="Normal 4 7 2 3 2 5" xfId="22154" xr:uid="{1F04B9F9-451B-45E0-94C2-644FA7386DFB}"/>
    <cellStyle name="Normal 4 7 2 3 2 6" xfId="12857" xr:uid="{6DD8736A-D6E1-40BA-B59C-1098A028FCB7}"/>
    <cellStyle name="Normal 4 7 2 3 3" xfId="5603" xr:uid="{00000000-0005-0000-0000-0000AA160000}"/>
    <cellStyle name="Normal 4 7 2 3 3 2" xfId="41121" xr:uid="{0413E59C-22D9-4EA4-9A32-64C594E184CB}"/>
    <cellStyle name="Normal 4 7 2 3 3 3" xfId="32674" xr:uid="{42927443-8927-4ACA-8638-24DAD43E4ACE}"/>
    <cellStyle name="Normal 4 7 2 3 3 4" xfId="24226" xr:uid="{0CD92B4D-3646-49DC-9914-F6D316C710B1}"/>
    <cellStyle name="Normal 4 7 2 3 3 5" xfId="14929" xr:uid="{B377D5E3-5909-4CC7-92D0-3025F54D7DF8}"/>
    <cellStyle name="Normal 4 7 2 3 4" xfId="36904" xr:uid="{2D88F25F-E752-42F1-970D-C9B9919CCA0A}"/>
    <cellStyle name="Normal 4 7 2 3 5" xfId="28456" xr:uid="{17E1A391-F5CA-41A8-9755-8B3E14032E24}"/>
    <cellStyle name="Normal 4 7 2 3 6" xfId="20009" xr:uid="{53958A64-8D1D-414B-B66B-693F82D129C3}"/>
    <cellStyle name="Normal 4 7 2 3 7" xfId="10712" xr:uid="{6722D4D6-FF58-4311-ACD7-BC333CE9CB9C}"/>
    <cellStyle name="Normal 4 7 2 4" xfId="1709" xr:uid="{00000000-0005-0000-0000-0000AB160000}"/>
    <cellStyle name="Normal 4 7 2 4 2" xfId="3939" xr:uid="{00000000-0005-0000-0000-0000AC160000}"/>
    <cellStyle name="Normal 4 7 2 4 2 2" xfId="8161" xr:uid="{00000000-0005-0000-0000-0000AD160000}"/>
    <cellStyle name="Normal 4 7 2 4 2 2 2" xfId="43679" xr:uid="{BA05C79E-D9A9-4641-9F9D-B6FFA0154F97}"/>
    <cellStyle name="Normal 4 7 2 4 2 2 3" xfId="35232" xr:uid="{47F641F9-3D76-49C1-8AFB-D5EFF2394C8E}"/>
    <cellStyle name="Normal 4 7 2 4 2 2 4" xfId="26784" xr:uid="{D1F2CE53-D088-474D-AB3F-A77F55476F86}"/>
    <cellStyle name="Normal 4 7 2 4 2 2 5" xfId="17487" xr:uid="{AF23FE5C-216A-4B71-8BB9-7096642285FE}"/>
    <cellStyle name="Normal 4 7 2 4 2 3" xfId="39462" xr:uid="{8CD54471-A85E-4438-90EA-E5D6D058C964}"/>
    <cellStyle name="Normal 4 7 2 4 2 4" xfId="31014" xr:uid="{E484DB77-1918-46A0-B8C5-924782041B9D}"/>
    <cellStyle name="Normal 4 7 2 4 2 5" xfId="22567" xr:uid="{4B209DC4-901B-41FA-BE51-389802EF1CF0}"/>
    <cellStyle name="Normal 4 7 2 4 2 6" xfId="13270" xr:uid="{99938F06-B69E-45A7-817B-62CA8E0B5037}"/>
    <cellStyle name="Normal 4 7 2 4 3" xfId="6016" xr:uid="{00000000-0005-0000-0000-0000AE160000}"/>
    <cellStyle name="Normal 4 7 2 4 3 2" xfId="41534" xr:uid="{16849242-CFAC-4720-8C25-0639B59CBC62}"/>
    <cellStyle name="Normal 4 7 2 4 3 3" xfId="33087" xr:uid="{2F23B843-4D15-4754-A37B-905EC42E59B7}"/>
    <cellStyle name="Normal 4 7 2 4 3 4" xfId="24639" xr:uid="{0D1B36D0-3670-4FD1-9187-6315DC97CF74}"/>
    <cellStyle name="Normal 4 7 2 4 3 5" xfId="15342" xr:uid="{FAD66225-4065-4C8B-B1C9-E6A3A323E698}"/>
    <cellStyle name="Normal 4 7 2 4 4" xfId="37317" xr:uid="{847AB1A6-2CC2-410B-B951-6B94A361A062}"/>
    <cellStyle name="Normal 4 7 2 4 5" xfId="28869" xr:uid="{1A550180-FC61-470C-AA41-4B3D5E0CFF80}"/>
    <cellStyle name="Normal 4 7 2 4 6" xfId="20422" xr:uid="{016BAC1C-3D22-47AB-BCC1-9653E75CA454}"/>
    <cellStyle name="Normal 4 7 2 4 7" xfId="11125" xr:uid="{5DEF3685-36ED-4BC9-ABF5-053D1DDBA4C6}"/>
    <cellStyle name="Normal 4 7 2 5" xfId="2123" xr:uid="{00000000-0005-0000-0000-0000AF160000}"/>
    <cellStyle name="Normal 4 7 2 5 2" xfId="4352" xr:uid="{00000000-0005-0000-0000-0000B0160000}"/>
    <cellStyle name="Normal 4 7 2 5 2 2" xfId="8574" xr:uid="{00000000-0005-0000-0000-0000B1160000}"/>
    <cellStyle name="Normal 4 7 2 5 2 2 2" xfId="44092" xr:uid="{0F1161DB-3CBD-4C9F-B9D4-F459C0419004}"/>
    <cellStyle name="Normal 4 7 2 5 2 2 3" xfId="35645" xr:uid="{88531076-F081-492D-B79F-AF916814FB88}"/>
    <cellStyle name="Normal 4 7 2 5 2 2 4" xfId="27197" xr:uid="{20F3C876-9356-475E-85AE-376093D55971}"/>
    <cellStyle name="Normal 4 7 2 5 2 2 5" xfId="17900" xr:uid="{CC3BFDBD-99AC-4272-A963-C726495CB3B6}"/>
    <cellStyle name="Normal 4 7 2 5 2 3" xfId="39875" xr:uid="{4073E70B-A3E6-41F7-86CF-3E8C3BE74A7B}"/>
    <cellStyle name="Normal 4 7 2 5 2 4" xfId="31427" xr:uid="{8B4C1562-023B-4E61-A1BB-1992DC0401A7}"/>
    <cellStyle name="Normal 4 7 2 5 2 5" xfId="22980" xr:uid="{C85AF3E3-28BF-4227-898B-61F2C8C41C88}"/>
    <cellStyle name="Normal 4 7 2 5 2 6" xfId="13683" xr:uid="{95ADC502-01F1-4976-97C1-6E2BEAC9B4FA}"/>
    <cellStyle name="Normal 4 7 2 5 3" xfId="6429" xr:uid="{00000000-0005-0000-0000-0000B2160000}"/>
    <cellStyle name="Normal 4 7 2 5 3 2" xfId="41947" xr:uid="{EAEB1B08-5D06-4E4F-B8EF-EA95C5FF5660}"/>
    <cellStyle name="Normal 4 7 2 5 3 3" xfId="33500" xr:uid="{24004791-31DC-43DF-896A-0EF0AD26663A}"/>
    <cellStyle name="Normal 4 7 2 5 3 4" xfId="25052" xr:uid="{246D1711-7B56-4DA6-BC4F-4BAD11B198B2}"/>
    <cellStyle name="Normal 4 7 2 5 3 5" xfId="15755" xr:uid="{E4D9BD61-4376-4F19-97E6-0666D0B82E81}"/>
    <cellStyle name="Normal 4 7 2 5 4" xfId="37730" xr:uid="{4BA03EAB-D103-4150-982B-7FAE9CDE8544}"/>
    <cellStyle name="Normal 4 7 2 5 5" xfId="29282" xr:uid="{E180B336-94D5-45F4-BB8A-24280DA902DB}"/>
    <cellStyle name="Normal 4 7 2 5 6" xfId="20835" xr:uid="{5A979A7D-5FCE-48DB-9226-4AB3DC0B0E2E}"/>
    <cellStyle name="Normal 4 7 2 5 7" xfId="11538" xr:uid="{7EF75756-D19B-4775-88CD-110DA5F783F6}"/>
    <cellStyle name="Normal 4 7 2 6" xfId="2559" xr:uid="{00000000-0005-0000-0000-0000B3160000}"/>
    <cellStyle name="Normal 4 7 2 6 2" xfId="6842" xr:uid="{00000000-0005-0000-0000-0000B4160000}"/>
    <cellStyle name="Normal 4 7 2 6 2 2" xfId="42360" xr:uid="{493AFCC4-ACF7-4046-A3B0-7C2923545569}"/>
    <cellStyle name="Normal 4 7 2 6 2 3" xfId="33913" xr:uid="{8566FB19-512B-45B1-B94D-86F30E2C0705}"/>
    <cellStyle name="Normal 4 7 2 6 2 4" xfId="25465" xr:uid="{150467A3-CE64-453C-9142-99679E8588F6}"/>
    <cellStyle name="Normal 4 7 2 6 2 5" xfId="16168" xr:uid="{ED5D9292-F6AA-47F3-A294-7A9879A047E2}"/>
    <cellStyle name="Normal 4 7 2 6 3" xfId="38143" xr:uid="{52CA1854-2E18-4848-9D7C-2AFC03FA4FB5}"/>
    <cellStyle name="Normal 4 7 2 6 4" xfId="29695" xr:uid="{07D724BA-1956-45E5-9FDB-6132AFBA1FA7}"/>
    <cellStyle name="Normal 4 7 2 6 5" xfId="21248" xr:uid="{04242D78-12C9-4C11-B240-B18B2B7E7C5E}"/>
    <cellStyle name="Normal 4 7 2 6 6" xfId="11951" xr:uid="{5C3932D0-8F6D-4F0F-ACE4-5631AE23A6FB}"/>
    <cellStyle name="Normal 4 7 2 7" xfId="4777" xr:uid="{00000000-0005-0000-0000-0000B5160000}"/>
    <cellStyle name="Normal 4 7 2 7 2" xfId="40295" xr:uid="{949FADFB-BC87-4DF8-865C-C8C9E6573032}"/>
    <cellStyle name="Normal 4 7 2 7 3" xfId="31848" xr:uid="{9E7EDE2F-4A90-4C39-A849-22BF4309E2D0}"/>
    <cellStyle name="Normal 4 7 2 7 4" xfId="23400" xr:uid="{5E2594DF-5B86-47FA-9B07-09B4D39D1171}"/>
    <cellStyle name="Normal 4 7 2 7 5" xfId="14103" xr:uid="{0CE6C01F-4025-4F1B-B7D1-EEF6490E0D8D}"/>
    <cellStyle name="Normal 4 7 2 8" xfId="9050" xr:uid="{C18A0BCD-6C40-47C4-AC72-E06914F008F6}"/>
    <cellStyle name="Normal 4 7 2 8 2" xfId="36078" xr:uid="{86879ACF-41BC-438A-BA91-0FE4A9516CFF}"/>
    <cellStyle name="Normal 4 7 2 8 3" xfId="18373" xr:uid="{43C5AAE3-12C5-42D8-916B-62AB214DB4FF}"/>
    <cellStyle name="Normal 4 7 2 9" xfId="27630" xr:uid="{E809823E-1463-42A7-8518-A4AA95273012}"/>
    <cellStyle name="Normal 4 7 3" xfId="877" xr:uid="{00000000-0005-0000-0000-0000B6160000}"/>
    <cellStyle name="Normal 4 7 3 2" xfId="3112" xr:uid="{00000000-0005-0000-0000-0000B7160000}"/>
    <cellStyle name="Normal 4 7 3 2 2" xfId="7334" xr:uid="{00000000-0005-0000-0000-0000B8160000}"/>
    <cellStyle name="Normal 4 7 3 2 2 2" xfId="42852" xr:uid="{DCBECF2E-92F1-440C-85A7-D075AB567D97}"/>
    <cellStyle name="Normal 4 7 3 2 2 3" xfId="34405" xr:uid="{09177058-5F47-473A-AF6F-F85B1AC3274E}"/>
    <cellStyle name="Normal 4 7 3 2 2 4" xfId="25957" xr:uid="{B8A9ACCD-A4E1-4B75-BAC9-9E4EFD821F54}"/>
    <cellStyle name="Normal 4 7 3 2 2 5" xfId="16660" xr:uid="{8B6348E1-A42B-4C10-BBE4-5C586774BB1A}"/>
    <cellStyle name="Normal 4 7 3 2 3" xfId="38635" xr:uid="{537AC8CE-768E-4B94-9DC0-8F033C9473BB}"/>
    <cellStyle name="Normal 4 7 3 2 4" xfId="30187" xr:uid="{7A9D5A2D-967B-44F1-98E0-C0BA7D4C1A0A}"/>
    <cellStyle name="Normal 4 7 3 2 5" xfId="21740" xr:uid="{8A8699E8-05CF-4642-A341-66D1D2F3FE65}"/>
    <cellStyle name="Normal 4 7 3 2 6" xfId="12443" xr:uid="{568649F3-C037-4EE6-A9D2-AF9F37F666F5}"/>
    <cellStyle name="Normal 4 7 3 3" xfId="5189" xr:uid="{00000000-0005-0000-0000-0000B9160000}"/>
    <cellStyle name="Normal 4 7 3 3 2" xfId="40707" xr:uid="{0FC2F5AE-ECD2-46B3-AE00-9178C63715B0}"/>
    <cellStyle name="Normal 4 7 3 3 3" xfId="32260" xr:uid="{777840DF-969C-4CB6-BDAA-E63D7DC41A04}"/>
    <cellStyle name="Normal 4 7 3 3 4" xfId="23812" xr:uid="{F9C9BA9C-C047-438E-8268-03BC8CC6D86B}"/>
    <cellStyle name="Normal 4 7 3 3 5" xfId="14515" xr:uid="{69F3FA74-C57D-4DD8-A283-3C0C786F3A9E}"/>
    <cellStyle name="Normal 4 7 3 4" xfId="9268" xr:uid="{83DA99B2-5D77-4110-AEB9-304D3ECEF3EB}"/>
    <cellStyle name="Normal 4 7 3 4 2" xfId="36490" xr:uid="{532712F2-7F04-4679-9A56-78B3895B3321}"/>
    <cellStyle name="Normal 4 7 3 4 3" xfId="18581" xr:uid="{62A2B121-1803-419A-BA9D-9D306DD4EA76}"/>
    <cellStyle name="Normal 4 7 3 5" xfId="28042" xr:uid="{DCF693E6-6630-483D-B2FF-8802CADB2D62}"/>
    <cellStyle name="Normal 4 7 3 6" xfId="19595" xr:uid="{FD46D228-DCDD-4DBB-937E-BFE597E73FB4}"/>
    <cellStyle name="Normal 4 7 3 7" xfId="10298" xr:uid="{1CE97EF6-733C-4C1F-914F-997DCC2B108F}"/>
    <cellStyle name="Normal 4 7 4" xfId="1295" xr:uid="{00000000-0005-0000-0000-0000BA160000}"/>
    <cellStyle name="Normal 4 7 4 2" xfId="3525" xr:uid="{00000000-0005-0000-0000-0000BB160000}"/>
    <cellStyle name="Normal 4 7 4 2 2" xfId="7747" xr:uid="{00000000-0005-0000-0000-0000BC160000}"/>
    <cellStyle name="Normal 4 7 4 2 2 2" xfId="43265" xr:uid="{FF34CB60-885C-4E9C-9CDF-65F1D2C7B85D}"/>
    <cellStyle name="Normal 4 7 4 2 2 3" xfId="34818" xr:uid="{6C38EAB0-4F8E-4B3C-8A6C-5DAD0A236403}"/>
    <cellStyle name="Normal 4 7 4 2 2 4" xfId="26370" xr:uid="{0DF40CAD-8033-4EF1-A792-D7A2BCC908DD}"/>
    <cellStyle name="Normal 4 7 4 2 2 5" xfId="17073" xr:uid="{B06001C6-645E-4797-9853-7B9CA8CC486B}"/>
    <cellStyle name="Normal 4 7 4 2 3" xfId="39048" xr:uid="{A296BD2D-8CA4-4486-AE5F-DA889070F7DA}"/>
    <cellStyle name="Normal 4 7 4 2 4" xfId="30600" xr:uid="{C86AD500-AA7D-4628-987E-F81915967235}"/>
    <cellStyle name="Normal 4 7 4 2 5" xfId="22153" xr:uid="{B878E814-789D-4865-9CF6-B536399FFC85}"/>
    <cellStyle name="Normal 4 7 4 2 6" xfId="12856" xr:uid="{7398B367-0C29-491B-8923-8CEA2AA0DCE2}"/>
    <cellStyle name="Normal 4 7 4 3" xfId="5602" xr:uid="{00000000-0005-0000-0000-0000BD160000}"/>
    <cellStyle name="Normal 4 7 4 3 2" xfId="41120" xr:uid="{8E18823A-C192-4E0B-972B-D0671F9A2A0F}"/>
    <cellStyle name="Normal 4 7 4 3 3" xfId="32673" xr:uid="{E1BE2225-2DB5-4B0D-BB96-A8F0D5EC880B}"/>
    <cellStyle name="Normal 4 7 4 3 4" xfId="24225" xr:uid="{EB4658CA-3352-43A2-BD06-BA28FA49E55B}"/>
    <cellStyle name="Normal 4 7 4 3 5" xfId="14928" xr:uid="{C31E0F58-474A-456B-831A-F36D5334A3A0}"/>
    <cellStyle name="Normal 4 7 4 4" xfId="36903" xr:uid="{3D88CB50-8FD3-4F35-8F4F-6E1836B5A015}"/>
    <cellStyle name="Normal 4 7 4 5" xfId="28455" xr:uid="{6CA65791-452B-441F-A7E0-C3A5397BA9D1}"/>
    <cellStyle name="Normal 4 7 4 6" xfId="20008" xr:uid="{1A575146-907B-4A76-9CAF-AA691C1CA32E}"/>
    <cellStyle name="Normal 4 7 4 7" xfId="10711" xr:uid="{00514A41-83BE-4107-B126-972CA3362076}"/>
    <cellStyle name="Normal 4 7 5" xfId="1708" xr:uid="{00000000-0005-0000-0000-0000BE160000}"/>
    <cellStyle name="Normal 4 7 5 2" xfId="3938" xr:uid="{00000000-0005-0000-0000-0000BF160000}"/>
    <cellStyle name="Normal 4 7 5 2 2" xfId="8160" xr:uid="{00000000-0005-0000-0000-0000C0160000}"/>
    <cellStyle name="Normal 4 7 5 2 2 2" xfId="43678" xr:uid="{1BCF399B-1C47-4808-921B-05B08C5F236B}"/>
    <cellStyle name="Normal 4 7 5 2 2 3" xfId="35231" xr:uid="{CE781D68-F69B-4D81-B6DB-5EA1916B4D36}"/>
    <cellStyle name="Normal 4 7 5 2 2 4" xfId="26783" xr:uid="{95A07FC6-601C-432F-AC05-0E3EEDD847EB}"/>
    <cellStyle name="Normal 4 7 5 2 2 5" xfId="17486" xr:uid="{8426F1C1-EFB2-46BD-80F8-4B7C145367C0}"/>
    <cellStyle name="Normal 4 7 5 2 3" xfId="39461" xr:uid="{C249A362-EEDC-402C-9024-336604AE033C}"/>
    <cellStyle name="Normal 4 7 5 2 4" xfId="31013" xr:uid="{3D0AABA9-1586-4906-9476-3D5806AF673E}"/>
    <cellStyle name="Normal 4 7 5 2 5" xfId="22566" xr:uid="{605DE731-74F1-40FA-892A-2E154F0E6FF3}"/>
    <cellStyle name="Normal 4 7 5 2 6" xfId="13269" xr:uid="{C57A2806-855E-4494-B2C7-462C4609E048}"/>
    <cellStyle name="Normal 4 7 5 3" xfId="6015" xr:uid="{00000000-0005-0000-0000-0000C1160000}"/>
    <cellStyle name="Normal 4 7 5 3 2" xfId="41533" xr:uid="{E4208E56-16F0-4651-9979-60749D7A2E74}"/>
    <cellStyle name="Normal 4 7 5 3 3" xfId="33086" xr:uid="{75D37807-0F64-4500-98D5-23CEFAD5DBD3}"/>
    <cellStyle name="Normal 4 7 5 3 4" xfId="24638" xr:uid="{736B0117-4610-4E2A-B636-9FDA368965CE}"/>
    <cellStyle name="Normal 4 7 5 3 5" xfId="15341" xr:uid="{02A4D26E-2021-4DD5-95BF-5320234A5E89}"/>
    <cellStyle name="Normal 4 7 5 4" xfId="37316" xr:uid="{1C0F7219-4A85-4DED-ABFE-D122121C74D1}"/>
    <cellStyle name="Normal 4 7 5 5" xfId="28868" xr:uid="{8BFF32EC-9661-4865-862D-C1986E6E22CD}"/>
    <cellStyle name="Normal 4 7 5 6" xfId="20421" xr:uid="{E54D9ECC-5B86-4A99-8809-32F2674D3037}"/>
    <cellStyle name="Normal 4 7 5 7" xfId="11124" xr:uid="{E4635A66-F472-4179-9906-D1D7A2E3C4D4}"/>
    <cellStyle name="Normal 4 7 6" xfId="2122" xr:uid="{00000000-0005-0000-0000-0000C2160000}"/>
    <cellStyle name="Normal 4 7 6 2" xfId="4351" xr:uid="{00000000-0005-0000-0000-0000C3160000}"/>
    <cellStyle name="Normal 4 7 6 2 2" xfId="8573" xr:uid="{00000000-0005-0000-0000-0000C4160000}"/>
    <cellStyle name="Normal 4 7 6 2 2 2" xfId="44091" xr:uid="{1BAB418A-CC27-48E0-9419-849D207B2104}"/>
    <cellStyle name="Normal 4 7 6 2 2 3" xfId="35644" xr:uid="{12CB213A-97BA-4BA7-8F79-F99030081CA4}"/>
    <cellStyle name="Normal 4 7 6 2 2 4" xfId="27196" xr:uid="{D6666C2F-295F-44F8-9E90-A733AFDC36C6}"/>
    <cellStyle name="Normal 4 7 6 2 2 5" xfId="17899" xr:uid="{17D35E89-27F5-4F67-9E6F-B47D877459DB}"/>
    <cellStyle name="Normal 4 7 6 2 3" xfId="39874" xr:uid="{E2684D63-442A-4E3D-844C-8DDA1B650553}"/>
    <cellStyle name="Normal 4 7 6 2 4" xfId="31426" xr:uid="{B77D3C6A-46EA-4854-9BB3-7E85EEE4C7B3}"/>
    <cellStyle name="Normal 4 7 6 2 5" xfId="22979" xr:uid="{58897FBD-6307-420D-87E7-89FF5C39EA35}"/>
    <cellStyle name="Normal 4 7 6 2 6" xfId="13682" xr:uid="{40532F7B-30D3-4F17-BCD9-9CF4CCFC59F3}"/>
    <cellStyle name="Normal 4 7 6 3" xfId="6428" xr:uid="{00000000-0005-0000-0000-0000C5160000}"/>
    <cellStyle name="Normal 4 7 6 3 2" xfId="41946" xr:uid="{591B18B6-4D1B-4BAB-AC77-352BFCF87560}"/>
    <cellStyle name="Normal 4 7 6 3 3" xfId="33499" xr:uid="{05688A3D-3012-4E58-9FD9-145E365A5ADB}"/>
    <cellStyle name="Normal 4 7 6 3 4" xfId="25051" xr:uid="{4F9FEF7C-E7BC-41E4-81EF-C70066F5ED9F}"/>
    <cellStyle name="Normal 4 7 6 3 5" xfId="15754" xr:uid="{791BD6FD-AFF9-4A49-B79B-201443638835}"/>
    <cellStyle name="Normal 4 7 6 4" xfId="37729" xr:uid="{5165BBAE-6EB3-40F6-B8F2-488B9E55310F}"/>
    <cellStyle name="Normal 4 7 6 5" xfId="29281" xr:uid="{78D30602-518C-4DE2-AB00-3D09E42D647F}"/>
    <cellStyle name="Normal 4 7 6 6" xfId="20834" xr:uid="{CD2D65DC-761C-4286-A254-61C2239044A4}"/>
    <cellStyle name="Normal 4 7 6 7" xfId="11537" xr:uid="{F4D28843-2CA3-44A6-8F7A-5513D6512F69}"/>
    <cellStyle name="Normal 4 7 7" xfId="2558" xr:uid="{00000000-0005-0000-0000-0000C6160000}"/>
    <cellStyle name="Normal 4 7 7 2" xfId="6841" xr:uid="{00000000-0005-0000-0000-0000C7160000}"/>
    <cellStyle name="Normal 4 7 7 2 2" xfId="42359" xr:uid="{5D61079A-F4FE-40D6-A054-522D62963C88}"/>
    <cellStyle name="Normal 4 7 7 2 3" xfId="33912" xr:uid="{70CA0DC9-07EB-4774-9A86-FC2FE02A15CA}"/>
    <cellStyle name="Normal 4 7 7 2 4" xfId="25464" xr:uid="{37E2E022-A30F-41DB-8538-3EC76298042B}"/>
    <cellStyle name="Normal 4 7 7 2 5" xfId="16167" xr:uid="{7CD44081-F612-4952-B0E9-88C3BC8D1032}"/>
    <cellStyle name="Normal 4 7 7 3" xfId="38142" xr:uid="{9889097B-6D03-4D4B-8043-B7E23FDC73E5}"/>
    <cellStyle name="Normal 4 7 7 4" xfId="29694" xr:uid="{F3E09042-9069-45E1-B5CA-1BC13D9586E1}"/>
    <cellStyle name="Normal 4 7 7 5" xfId="21247" xr:uid="{424F8C56-D786-4C35-B5FD-7CF976D3A411}"/>
    <cellStyle name="Normal 4 7 7 6" xfId="11950" xr:uid="{13303BAF-FAAF-4EB3-9F95-28E9BAA3C946}"/>
    <cellStyle name="Normal 4 7 8" xfId="4776" xr:uid="{00000000-0005-0000-0000-0000C8160000}"/>
    <cellStyle name="Normal 4 7 8 2" xfId="40294" xr:uid="{3DE029BC-BF46-46DB-A44C-D730A4960AD0}"/>
    <cellStyle name="Normal 4 7 8 3" xfId="31847" xr:uid="{77D8A0B1-E3DD-4F38-BB29-A6BE0426C0B6}"/>
    <cellStyle name="Normal 4 7 8 4" xfId="23399" xr:uid="{F3508A53-B214-4C02-B51C-10F02B2629B5}"/>
    <cellStyle name="Normal 4 7 8 5" xfId="14102" xr:uid="{57123105-7093-4DE7-924B-5C4E13114FC3}"/>
    <cellStyle name="Normal 4 7 9" xfId="8843" xr:uid="{092972D9-0015-4C5A-94A6-5AFD2026266B}"/>
    <cellStyle name="Normal 4 7 9 2" xfId="36077" xr:uid="{263345F8-F686-4C64-9FAC-079CC149A514}"/>
    <cellStyle name="Normal 4 7 9 3" xfId="18166" xr:uid="{77769BC8-5A52-4134-ADDC-54B9AD300445}"/>
    <cellStyle name="Normal 4 8" xfId="405" xr:uid="{00000000-0005-0000-0000-0000C9160000}"/>
    <cellStyle name="Normal 4 8 10" xfId="19184" xr:uid="{A6B0BB44-9ACD-403E-924F-DA3798D2A125}"/>
    <cellStyle name="Normal 4 8 11" xfId="9887" xr:uid="{19B2E64E-7009-4E17-B9D4-C9B577523D01}"/>
    <cellStyle name="Normal 4 8 2" xfId="879" xr:uid="{00000000-0005-0000-0000-0000CA160000}"/>
    <cellStyle name="Normal 4 8 2 2" xfId="3114" xr:uid="{00000000-0005-0000-0000-0000CB160000}"/>
    <cellStyle name="Normal 4 8 2 2 2" xfId="7336" xr:uid="{00000000-0005-0000-0000-0000CC160000}"/>
    <cellStyle name="Normal 4 8 2 2 2 2" xfId="42854" xr:uid="{323CF382-EAD4-45E3-8BAF-0A81DFA47E53}"/>
    <cellStyle name="Normal 4 8 2 2 2 3" xfId="34407" xr:uid="{B3A94065-0039-4EC7-A8CF-CAF077356700}"/>
    <cellStyle name="Normal 4 8 2 2 2 4" xfId="25959" xr:uid="{E44CE492-D1A1-4434-81D8-1D648B3B28CA}"/>
    <cellStyle name="Normal 4 8 2 2 2 5" xfId="16662" xr:uid="{BAE82481-2492-4F69-A84A-CD23CD31468D}"/>
    <cellStyle name="Normal 4 8 2 2 3" xfId="38637" xr:uid="{6A7C650F-7DDA-45E4-99FE-97681498BD4E}"/>
    <cellStyle name="Normal 4 8 2 2 4" xfId="30189" xr:uid="{141D96DF-BFE0-4BEF-87BA-A4C8653D6758}"/>
    <cellStyle name="Normal 4 8 2 2 5" xfId="21742" xr:uid="{9491ECEE-8F30-4848-9E76-7D7F3E14F901}"/>
    <cellStyle name="Normal 4 8 2 2 6" xfId="12445" xr:uid="{C379FCC3-CA74-4616-B80C-A8F1DDA8B1A0}"/>
    <cellStyle name="Normal 4 8 2 3" xfId="5191" xr:uid="{00000000-0005-0000-0000-0000CD160000}"/>
    <cellStyle name="Normal 4 8 2 3 2" xfId="40709" xr:uid="{FEE90590-9DF1-4B3D-B296-B6BC3F12AFBA}"/>
    <cellStyle name="Normal 4 8 2 3 3" xfId="32262" xr:uid="{FAEE6450-07AF-4F8F-BF36-F19688D833B3}"/>
    <cellStyle name="Normal 4 8 2 3 4" xfId="23814" xr:uid="{B3BB9D40-6F09-473B-B08B-3A40B1D831A1}"/>
    <cellStyle name="Normal 4 8 2 3 5" xfId="14517" xr:uid="{50CF7355-8FC3-4439-9460-F245ABD72AE1}"/>
    <cellStyle name="Normal 4 8 2 4" xfId="9384" xr:uid="{6351F1DA-E485-4044-8429-C0AE76E79EEE}"/>
    <cellStyle name="Normal 4 8 2 4 2" xfId="36492" xr:uid="{207EB31B-5CFD-4BF8-822D-9E41BD5D867E}"/>
    <cellStyle name="Normal 4 8 2 4 3" xfId="18697" xr:uid="{C28428AC-55DA-4845-8E7C-56AA697F6DA1}"/>
    <cellStyle name="Normal 4 8 2 5" xfId="28044" xr:uid="{C37A3568-C037-44CB-9E78-04BE10DC69B0}"/>
    <cellStyle name="Normal 4 8 2 6" xfId="19597" xr:uid="{561AD33A-EC5B-4BBE-B5DA-725CF7F3536D}"/>
    <cellStyle name="Normal 4 8 2 7" xfId="10300" xr:uid="{4993BB61-5A93-4CF6-B4E6-31920BF0F7F4}"/>
    <cellStyle name="Normal 4 8 3" xfId="1297" xr:uid="{00000000-0005-0000-0000-0000CE160000}"/>
    <cellStyle name="Normal 4 8 3 2" xfId="3527" xr:uid="{00000000-0005-0000-0000-0000CF160000}"/>
    <cellStyle name="Normal 4 8 3 2 2" xfId="7749" xr:uid="{00000000-0005-0000-0000-0000D0160000}"/>
    <cellStyle name="Normal 4 8 3 2 2 2" xfId="43267" xr:uid="{24FB96C1-917D-4FED-A1DB-B9838E103D37}"/>
    <cellStyle name="Normal 4 8 3 2 2 3" xfId="34820" xr:uid="{D8829D92-22D6-46EC-9CC6-66B317890C08}"/>
    <cellStyle name="Normal 4 8 3 2 2 4" xfId="26372" xr:uid="{9D86D11C-08BD-468E-9EF3-618C5D8072CE}"/>
    <cellStyle name="Normal 4 8 3 2 2 5" xfId="17075" xr:uid="{4AA5C5D6-2F3E-43E0-9910-E8F8AF564920}"/>
    <cellStyle name="Normal 4 8 3 2 3" xfId="39050" xr:uid="{C696FF3D-BB55-40A8-AC64-9748CD972980}"/>
    <cellStyle name="Normal 4 8 3 2 4" xfId="30602" xr:uid="{06EF842C-7B39-45EA-8EC7-00C35BBD899C}"/>
    <cellStyle name="Normal 4 8 3 2 5" xfId="22155" xr:uid="{E93866F0-9D17-4D20-9184-C03208E7EE35}"/>
    <cellStyle name="Normal 4 8 3 2 6" xfId="12858" xr:uid="{1CAD96DF-B97C-439C-A661-59A6E9483483}"/>
    <cellStyle name="Normal 4 8 3 3" xfId="5604" xr:uid="{00000000-0005-0000-0000-0000D1160000}"/>
    <cellStyle name="Normal 4 8 3 3 2" xfId="41122" xr:uid="{BF703493-55AF-4883-AD53-F05237D85493}"/>
    <cellStyle name="Normal 4 8 3 3 3" xfId="32675" xr:uid="{5111F071-E8E6-44B6-A949-0C67728839B0}"/>
    <cellStyle name="Normal 4 8 3 3 4" xfId="24227" xr:uid="{434177D2-F765-46FF-804F-8B701F965023}"/>
    <cellStyle name="Normal 4 8 3 3 5" xfId="14930" xr:uid="{75A884E1-4735-4600-AC28-7730474C6BC3}"/>
    <cellStyle name="Normal 4 8 3 4" xfId="36905" xr:uid="{E57B35BE-1196-4B2F-B78E-EE16B4F2ED3B}"/>
    <cellStyle name="Normal 4 8 3 5" xfId="28457" xr:uid="{62477DA3-7ECE-4EE3-8CE6-9377574955B2}"/>
    <cellStyle name="Normal 4 8 3 6" xfId="20010" xr:uid="{7D808098-E8A9-43E4-8815-3FB7D1DA88E7}"/>
    <cellStyle name="Normal 4 8 3 7" xfId="10713" xr:uid="{60784E61-A4B4-422B-AE43-AC20C3A3235E}"/>
    <cellStyle name="Normal 4 8 4" xfId="1710" xr:uid="{00000000-0005-0000-0000-0000D2160000}"/>
    <cellStyle name="Normal 4 8 4 2" xfId="3940" xr:uid="{00000000-0005-0000-0000-0000D3160000}"/>
    <cellStyle name="Normal 4 8 4 2 2" xfId="8162" xr:uid="{00000000-0005-0000-0000-0000D4160000}"/>
    <cellStyle name="Normal 4 8 4 2 2 2" xfId="43680" xr:uid="{52E35EDE-D397-471C-A4A9-67FEB032DAA0}"/>
    <cellStyle name="Normal 4 8 4 2 2 3" xfId="35233" xr:uid="{402FA929-2BC9-4CFF-ABE6-4D7185C2A51D}"/>
    <cellStyle name="Normal 4 8 4 2 2 4" xfId="26785" xr:uid="{E090F3BE-617D-446A-B245-185213EB9259}"/>
    <cellStyle name="Normal 4 8 4 2 2 5" xfId="17488" xr:uid="{3BAAB38E-302B-4921-AA48-6CE3F8E01E4B}"/>
    <cellStyle name="Normal 4 8 4 2 3" xfId="39463" xr:uid="{18987664-267D-4145-BE93-46433FC697F7}"/>
    <cellStyle name="Normal 4 8 4 2 4" xfId="31015" xr:uid="{05CC25B5-9116-4D4E-BA0A-1BA4928F6CAB}"/>
    <cellStyle name="Normal 4 8 4 2 5" xfId="22568" xr:uid="{C090E061-83B6-439D-8413-ADF3F00EB934}"/>
    <cellStyle name="Normal 4 8 4 2 6" xfId="13271" xr:uid="{D09DCB96-AC5B-4799-A63E-28E7566F89A7}"/>
    <cellStyle name="Normal 4 8 4 3" xfId="6017" xr:uid="{00000000-0005-0000-0000-0000D5160000}"/>
    <cellStyle name="Normal 4 8 4 3 2" xfId="41535" xr:uid="{7D985E32-1B49-4669-AA09-7FB0860D3EE7}"/>
    <cellStyle name="Normal 4 8 4 3 3" xfId="33088" xr:uid="{470741F1-EB83-4137-BE07-10DB826D6F4A}"/>
    <cellStyle name="Normal 4 8 4 3 4" xfId="24640" xr:uid="{F3A7B98E-AC3A-48FB-915D-D9B9555D2080}"/>
    <cellStyle name="Normal 4 8 4 3 5" xfId="15343" xr:uid="{4273AA6B-DE0B-4B11-A22A-AA30DF427B06}"/>
    <cellStyle name="Normal 4 8 4 4" xfId="37318" xr:uid="{8CC3E137-F8E1-414E-866E-016B363B07C4}"/>
    <cellStyle name="Normal 4 8 4 5" xfId="28870" xr:uid="{A626B72B-D064-433F-9ED2-62E50A898A71}"/>
    <cellStyle name="Normal 4 8 4 6" xfId="20423" xr:uid="{BA3FE2C5-1A45-4599-81F5-C8DDF3C2A1BE}"/>
    <cellStyle name="Normal 4 8 4 7" xfId="11126" xr:uid="{11A60546-CA77-4645-A11D-3740B75E6249}"/>
    <cellStyle name="Normal 4 8 5" xfId="2124" xr:uid="{00000000-0005-0000-0000-0000D6160000}"/>
    <cellStyle name="Normal 4 8 5 2" xfId="4353" xr:uid="{00000000-0005-0000-0000-0000D7160000}"/>
    <cellStyle name="Normal 4 8 5 2 2" xfId="8575" xr:uid="{00000000-0005-0000-0000-0000D8160000}"/>
    <cellStyle name="Normal 4 8 5 2 2 2" xfId="44093" xr:uid="{D5C073B1-A8BC-43D0-A280-73FFC2ED9C10}"/>
    <cellStyle name="Normal 4 8 5 2 2 3" xfId="35646" xr:uid="{14B786B4-6984-4EDC-BA64-5352B56F995B}"/>
    <cellStyle name="Normal 4 8 5 2 2 4" xfId="27198" xr:uid="{EE81A108-7685-4401-B60E-51075AAC36C0}"/>
    <cellStyle name="Normal 4 8 5 2 2 5" xfId="17901" xr:uid="{12735DAA-2088-4DA6-8EA8-B0689E418EDE}"/>
    <cellStyle name="Normal 4 8 5 2 3" xfId="39876" xr:uid="{86212C43-F68A-42B8-B8F1-2B99472346CC}"/>
    <cellStyle name="Normal 4 8 5 2 4" xfId="31428" xr:uid="{1E7DC930-5C96-44B9-BF06-C5294BD5BC74}"/>
    <cellStyle name="Normal 4 8 5 2 5" xfId="22981" xr:uid="{645FBA48-02C8-4792-861B-91A0F468F04A}"/>
    <cellStyle name="Normal 4 8 5 2 6" xfId="13684" xr:uid="{14172817-0F79-44D1-940B-185E7E873F33}"/>
    <cellStyle name="Normal 4 8 5 3" xfId="6430" xr:uid="{00000000-0005-0000-0000-0000D9160000}"/>
    <cellStyle name="Normal 4 8 5 3 2" xfId="41948" xr:uid="{DC2E3B3F-1BBD-47D7-9D1A-641BAC960674}"/>
    <cellStyle name="Normal 4 8 5 3 3" xfId="33501" xr:uid="{39C6779B-B292-41F2-A6BA-610B6E15ABA0}"/>
    <cellStyle name="Normal 4 8 5 3 4" xfId="25053" xr:uid="{22CDA478-CAAA-4D15-A6F0-6620A492BB93}"/>
    <cellStyle name="Normal 4 8 5 3 5" xfId="15756" xr:uid="{783D2072-7EA1-4389-8931-A510A66D5C44}"/>
    <cellStyle name="Normal 4 8 5 4" xfId="37731" xr:uid="{87805835-F65B-4765-9F48-376B8F5B4ED5}"/>
    <cellStyle name="Normal 4 8 5 5" xfId="29283" xr:uid="{ADF4CB0C-71B1-4A0B-B74F-FC8E5473E970}"/>
    <cellStyle name="Normal 4 8 5 6" xfId="20836" xr:uid="{2FABEA4D-B3F7-4083-ACEF-781FB704B111}"/>
    <cellStyle name="Normal 4 8 5 7" xfId="11539" xr:uid="{09F8A9A8-80DE-40FB-B500-E49DC154CABD}"/>
    <cellStyle name="Normal 4 8 6" xfId="2560" xr:uid="{00000000-0005-0000-0000-0000DA160000}"/>
    <cellStyle name="Normal 4 8 6 2" xfId="6843" xr:uid="{00000000-0005-0000-0000-0000DB160000}"/>
    <cellStyle name="Normal 4 8 6 2 2" xfId="42361" xr:uid="{45C4A55D-9F6D-452A-AC34-DE0255285423}"/>
    <cellStyle name="Normal 4 8 6 2 3" xfId="33914" xr:uid="{4B04CBBC-D1BC-45FB-83BB-23C4636814ED}"/>
    <cellStyle name="Normal 4 8 6 2 4" xfId="25466" xr:uid="{CB60235E-F80A-47AF-A5BB-F964A0213EED}"/>
    <cellStyle name="Normal 4 8 6 2 5" xfId="16169" xr:uid="{052E1B29-FD06-4DD0-BDE7-36ACAA229CEA}"/>
    <cellStyle name="Normal 4 8 6 3" xfId="38144" xr:uid="{0839941A-545D-47C6-A78F-ED2EF21F2783}"/>
    <cellStyle name="Normal 4 8 6 4" xfId="29696" xr:uid="{FA4443BF-3AA2-4003-AF20-FD6A93E7828E}"/>
    <cellStyle name="Normal 4 8 6 5" xfId="21249" xr:uid="{E8F11593-9AB4-4C99-B7C8-267F987903A7}"/>
    <cellStyle name="Normal 4 8 6 6" xfId="11952" xr:uid="{DC33CBFA-E674-4B63-ACB3-3C54189C6108}"/>
    <cellStyle name="Normal 4 8 7" xfId="4778" xr:uid="{00000000-0005-0000-0000-0000DC160000}"/>
    <cellStyle name="Normal 4 8 7 2" xfId="40296" xr:uid="{49584FCD-4416-4412-ABAE-78B5286735F0}"/>
    <cellStyle name="Normal 4 8 7 3" xfId="31849" xr:uid="{535A7AF9-140D-44CB-9C02-8C388E974EC8}"/>
    <cellStyle name="Normal 4 8 7 4" xfId="23401" xr:uid="{32591709-3668-43BB-BA3B-9DBA2B0B2612}"/>
    <cellStyle name="Normal 4 8 7 5" xfId="14104" xr:uid="{43B75EF7-0368-4A6F-B998-780577381D13}"/>
    <cellStyle name="Normal 4 8 8" xfId="8959" xr:uid="{E3216EF3-66EB-48FF-967C-A258B3C3F4FF}"/>
    <cellStyle name="Normal 4 8 8 2" xfId="36079" xr:uid="{2EB0374E-2C77-49C4-862E-642D1A85E3EB}"/>
    <cellStyle name="Normal 4 8 8 3" xfId="18282" xr:uid="{7A180A02-9FD4-4AD0-8452-E1BAE0F7AFA3}"/>
    <cellStyle name="Normal 4 8 9" xfId="27631" xr:uid="{B96F248A-FD06-4140-B145-76899CA5E037}"/>
    <cellStyle name="Normal 4 9" xfId="4715" xr:uid="{00000000-0005-0000-0000-0000DD160000}"/>
    <cellStyle name="Normal 4 9 2" xfId="9162" xr:uid="{BC355FAB-4557-4712-A03F-EB5522B29E6A}"/>
    <cellStyle name="Normal 4 9 2 2" xfId="40233" xr:uid="{994C33E3-422E-483C-A4FA-344A148502B5}"/>
    <cellStyle name="Normal 4 9 2 3" xfId="18478" xr:uid="{F4A02626-5ED6-4135-B0E7-D9E35706079A}"/>
    <cellStyle name="Normal 4 9 3" xfId="31786" xr:uid="{EFDBEABD-1FD2-44B7-9B60-27503E3DAC1B}"/>
    <cellStyle name="Normal 4 9 4" xfId="23338" xr:uid="{40CA604C-9019-41D3-8A98-811063C0E950}"/>
    <cellStyle name="Normal 4 9 5" xfId="14041" xr:uid="{326A94E9-D2A7-4C37-B84D-1714339CBE28}"/>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43681" xr:uid="{AB9D2911-86C3-409D-968F-77E9DF1C1043}"/>
    <cellStyle name="Normal 5 10 2 2 3" xfId="35234" xr:uid="{0D7F7EF5-2E66-413D-AC43-40284B3C9C58}"/>
    <cellStyle name="Normal 5 10 2 2 4" xfId="26786" xr:uid="{5D041ABC-DF44-4727-9B38-B485291581E2}"/>
    <cellStyle name="Normal 5 10 2 2 5" xfId="17489" xr:uid="{FFD673B1-87ED-489B-9443-B4710C99414F}"/>
    <cellStyle name="Normal 5 10 2 3" xfId="39464" xr:uid="{3B2CBDC6-B2D2-44E7-B12F-83391A92C59A}"/>
    <cellStyle name="Normal 5 10 2 4" xfId="31016" xr:uid="{027A9D6F-093E-4E33-98D2-778144CD7731}"/>
    <cellStyle name="Normal 5 10 2 5" xfId="22569" xr:uid="{36159194-6725-490B-81D7-5990715C31B4}"/>
    <cellStyle name="Normal 5 10 2 6" xfId="13272" xr:uid="{988BFB83-8D1B-4B0B-9288-4FB373FBE3E3}"/>
    <cellStyle name="Normal 5 10 3" xfId="6018" xr:uid="{00000000-0005-0000-0000-0000E2160000}"/>
    <cellStyle name="Normal 5 10 3 2" xfId="41536" xr:uid="{6767F180-7284-42CF-9725-604FB77A314E}"/>
    <cellStyle name="Normal 5 10 3 3" xfId="33089" xr:uid="{1C8E42A3-AC07-44A1-8282-1B3C20E53682}"/>
    <cellStyle name="Normal 5 10 3 4" xfId="24641" xr:uid="{A811399B-13DD-425D-9980-6A26E6C1B11D}"/>
    <cellStyle name="Normal 5 10 3 5" xfId="15344" xr:uid="{948678F3-2961-453B-B8E1-93218FE12D2E}"/>
    <cellStyle name="Normal 5 10 4" xfId="37319" xr:uid="{9490E801-9E03-4BB8-A88E-B5B51FA69DC3}"/>
    <cellStyle name="Normal 5 10 5" xfId="28871" xr:uid="{8E82F94F-F6F3-4B73-B30E-089336A3D3AD}"/>
    <cellStyle name="Normal 5 10 6" xfId="20424" xr:uid="{A3A87C07-2F25-42EF-9C81-A40984C3F88D}"/>
    <cellStyle name="Normal 5 10 7" xfId="11127" xr:uid="{C8774DA0-0215-48CD-B87D-79B987210557}"/>
    <cellStyle name="Normal 5 11" xfId="2125" xr:uid="{00000000-0005-0000-0000-0000E3160000}"/>
    <cellStyle name="Normal 5 11 2" xfId="4354" xr:uid="{00000000-0005-0000-0000-0000E4160000}"/>
    <cellStyle name="Normal 5 11 2 2" xfId="8576" xr:uid="{00000000-0005-0000-0000-0000E5160000}"/>
    <cellStyle name="Normal 5 11 2 2 2" xfId="44094" xr:uid="{E59D4BAD-4C6E-4736-85E3-35E813851058}"/>
    <cellStyle name="Normal 5 11 2 2 3" xfId="35647" xr:uid="{0D36E747-D74E-4C1D-B85D-13E39E454D43}"/>
    <cellStyle name="Normal 5 11 2 2 4" xfId="27199" xr:uid="{044261D8-5AAD-4B44-B410-FC99A87FEFAB}"/>
    <cellStyle name="Normal 5 11 2 2 5" xfId="17902" xr:uid="{932F1176-FAF0-4A6B-AA0D-22FC29C43BA9}"/>
    <cellStyle name="Normal 5 11 2 3" xfId="39877" xr:uid="{F95E19F5-64B0-451E-9392-0A8F26F10B2E}"/>
    <cellStyle name="Normal 5 11 2 4" xfId="31429" xr:uid="{30C1FCB0-98B5-4F00-82EC-39587BE6C796}"/>
    <cellStyle name="Normal 5 11 2 5" xfId="22982" xr:uid="{4FF694F1-F43F-4CAA-9E32-D966DF379C75}"/>
    <cellStyle name="Normal 5 11 2 6" xfId="13685" xr:uid="{5700C024-1BB0-4453-B12F-1824A71CE646}"/>
    <cellStyle name="Normal 5 11 3" xfId="6431" xr:uid="{00000000-0005-0000-0000-0000E6160000}"/>
    <cellStyle name="Normal 5 11 3 2" xfId="41949" xr:uid="{B780B548-2E5F-488F-8B1D-BDC92B31E069}"/>
    <cellStyle name="Normal 5 11 3 3" xfId="33502" xr:uid="{F9E56529-7A6E-40A3-BFBF-FDBEDCF5E442}"/>
    <cellStyle name="Normal 5 11 3 4" xfId="25054" xr:uid="{2881BE80-0CAF-43CA-BB4B-3915C0709CAB}"/>
    <cellStyle name="Normal 5 11 3 5" xfId="15757" xr:uid="{BD35F33A-815A-4A61-AA02-25188C6469F2}"/>
    <cellStyle name="Normal 5 11 4" xfId="37732" xr:uid="{5675814F-581F-4884-BE16-A0332D497FDD}"/>
    <cellStyle name="Normal 5 11 5" xfId="29284" xr:uid="{2E335B9B-2EAA-451F-BFF4-F839BD7C88BA}"/>
    <cellStyle name="Normal 5 11 6" xfId="20837" xr:uid="{CF8ABC77-53E1-4335-B450-ACA61ED2E078}"/>
    <cellStyle name="Normal 5 11 7" xfId="11540" xr:uid="{DB7A8B07-6914-4D97-A3C0-1BBB50DE4E9D}"/>
    <cellStyle name="Normal 5 12" xfId="2561" xr:uid="{00000000-0005-0000-0000-0000E7160000}"/>
    <cellStyle name="Normal 5 12 2" xfId="6844" xr:uid="{00000000-0005-0000-0000-0000E8160000}"/>
    <cellStyle name="Normal 5 12 2 2" xfId="42362" xr:uid="{E8DA8A42-94CE-4CB7-ADD6-21F8D65D9CE6}"/>
    <cellStyle name="Normal 5 12 2 3" xfId="33915" xr:uid="{4DB4D256-9B0B-428D-A51C-FC863538CB39}"/>
    <cellStyle name="Normal 5 12 2 4" xfId="25467" xr:uid="{241AF1C1-A6B5-4969-BD04-1D642AE9C21F}"/>
    <cellStyle name="Normal 5 12 2 5" xfId="16170" xr:uid="{FB25C8DB-CF5E-4075-8385-A7C5E14EC607}"/>
    <cellStyle name="Normal 5 12 3" xfId="38145" xr:uid="{E921203A-D2B4-4369-8219-87A89094476D}"/>
    <cellStyle name="Normal 5 12 4" xfId="29697" xr:uid="{0E411F9A-B7BF-4999-A405-DA41445760C0}"/>
    <cellStyle name="Normal 5 12 5" xfId="21250" xr:uid="{EDDB8D8A-D121-43B7-A54B-2D772BE7AB44}"/>
    <cellStyle name="Normal 5 12 6" xfId="11953" xr:uid="{9BC9F877-E60E-4460-9AF2-C6E96F75DCCC}"/>
    <cellStyle name="Normal 5 13" xfId="4779" xr:uid="{00000000-0005-0000-0000-0000E9160000}"/>
    <cellStyle name="Normal 5 13 2" xfId="40297" xr:uid="{2B889949-C1BF-46D0-AC1F-B74866D24CA2}"/>
    <cellStyle name="Normal 5 13 3" xfId="31850" xr:uid="{6A09EC18-8372-4F20-A454-6C469EE149B2}"/>
    <cellStyle name="Normal 5 13 4" xfId="23402" xr:uid="{F69F9F00-C2B7-467F-A8E9-0639E467351B}"/>
    <cellStyle name="Normal 5 13 5" xfId="14105" xr:uid="{CE5CECDF-D7C0-4D21-AD1C-D0EA7D41787C}"/>
    <cellStyle name="Normal 5 14" xfId="8741" xr:uid="{6467398C-BC57-47BF-AF01-9B3356F8431F}"/>
    <cellStyle name="Normal 5 14 2" xfId="36080" xr:uid="{260F8B69-2A51-4143-86AB-CDB8AE61BB8C}"/>
    <cellStyle name="Normal 5 14 3" xfId="18064" xr:uid="{F2B0BBC3-7078-42A0-BB85-DC4E58999279}"/>
    <cellStyle name="Normal 5 15" xfId="27632" xr:uid="{8F0D3405-0F5F-48A8-AE5A-93E20E08C2B5}"/>
    <cellStyle name="Normal 5 16" xfId="19185" xr:uid="{BC62BD46-AE54-4A89-A8B3-3D1C77B592F6}"/>
    <cellStyle name="Normal 5 17" xfId="9888" xr:uid="{87B8F8E4-5D59-4B51-A7F5-C4B98638114C}"/>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44095" xr:uid="{FC554CCD-56F9-4167-8B6D-83A000E01C58}"/>
    <cellStyle name="Normal 5 2 10 2 2 3" xfId="35648" xr:uid="{252CCE1E-F0CB-42C8-B849-CC32AF7445C6}"/>
    <cellStyle name="Normal 5 2 10 2 2 4" xfId="27200" xr:uid="{ED3BE9BC-AD2B-4E0B-85DE-4C30C020F096}"/>
    <cellStyle name="Normal 5 2 10 2 2 5" xfId="17903" xr:uid="{B544A301-91C0-44D7-9DE4-B22B343D0D1F}"/>
    <cellStyle name="Normal 5 2 10 2 3" xfId="39878" xr:uid="{87B00809-1A2C-4D1A-BF48-B4664E37C6D9}"/>
    <cellStyle name="Normal 5 2 10 2 4" xfId="31430" xr:uid="{6C745CB8-6BBD-4919-A5CC-A5EC1AB26D20}"/>
    <cellStyle name="Normal 5 2 10 2 5" xfId="22983" xr:uid="{499EAB12-9F4C-42DD-AAD6-72EB5AD78F17}"/>
    <cellStyle name="Normal 5 2 10 2 6" xfId="13686" xr:uid="{6A7BDE90-E165-4FA8-A2B6-B35D0A7E9AB5}"/>
    <cellStyle name="Normal 5 2 10 3" xfId="6432" xr:uid="{00000000-0005-0000-0000-0000EE160000}"/>
    <cellStyle name="Normal 5 2 10 3 2" xfId="41950" xr:uid="{38C5D8A9-D27B-43F2-8D9B-454E907F31BD}"/>
    <cellStyle name="Normal 5 2 10 3 3" xfId="33503" xr:uid="{87BD30F2-4933-442A-BF72-1257D09B0C39}"/>
    <cellStyle name="Normal 5 2 10 3 4" xfId="25055" xr:uid="{272F1C7D-6FAF-48F8-B7FE-9259E6C8585B}"/>
    <cellStyle name="Normal 5 2 10 3 5" xfId="15758" xr:uid="{1CB33DEB-A032-4C55-A1D5-B6809C2B7882}"/>
    <cellStyle name="Normal 5 2 10 4" xfId="37733" xr:uid="{2E5DAB7A-54E5-47FC-8C0E-731F3322DA2B}"/>
    <cellStyle name="Normal 5 2 10 5" xfId="29285" xr:uid="{350A388B-52DA-4714-A756-03393F33F5C3}"/>
    <cellStyle name="Normal 5 2 10 6" xfId="20838" xr:uid="{AAE2F4BB-7BF1-47B6-9EC8-1198EB92055E}"/>
    <cellStyle name="Normal 5 2 10 7" xfId="11541" xr:uid="{7AD631E2-005B-4C58-823B-819F382D1BA8}"/>
    <cellStyle name="Normal 5 2 11" xfId="2562" xr:uid="{00000000-0005-0000-0000-0000EF160000}"/>
    <cellStyle name="Normal 5 2 11 2" xfId="6845" xr:uid="{00000000-0005-0000-0000-0000F0160000}"/>
    <cellStyle name="Normal 5 2 11 2 2" xfId="42363" xr:uid="{FB2A7724-1FE3-4466-AAE8-3E3CD30B2C00}"/>
    <cellStyle name="Normal 5 2 11 2 3" xfId="33916" xr:uid="{D1AC6C78-7A57-45C2-A896-0374538E615E}"/>
    <cellStyle name="Normal 5 2 11 2 4" xfId="25468" xr:uid="{69D01E5C-873C-4BE8-A197-4331E3CCF920}"/>
    <cellStyle name="Normal 5 2 11 2 5" xfId="16171" xr:uid="{1356FEA1-AA32-4A64-A5CB-1ACFBF970FBE}"/>
    <cellStyle name="Normal 5 2 11 3" xfId="38146" xr:uid="{28FE82FA-8FB2-4D5B-86CE-5C32AB25FAD8}"/>
    <cellStyle name="Normal 5 2 11 4" xfId="29698" xr:uid="{F07748F6-1435-420C-AE14-28AA7EF2305E}"/>
    <cellStyle name="Normal 5 2 11 5" xfId="21251" xr:uid="{86FE7D5E-D0AB-4628-A5CA-03820EADFEFA}"/>
    <cellStyle name="Normal 5 2 11 6" xfId="11954" xr:uid="{AB502D34-38CD-4D83-A7D3-AE3DBEE8FB97}"/>
    <cellStyle name="Normal 5 2 12" xfId="4780" xr:uid="{00000000-0005-0000-0000-0000F1160000}"/>
    <cellStyle name="Normal 5 2 12 2" xfId="40298" xr:uid="{B60FEFBA-AFCF-4CBB-8787-B605F2B189C0}"/>
    <cellStyle name="Normal 5 2 12 3" xfId="31851" xr:uid="{41714595-5E88-44D2-891D-E6E25D262E27}"/>
    <cellStyle name="Normal 5 2 12 4" xfId="23403" xr:uid="{83D26CD0-A277-42C7-B0FB-1F39B5BC77D4}"/>
    <cellStyle name="Normal 5 2 12 5" xfId="14106" xr:uid="{7EAEF7C0-8640-4590-8FDD-8D7748315C5C}"/>
    <cellStyle name="Normal 5 2 13" xfId="8744" xr:uid="{40D5DF2B-E9DF-4D52-AAE0-3E5A94050B59}"/>
    <cellStyle name="Normal 5 2 13 2" xfId="36081" xr:uid="{AD21C025-689D-44E8-B800-605A7214386E}"/>
    <cellStyle name="Normal 5 2 13 3" xfId="18067" xr:uid="{5206AA03-A795-42ED-8548-A4EAE2878B0E}"/>
    <cellStyle name="Normal 5 2 14" xfId="27633" xr:uid="{877818F6-915A-47D4-92D5-87BAC75E9968}"/>
    <cellStyle name="Normal 5 2 15" xfId="19186" xr:uid="{650E1E23-3795-45EB-8B38-0F1B05657150}"/>
    <cellStyle name="Normal 5 2 16" xfId="9889" xr:uid="{970335E7-E45C-4645-B22C-D5922882E028}"/>
    <cellStyle name="Normal 5 2 2" xfId="408" xr:uid="{00000000-0005-0000-0000-0000F2160000}"/>
    <cellStyle name="Normal 5 2 2 10" xfId="2563" xr:uid="{00000000-0005-0000-0000-0000F3160000}"/>
    <cellStyle name="Normal 5 2 2 10 2" xfId="6846" xr:uid="{00000000-0005-0000-0000-0000F4160000}"/>
    <cellStyle name="Normal 5 2 2 10 2 2" xfId="42364" xr:uid="{31EEFECD-BDEF-4696-AF48-3ED769259CEE}"/>
    <cellStyle name="Normal 5 2 2 10 2 3" xfId="33917" xr:uid="{428BB28F-96EF-46CC-A6C7-F02444F14A28}"/>
    <cellStyle name="Normal 5 2 2 10 2 4" xfId="25469" xr:uid="{F4D0EAC0-9DB2-4EBE-AC9A-CFC6D0D4F3F4}"/>
    <cellStyle name="Normal 5 2 2 10 2 5" xfId="16172" xr:uid="{87A22B27-FF51-47E3-A476-C7A274C7C12C}"/>
    <cellStyle name="Normal 5 2 2 10 3" xfId="38147" xr:uid="{FA359552-3E21-4669-955B-0D0BDA14063E}"/>
    <cellStyle name="Normal 5 2 2 10 4" xfId="29699" xr:uid="{CB35C2EF-8843-42C7-8D5B-0B76F6111499}"/>
    <cellStyle name="Normal 5 2 2 10 5" xfId="21252" xr:uid="{574B22AE-0745-4669-B9B3-AE6C5AA53ACA}"/>
    <cellStyle name="Normal 5 2 2 10 6" xfId="11955" xr:uid="{C5744058-E0F3-456F-BBD4-6A2B0101CF92}"/>
    <cellStyle name="Normal 5 2 2 11" xfId="4781" xr:uid="{00000000-0005-0000-0000-0000F5160000}"/>
    <cellStyle name="Normal 5 2 2 11 2" xfId="40299" xr:uid="{3B994BE9-BD11-4265-8820-271E6AE86CC4}"/>
    <cellStyle name="Normal 5 2 2 11 3" xfId="31852" xr:uid="{4D34DB9B-AC72-4A91-BC60-719E24909134}"/>
    <cellStyle name="Normal 5 2 2 11 4" xfId="23404" xr:uid="{C85C1972-A3AE-4E0C-BD79-C351249CF5F5}"/>
    <cellStyle name="Normal 5 2 2 11 5" xfId="14107" xr:uid="{C9FCC206-5918-45A5-974A-C9F9FBB25200}"/>
    <cellStyle name="Normal 5 2 2 12" xfId="8753" xr:uid="{96D04E2F-D92F-448D-9FDA-8261D8BEE094}"/>
    <cellStyle name="Normal 5 2 2 12 2" xfId="36082" xr:uid="{321007B1-5744-4C03-BC07-E730733AF35F}"/>
    <cellStyle name="Normal 5 2 2 12 3" xfId="18076" xr:uid="{69F95F7E-6727-4C54-9391-7900325C765C}"/>
    <cellStyle name="Normal 5 2 2 13" xfId="27634" xr:uid="{CA6847CA-A188-4353-A89B-F61551AAAA74}"/>
    <cellStyle name="Normal 5 2 2 14" xfId="19187" xr:uid="{A8C7EA7D-D49F-4EE1-BB73-FFD2EB580F1F}"/>
    <cellStyle name="Normal 5 2 2 15" xfId="9890" xr:uid="{A1B60623-1D59-4D95-B97C-F23A669BD013}"/>
    <cellStyle name="Normal 5 2 2 2" xfId="409" xr:uid="{00000000-0005-0000-0000-0000F6160000}"/>
    <cellStyle name="Normal 5 2 2 2 10" xfId="4782" xr:uid="{00000000-0005-0000-0000-0000F7160000}"/>
    <cellStyle name="Normal 5 2 2 2 10 2" xfId="40300" xr:uid="{6C406BE0-9C57-498A-B394-12D51786B436}"/>
    <cellStyle name="Normal 5 2 2 2 10 3" xfId="31853" xr:uid="{D6768683-E613-4F28-8EFB-3B555B51D0F4}"/>
    <cellStyle name="Normal 5 2 2 2 10 4" xfId="23405" xr:uid="{153DD2DE-1684-470D-9E65-3AEA94009AD2}"/>
    <cellStyle name="Normal 5 2 2 2 10 5" xfId="14108" xr:uid="{B6F0BF8D-1C93-4DE1-9D3F-BE004358C66D}"/>
    <cellStyle name="Normal 5 2 2 2 11" xfId="8771" xr:uid="{0E58ED1C-12F1-4692-801F-170CA6F7CBDB}"/>
    <cellStyle name="Normal 5 2 2 2 11 2" xfId="36083" xr:uid="{9D31879E-A9CA-48F8-B519-DFEE274B9FF5}"/>
    <cellStyle name="Normal 5 2 2 2 11 3" xfId="18094" xr:uid="{29B30108-FF2B-4211-A7DD-93F99AAB310B}"/>
    <cellStyle name="Normal 5 2 2 2 12" xfId="27635" xr:uid="{D3788F0D-6EDD-468F-9527-1368776549A3}"/>
    <cellStyle name="Normal 5 2 2 2 13" xfId="19188" xr:uid="{69FF9CCC-82B1-46D8-9FB0-4BE4B1280FD3}"/>
    <cellStyle name="Normal 5 2 2 2 14" xfId="9891" xr:uid="{C1BDE1AD-94C1-4C7F-81AF-B7189802442F}"/>
    <cellStyle name="Normal 5 2 2 2 2" xfId="410" xr:uid="{00000000-0005-0000-0000-0000F8160000}"/>
    <cellStyle name="Normal 5 2 2 2 2 10" xfId="8829" xr:uid="{AC161972-21E9-4E03-8D2E-9F95632CB08D}"/>
    <cellStyle name="Normal 5 2 2 2 2 10 2" xfId="36084" xr:uid="{77F64681-DB73-4E8F-ABC5-7A0371C25105}"/>
    <cellStyle name="Normal 5 2 2 2 2 10 3" xfId="18152" xr:uid="{87AC9EE5-D3C2-4F4B-B5D5-291ADB2A6502}"/>
    <cellStyle name="Normal 5 2 2 2 2 11" xfId="27636" xr:uid="{C3DFA805-533A-41B9-ABEA-C7AE854CFB71}"/>
    <cellStyle name="Normal 5 2 2 2 2 12" xfId="19189" xr:uid="{12F199C9-DF0F-42D8-8218-432BF98A4CCD}"/>
    <cellStyle name="Normal 5 2 2 2 2 13" xfId="9892" xr:uid="{B2242E31-3924-4A66-8680-40DF046A12F9}"/>
    <cellStyle name="Normal 5 2 2 2 2 2" xfId="411" xr:uid="{00000000-0005-0000-0000-0000F9160000}"/>
    <cellStyle name="Normal 5 2 2 2 2 2 10" xfId="27637" xr:uid="{3A6AE602-04C4-462D-88A0-856132DBDDA8}"/>
    <cellStyle name="Normal 5 2 2 2 2 2 11" xfId="19190" xr:uid="{5D372F0F-12A2-4F86-9EAA-F33B23399AE5}"/>
    <cellStyle name="Normal 5 2 2 2 2 2 12" xfId="9893" xr:uid="{900C9035-9002-4B15-A43B-C7D90FD6BAA3}"/>
    <cellStyle name="Normal 5 2 2 2 2 2 2" xfId="412" xr:uid="{00000000-0005-0000-0000-0000FA160000}"/>
    <cellStyle name="Normal 5 2 2 2 2 2 2 10" xfId="19191" xr:uid="{CDDDF352-767D-42ED-B6CA-67FB7A0B302F}"/>
    <cellStyle name="Normal 5 2 2 2 2 2 2 11" xfId="9894" xr:uid="{3135240D-D25A-480D-A5CD-4DB975EDEB65}"/>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42861" xr:uid="{95EEF119-4971-4D4F-B888-72EB47DEA34C}"/>
    <cellStyle name="Normal 5 2 2 2 2 2 2 2 2 2 3" xfId="34414" xr:uid="{CA7DE65E-F562-421C-8E2E-D9DE9FA77823}"/>
    <cellStyle name="Normal 5 2 2 2 2 2 2 2 2 2 4" xfId="25966" xr:uid="{2A526B3B-D8C5-4D33-8F5B-32CD0B717009}"/>
    <cellStyle name="Normal 5 2 2 2 2 2 2 2 2 2 5" xfId="16669" xr:uid="{3501FDB1-3DA4-4748-9A84-E6AE60A129A2}"/>
    <cellStyle name="Normal 5 2 2 2 2 2 2 2 2 3" xfId="38644" xr:uid="{96453E8A-8143-47F3-B132-9E0DB06D14A1}"/>
    <cellStyle name="Normal 5 2 2 2 2 2 2 2 2 4" xfId="30196" xr:uid="{FC147731-8B1E-427B-8536-194D679ABB32}"/>
    <cellStyle name="Normal 5 2 2 2 2 2 2 2 2 5" xfId="21749" xr:uid="{B753DCAE-253F-4C2E-9721-0351D07139FA}"/>
    <cellStyle name="Normal 5 2 2 2 2 2 2 2 2 6" xfId="12452" xr:uid="{C805B717-6615-42AC-A232-3FA52BD20727}"/>
    <cellStyle name="Normal 5 2 2 2 2 2 2 2 3" xfId="5198" xr:uid="{00000000-0005-0000-0000-0000FE160000}"/>
    <cellStyle name="Normal 5 2 2 2 2 2 2 2 3 2" xfId="40716" xr:uid="{120F13C7-0B62-4E33-92E9-AF34B8BFA02E}"/>
    <cellStyle name="Normal 5 2 2 2 2 2 2 2 3 3" xfId="32269" xr:uid="{2A2D59A9-8E79-4CDF-998D-3219153D9BBB}"/>
    <cellStyle name="Normal 5 2 2 2 2 2 2 2 3 4" xfId="23821" xr:uid="{C6C10A38-AF49-4AD9-8625-5663E5D27057}"/>
    <cellStyle name="Normal 5 2 2 2 2 2 2 2 3 5" xfId="14524" xr:uid="{EBC586AA-0213-46EF-91CA-BF02C3A502B8}"/>
    <cellStyle name="Normal 5 2 2 2 2 2 2 2 4" xfId="9564" xr:uid="{15884BE4-44C0-46E7-A184-FC102AAADEB4}"/>
    <cellStyle name="Normal 5 2 2 2 2 2 2 2 4 2" xfId="36499" xr:uid="{405B5FB9-F4C3-4861-9D0F-7BE9C9A50043}"/>
    <cellStyle name="Normal 5 2 2 2 2 2 2 2 4 3" xfId="18877" xr:uid="{63D77B6B-1C3E-4EE4-8CE8-571A57EA113E}"/>
    <cellStyle name="Normal 5 2 2 2 2 2 2 2 5" xfId="28051" xr:uid="{05D416F7-B13B-468B-9B79-55E3A40239CC}"/>
    <cellStyle name="Normal 5 2 2 2 2 2 2 2 6" xfId="19604" xr:uid="{1E6778FA-03C5-400B-8A33-253A2DDEC2C4}"/>
    <cellStyle name="Normal 5 2 2 2 2 2 2 2 7" xfId="10307" xr:uid="{2C841CA7-3AAA-48C5-B251-34555A8C5D2E}"/>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43274" xr:uid="{47F7D3AA-B2CE-4809-BEE9-8A802F4CD3F4}"/>
    <cellStyle name="Normal 5 2 2 2 2 2 2 3 2 2 3" xfId="34827" xr:uid="{88830444-DD21-4463-9928-87E63C64D3C9}"/>
    <cellStyle name="Normal 5 2 2 2 2 2 2 3 2 2 4" xfId="26379" xr:uid="{5A0B6BE7-364C-44BD-B14A-A6F40AE2E2B7}"/>
    <cellStyle name="Normal 5 2 2 2 2 2 2 3 2 2 5" xfId="17082" xr:uid="{0E2393D8-7CE8-46AC-966E-03D9E6EF6D66}"/>
    <cellStyle name="Normal 5 2 2 2 2 2 2 3 2 3" xfId="39057" xr:uid="{D29FC127-0206-496C-A1A1-97FD9168F780}"/>
    <cellStyle name="Normal 5 2 2 2 2 2 2 3 2 4" xfId="30609" xr:uid="{023C0337-CE90-4073-B49B-BA3DC96AAB69}"/>
    <cellStyle name="Normal 5 2 2 2 2 2 2 3 2 5" xfId="22162" xr:uid="{3D9A8B93-6136-4429-8E7E-346C63BFBEAC}"/>
    <cellStyle name="Normal 5 2 2 2 2 2 2 3 2 6" xfId="12865" xr:uid="{33FF1B2A-E1F3-4BD1-A86F-D7F0E6C04965}"/>
    <cellStyle name="Normal 5 2 2 2 2 2 2 3 3" xfId="5611" xr:uid="{00000000-0005-0000-0000-000002170000}"/>
    <cellStyle name="Normal 5 2 2 2 2 2 2 3 3 2" xfId="41129" xr:uid="{40D18009-A5C3-4293-8FD5-9733882C6029}"/>
    <cellStyle name="Normal 5 2 2 2 2 2 2 3 3 3" xfId="32682" xr:uid="{1ED62EFD-988A-4274-8F07-CD158044EFFA}"/>
    <cellStyle name="Normal 5 2 2 2 2 2 2 3 3 4" xfId="24234" xr:uid="{7D87839B-F3B1-4B20-8D63-DEC192954CB1}"/>
    <cellStyle name="Normal 5 2 2 2 2 2 2 3 3 5" xfId="14937" xr:uid="{7F47127C-A278-46CF-A887-CE4C578E3F67}"/>
    <cellStyle name="Normal 5 2 2 2 2 2 2 3 4" xfId="36912" xr:uid="{99DD8AC0-6533-40CF-9DFD-88B6AFCEDDAB}"/>
    <cellStyle name="Normal 5 2 2 2 2 2 2 3 5" xfId="28464" xr:uid="{0D2C4412-6C5C-4DD9-AB34-D53FCF6CDE25}"/>
    <cellStyle name="Normal 5 2 2 2 2 2 2 3 6" xfId="20017" xr:uid="{7A3448D1-C990-4296-B37D-6A3DEBE9E7AB}"/>
    <cellStyle name="Normal 5 2 2 2 2 2 2 3 7" xfId="10720" xr:uid="{DBACDBD2-27C6-4337-9CBE-F22AAD0A0FCD}"/>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43687" xr:uid="{4442967B-3AE9-464B-BB65-D24CB1501311}"/>
    <cellStyle name="Normal 5 2 2 2 2 2 2 4 2 2 3" xfId="35240" xr:uid="{11BDD0E6-C11E-4D11-A8E8-BA4E1A5C8D0D}"/>
    <cellStyle name="Normal 5 2 2 2 2 2 2 4 2 2 4" xfId="26792" xr:uid="{BC477D44-1742-4CAA-874F-004C8745913B}"/>
    <cellStyle name="Normal 5 2 2 2 2 2 2 4 2 2 5" xfId="17495" xr:uid="{9F2A87D7-8A72-486B-B327-B901A037A604}"/>
    <cellStyle name="Normal 5 2 2 2 2 2 2 4 2 3" xfId="39470" xr:uid="{BB8C9F1A-47C5-47F5-BEE9-F7C492E62477}"/>
    <cellStyle name="Normal 5 2 2 2 2 2 2 4 2 4" xfId="31022" xr:uid="{338AC3D5-8E71-425F-A4BA-86CED8E444A2}"/>
    <cellStyle name="Normal 5 2 2 2 2 2 2 4 2 5" xfId="22575" xr:uid="{9C97658A-DC57-4A01-A0F5-3E403A7FAF1B}"/>
    <cellStyle name="Normal 5 2 2 2 2 2 2 4 2 6" xfId="13278" xr:uid="{17CC70CE-ACF5-4870-9AB1-644C91ACAFB1}"/>
    <cellStyle name="Normal 5 2 2 2 2 2 2 4 3" xfId="6024" xr:uid="{00000000-0005-0000-0000-000006170000}"/>
    <cellStyle name="Normal 5 2 2 2 2 2 2 4 3 2" xfId="41542" xr:uid="{B3C1FBDE-785D-405D-9165-DA2A45A660C0}"/>
    <cellStyle name="Normal 5 2 2 2 2 2 2 4 3 3" xfId="33095" xr:uid="{B2E0F640-F0D3-43C4-885F-5CA606B2D700}"/>
    <cellStyle name="Normal 5 2 2 2 2 2 2 4 3 4" xfId="24647" xr:uid="{1453899E-D2C5-4BEF-9131-F2E7BABDDDB6}"/>
    <cellStyle name="Normal 5 2 2 2 2 2 2 4 3 5" xfId="15350" xr:uid="{E936DB1D-0451-4B16-9BE2-40FB2E8D1212}"/>
    <cellStyle name="Normal 5 2 2 2 2 2 2 4 4" xfId="37325" xr:uid="{8D62DEEE-1340-4A06-B13A-289A271408A2}"/>
    <cellStyle name="Normal 5 2 2 2 2 2 2 4 5" xfId="28877" xr:uid="{7E1F8ACC-0211-4693-A500-A352FD7C68D4}"/>
    <cellStyle name="Normal 5 2 2 2 2 2 2 4 6" xfId="20430" xr:uid="{66C3786D-0276-4D6A-AB77-DD9B3EBF9137}"/>
    <cellStyle name="Normal 5 2 2 2 2 2 2 4 7" xfId="11133" xr:uid="{34BED8BF-1F71-4A1D-8C28-AAB96A2981A2}"/>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44100" xr:uid="{E20ED2F5-04A5-4FD4-B2BA-3EF8DE27E589}"/>
    <cellStyle name="Normal 5 2 2 2 2 2 2 5 2 2 3" xfId="35653" xr:uid="{61BDB12D-D89D-42B7-B875-A9516EE28BBC}"/>
    <cellStyle name="Normal 5 2 2 2 2 2 2 5 2 2 4" xfId="27205" xr:uid="{F6E42DD9-5161-42C0-ACBD-A097FA67224D}"/>
    <cellStyle name="Normal 5 2 2 2 2 2 2 5 2 2 5" xfId="17908" xr:uid="{CA4F8856-1EA6-4CD8-A732-C507836A5206}"/>
    <cellStyle name="Normal 5 2 2 2 2 2 2 5 2 3" xfId="39883" xr:uid="{C7F6EDF6-5191-4468-AA1F-54EB5CDEE387}"/>
    <cellStyle name="Normal 5 2 2 2 2 2 2 5 2 4" xfId="31435" xr:uid="{C1A5984D-8FD4-4684-BE89-6C1F542E3239}"/>
    <cellStyle name="Normal 5 2 2 2 2 2 2 5 2 5" xfId="22988" xr:uid="{7863F255-121A-45C3-B9F4-8EB14DE8102C}"/>
    <cellStyle name="Normal 5 2 2 2 2 2 2 5 2 6" xfId="13691" xr:uid="{4187137A-B3D8-4A8E-A988-D706AB42F697}"/>
    <cellStyle name="Normal 5 2 2 2 2 2 2 5 3" xfId="6437" xr:uid="{00000000-0005-0000-0000-00000A170000}"/>
    <cellStyle name="Normal 5 2 2 2 2 2 2 5 3 2" xfId="41955" xr:uid="{2F8DD286-9072-4A2D-9BDB-B9CE77B668C5}"/>
    <cellStyle name="Normal 5 2 2 2 2 2 2 5 3 3" xfId="33508" xr:uid="{0AC92F0B-8081-43DB-8F59-805F3FA1CD7F}"/>
    <cellStyle name="Normal 5 2 2 2 2 2 2 5 3 4" xfId="25060" xr:uid="{7BE5F829-C675-4729-8F9A-296632BC1B8B}"/>
    <cellStyle name="Normal 5 2 2 2 2 2 2 5 3 5" xfId="15763" xr:uid="{B281CD6D-A965-45DD-9CC8-E9240A9C8D1E}"/>
    <cellStyle name="Normal 5 2 2 2 2 2 2 5 4" xfId="37738" xr:uid="{DF388C77-65D6-4BE1-8E40-A1DF00E0D0C8}"/>
    <cellStyle name="Normal 5 2 2 2 2 2 2 5 5" xfId="29290" xr:uid="{59ADB060-B32A-4B78-B085-198806D85A60}"/>
    <cellStyle name="Normal 5 2 2 2 2 2 2 5 6" xfId="20843" xr:uid="{3BC684DD-5B1A-40EA-8BA0-A6D1971D5D3E}"/>
    <cellStyle name="Normal 5 2 2 2 2 2 2 5 7" xfId="11546" xr:uid="{46264047-AACF-4230-8DE3-DC3D43326FCC}"/>
    <cellStyle name="Normal 5 2 2 2 2 2 2 6" xfId="2567" xr:uid="{00000000-0005-0000-0000-00000B170000}"/>
    <cellStyle name="Normal 5 2 2 2 2 2 2 6 2" xfId="6850" xr:uid="{00000000-0005-0000-0000-00000C170000}"/>
    <cellStyle name="Normal 5 2 2 2 2 2 2 6 2 2" xfId="42368" xr:uid="{09469174-ACD5-4085-828E-04E1C5C64C80}"/>
    <cellStyle name="Normal 5 2 2 2 2 2 2 6 2 3" xfId="33921" xr:uid="{6AA711C6-A750-43BC-8062-4DD098534AA3}"/>
    <cellStyle name="Normal 5 2 2 2 2 2 2 6 2 4" xfId="25473" xr:uid="{AFE19228-3EE6-40ED-92C7-F9455DCBE171}"/>
    <cellStyle name="Normal 5 2 2 2 2 2 2 6 2 5" xfId="16176" xr:uid="{EF20B4A3-BDA8-4071-BC08-71A0BAC3EE78}"/>
    <cellStyle name="Normal 5 2 2 2 2 2 2 6 3" xfId="38151" xr:uid="{66B77271-2C92-49F7-ACF1-6EB0D138C8C0}"/>
    <cellStyle name="Normal 5 2 2 2 2 2 2 6 4" xfId="29703" xr:uid="{78492713-7651-410F-889F-E1F1399C0C4B}"/>
    <cellStyle name="Normal 5 2 2 2 2 2 2 6 5" xfId="21256" xr:uid="{AB0BE7A4-03D2-4AF3-91C8-A2ACCF693E8A}"/>
    <cellStyle name="Normal 5 2 2 2 2 2 2 6 6" xfId="11959" xr:uid="{892BDE42-EC1C-458B-9471-BB7247CCCB8B}"/>
    <cellStyle name="Normal 5 2 2 2 2 2 2 7" xfId="4785" xr:uid="{00000000-0005-0000-0000-00000D170000}"/>
    <cellStyle name="Normal 5 2 2 2 2 2 2 7 2" xfId="40303" xr:uid="{9EE4710D-C040-487C-80B1-471E0845C72C}"/>
    <cellStyle name="Normal 5 2 2 2 2 2 2 7 3" xfId="31856" xr:uid="{F343D34A-51FA-430A-AD99-62A236E57CA3}"/>
    <cellStyle name="Normal 5 2 2 2 2 2 2 7 4" xfId="23408" xr:uid="{16232418-15DB-46C8-AF62-6074FBBD89E2}"/>
    <cellStyle name="Normal 5 2 2 2 2 2 2 7 5" xfId="14111" xr:uid="{1C347094-F5DB-445D-A8EE-F5FDE80CDCFC}"/>
    <cellStyle name="Normal 5 2 2 2 2 2 2 8" xfId="9139" xr:uid="{CFCC7179-F81D-4929-81F2-C6E64655A093}"/>
    <cellStyle name="Normal 5 2 2 2 2 2 2 8 2" xfId="36086" xr:uid="{71E0202F-91D0-4294-B130-4A9A44C08516}"/>
    <cellStyle name="Normal 5 2 2 2 2 2 2 8 3" xfId="18462" xr:uid="{A88A8F06-65E6-4BD3-A14E-2F0B6D6CD836}"/>
    <cellStyle name="Normal 5 2 2 2 2 2 2 9" xfId="27638" xr:uid="{E3E4EAFB-2EB0-4267-BD80-3744F7E995B8}"/>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42860" xr:uid="{888432F0-2583-4E2C-8F30-B99739AC04A4}"/>
    <cellStyle name="Normal 5 2 2 2 2 2 3 2 2 3" xfId="34413" xr:uid="{F1C762D2-8BE7-44B9-9F99-97BAF7DF0276}"/>
    <cellStyle name="Normal 5 2 2 2 2 2 3 2 2 4" xfId="25965" xr:uid="{3E9DDA39-E0AA-4120-9752-493C21EB16E5}"/>
    <cellStyle name="Normal 5 2 2 2 2 2 3 2 2 5" xfId="16668" xr:uid="{034F332A-0CE3-4A73-A70D-A167FF751252}"/>
    <cellStyle name="Normal 5 2 2 2 2 2 3 2 3" xfId="38643" xr:uid="{2EDC74A0-4776-4E72-8774-2A36139F0EDF}"/>
    <cellStyle name="Normal 5 2 2 2 2 2 3 2 4" xfId="30195" xr:uid="{8C749B3F-D301-4545-8D64-7752189A3955}"/>
    <cellStyle name="Normal 5 2 2 2 2 2 3 2 5" xfId="21748" xr:uid="{182CF81A-5976-4996-9B31-2E9CDBCA7719}"/>
    <cellStyle name="Normal 5 2 2 2 2 2 3 2 6" xfId="12451" xr:uid="{51A2C6F7-16D8-472A-83C3-E6502B131C89}"/>
    <cellStyle name="Normal 5 2 2 2 2 2 3 3" xfId="5197" xr:uid="{00000000-0005-0000-0000-000011170000}"/>
    <cellStyle name="Normal 5 2 2 2 2 2 3 3 2" xfId="40715" xr:uid="{7FFF1F3A-B533-45C3-99F1-3BB31D417C59}"/>
    <cellStyle name="Normal 5 2 2 2 2 2 3 3 3" xfId="32268" xr:uid="{5EFEE9DE-A778-4E3B-A695-7CD8E6E3DC81}"/>
    <cellStyle name="Normal 5 2 2 2 2 2 3 3 4" xfId="23820" xr:uid="{463225F0-74C8-4212-A53D-38CD05E892DC}"/>
    <cellStyle name="Normal 5 2 2 2 2 2 3 3 5" xfId="14523" xr:uid="{847EA959-8E23-494E-B9A3-F912564150DD}"/>
    <cellStyle name="Normal 5 2 2 2 2 2 3 4" xfId="9357" xr:uid="{1809EB60-9E69-4954-99A5-643CD830C5FB}"/>
    <cellStyle name="Normal 5 2 2 2 2 2 3 4 2" xfId="36498" xr:uid="{E2A48622-0593-4C4E-AECF-33414130FBBF}"/>
    <cellStyle name="Normal 5 2 2 2 2 2 3 4 3" xfId="18670" xr:uid="{E7279B6D-AA46-4E5B-9C35-358CC64F17CF}"/>
    <cellStyle name="Normal 5 2 2 2 2 2 3 5" xfId="28050" xr:uid="{D60E40C8-CB59-42CB-9DD1-C74A9E797C72}"/>
    <cellStyle name="Normal 5 2 2 2 2 2 3 6" xfId="19603" xr:uid="{EBB53B5F-3AA5-46B2-A8AB-E307B10B8090}"/>
    <cellStyle name="Normal 5 2 2 2 2 2 3 7" xfId="10306" xr:uid="{5CCAB87D-2A73-40CF-970D-420FF54EC934}"/>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43273" xr:uid="{286593B3-079F-4501-B0A8-A39353FCE598}"/>
    <cellStyle name="Normal 5 2 2 2 2 2 4 2 2 3" xfId="34826" xr:uid="{E3A10179-FBAE-4452-93F4-1FFFB901826C}"/>
    <cellStyle name="Normal 5 2 2 2 2 2 4 2 2 4" xfId="26378" xr:uid="{C2D849F9-B326-44F3-BAF6-F711681A8668}"/>
    <cellStyle name="Normal 5 2 2 2 2 2 4 2 2 5" xfId="17081" xr:uid="{98C7DAFA-C172-4FF1-8C8D-87BA5EF97083}"/>
    <cellStyle name="Normal 5 2 2 2 2 2 4 2 3" xfId="39056" xr:uid="{4F7EA2DF-C5D9-4EFC-8F09-FDEAAEFB244D}"/>
    <cellStyle name="Normal 5 2 2 2 2 2 4 2 4" xfId="30608" xr:uid="{A929FBF9-FA43-4ED9-8F40-3A16DAA9DDB3}"/>
    <cellStyle name="Normal 5 2 2 2 2 2 4 2 5" xfId="22161" xr:uid="{C78B72BF-8F02-48F6-926C-9050722FC38C}"/>
    <cellStyle name="Normal 5 2 2 2 2 2 4 2 6" xfId="12864" xr:uid="{DC4345D4-0D20-41BC-B13C-A7B13246C851}"/>
    <cellStyle name="Normal 5 2 2 2 2 2 4 3" xfId="5610" xr:uid="{00000000-0005-0000-0000-000015170000}"/>
    <cellStyle name="Normal 5 2 2 2 2 2 4 3 2" xfId="41128" xr:uid="{E8D91FFC-B56C-4F9E-B2BB-4571F2DD81D8}"/>
    <cellStyle name="Normal 5 2 2 2 2 2 4 3 3" xfId="32681" xr:uid="{9FAE9735-DF00-422E-93E3-5423569615A7}"/>
    <cellStyle name="Normal 5 2 2 2 2 2 4 3 4" xfId="24233" xr:uid="{B5D0E006-B961-4CCA-87B2-8C9005515D70}"/>
    <cellStyle name="Normal 5 2 2 2 2 2 4 3 5" xfId="14936" xr:uid="{63FB800F-A4F5-44E8-950D-F10A04D4155B}"/>
    <cellStyle name="Normal 5 2 2 2 2 2 4 4" xfId="36911" xr:uid="{CF39198A-F77B-46B4-A9EF-80ED176A7D70}"/>
    <cellStyle name="Normal 5 2 2 2 2 2 4 5" xfId="28463" xr:uid="{56A02163-C591-4B95-91E5-D7F7152C78CF}"/>
    <cellStyle name="Normal 5 2 2 2 2 2 4 6" xfId="20016" xr:uid="{4E892257-E433-4138-B6BF-A074BC20F33F}"/>
    <cellStyle name="Normal 5 2 2 2 2 2 4 7" xfId="10719" xr:uid="{0C61328C-3474-4DF6-96A5-50462C12604F}"/>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43686" xr:uid="{4833CF69-C995-453A-B905-0DBD357BF100}"/>
    <cellStyle name="Normal 5 2 2 2 2 2 5 2 2 3" xfId="35239" xr:uid="{0BE682DC-7A1A-4FC0-A70D-D39AC062CB06}"/>
    <cellStyle name="Normal 5 2 2 2 2 2 5 2 2 4" xfId="26791" xr:uid="{9E8ABDDA-58BB-4D31-994E-4DB7652988F1}"/>
    <cellStyle name="Normal 5 2 2 2 2 2 5 2 2 5" xfId="17494" xr:uid="{E730C907-7252-4DB2-A9CF-B212ED99B63C}"/>
    <cellStyle name="Normal 5 2 2 2 2 2 5 2 3" xfId="39469" xr:uid="{DCF5B1B3-B834-4F30-8294-2C654A5D3390}"/>
    <cellStyle name="Normal 5 2 2 2 2 2 5 2 4" xfId="31021" xr:uid="{3506E231-DD75-49FF-8CBB-FAB3DA528B71}"/>
    <cellStyle name="Normal 5 2 2 2 2 2 5 2 5" xfId="22574" xr:uid="{CB670F15-C073-4561-B799-67DB38219F92}"/>
    <cellStyle name="Normal 5 2 2 2 2 2 5 2 6" xfId="13277" xr:uid="{A9463660-334F-4E2E-B0F8-5D8AADCCB7AE}"/>
    <cellStyle name="Normal 5 2 2 2 2 2 5 3" xfId="6023" xr:uid="{00000000-0005-0000-0000-000019170000}"/>
    <cellStyle name="Normal 5 2 2 2 2 2 5 3 2" xfId="41541" xr:uid="{8F143A09-41C7-424F-8E95-6CD46944CF20}"/>
    <cellStyle name="Normal 5 2 2 2 2 2 5 3 3" xfId="33094" xr:uid="{79286160-46EB-4481-9391-025100CC3191}"/>
    <cellStyle name="Normal 5 2 2 2 2 2 5 3 4" xfId="24646" xr:uid="{169437E5-A745-41F4-98E1-AEFB41D6093F}"/>
    <cellStyle name="Normal 5 2 2 2 2 2 5 3 5" xfId="15349" xr:uid="{DB20FBF1-BA57-47DC-BDE2-1F2610177681}"/>
    <cellStyle name="Normal 5 2 2 2 2 2 5 4" xfId="37324" xr:uid="{A3C66F23-FB60-47E0-8EB4-4B0871172587}"/>
    <cellStyle name="Normal 5 2 2 2 2 2 5 5" xfId="28876" xr:uid="{2714B8E8-11F4-4CFB-9DD1-2B42CA4CE9D6}"/>
    <cellStyle name="Normal 5 2 2 2 2 2 5 6" xfId="20429" xr:uid="{1F993513-108D-4506-8686-12CBA8E3FA6A}"/>
    <cellStyle name="Normal 5 2 2 2 2 2 5 7" xfId="11132" xr:uid="{7F56FF66-6BB5-4872-B29C-1825F52B5FD2}"/>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44099" xr:uid="{1DEBE4C0-037E-4D13-A486-78B20CB428B8}"/>
    <cellStyle name="Normal 5 2 2 2 2 2 6 2 2 3" xfId="35652" xr:uid="{99E9AF0B-5327-4E73-A24F-38B7EEB5A000}"/>
    <cellStyle name="Normal 5 2 2 2 2 2 6 2 2 4" xfId="27204" xr:uid="{15F2014C-B78F-42FC-9F05-6A709C51CA60}"/>
    <cellStyle name="Normal 5 2 2 2 2 2 6 2 2 5" xfId="17907" xr:uid="{E1614C8A-513D-48A0-A6EE-541046E2D60E}"/>
    <cellStyle name="Normal 5 2 2 2 2 2 6 2 3" xfId="39882" xr:uid="{8E1954B0-70FD-46EA-BD28-0DDC6D498E4A}"/>
    <cellStyle name="Normal 5 2 2 2 2 2 6 2 4" xfId="31434" xr:uid="{B23C3365-D937-4B2F-8E2C-7ADA70DC8B81}"/>
    <cellStyle name="Normal 5 2 2 2 2 2 6 2 5" xfId="22987" xr:uid="{F515305E-1F5E-4781-83E7-0A9853F4AE48}"/>
    <cellStyle name="Normal 5 2 2 2 2 2 6 2 6" xfId="13690" xr:uid="{1B67630E-FB12-4A1D-81FD-6F5D0D637ABD}"/>
    <cellStyle name="Normal 5 2 2 2 2 2 6 3" xfId="6436" xr:uid="{00000000-0005-0000-0000-00001D170000}"/>
    <cellStyle name="Normal 5 2 2 2 2 2 6 3 2" xfId="41954" xr:uid="{90B2EEAC-66E8-4537-BC77-3AA7E6E614E9}"/>
    <cellStyle name="Normal 5 2 2 2 2 2 6 3 3" xfId="33507" xr:uid="{56717A1D-2D96-4636-84D3-C29DB75CBE70}"/>
    <cellStyle name="Normal 5 2 2 2 2 2 6 3 4" xfId="25059" xr:uid="{87FFDAD5-E489-4B14-9049-756FFC59C007}"/>
    <cellStyle name="Normal 5 2 2 2 2 2 6 3 5" xfId="15762" xr:uid="{9D41C7EE-A7BC-4654-9259-138DB490456C}"/>
    <cellStyle name="Normal 5 2 2 2 2 2 6 4" xfId="37737" xr:uid="{82AAE0EC-3D3E-4E6A-B289-BF76691FDDFB}"/>
    <cellStyle name="Normal 5 2 2 2 2 2 6 5" xfId="29289" xr:uid="{DA3DF5EE-2C08-4F08-BE2E-3137EED58B30}"/>
    <cellStyle name="Normal 5 2 2 2 2 2 6 6" xfId="20842" xr:uid="{8558B6BB-DFB1-4FE2-81F9-6C200D76CE87}"/>
    <cellStyle name="Normal 5 2 2 2 2 2 6 7" xfId="11545" xr:uid="{2727E14A-1E1D-4042-9407-83AD9555592D}"/>
    <cellStyle name="Normal 5 2 2 2 2 2 7" xfId="2566" xr:uid="{00000000-0005-0000-0000-00001E170000}"/>
    <cellStyle name="Normal 5 2 2 2 2 2 7 2" xfId="6849" xr:uid="{00000000-0005-0000-0000-00001F170000}"/>
    <cellStyle name="Normal 5 2 2 2 2 2 7 2 2" xfId="42367" xr:uid="{DFF413C9-4C98-47A6-AB6E-4758A938CE7B}"/>
    <cellStyle name="Normal 5 2 2 2 2 2 7 2 3" xfId="33920" xr:uid="{E8B0B8C4-BD2E-4278-BDDF-A287AA589E62}"/>
    <cellStyle name="Normal 5 2 2 2 2 2 7 2 4" xfId="25472" xr:uid="{D2B418D1-A3D1-4693-A3C3-26112568C319}"/>
    <cellStyle name="Normal 5 2 2 2 2 2 7 2 5" xfId="16175" xr:uid="{FD1E5F62-6269-4A73-865C-480D5907D8AE}"/>
    <cellStyle name="Normal 5 2 2 2 2 2 7 3" xfId="38150" xr:uid="{3AF8F102-1220-4CDE-8922-790D4783566C}"/>
    <cellStyle name="Normal 5 2 2 2 2 2 7 4" xfId="29702" xr:uid="{14734AF4-BED8-4AF4-A0CE-F780A6F18D52}"/>
    <cellStyle name="Normal 5 2 2 2 2 2 7 5" xfId="21255" xr:uid="{194815D4-2FEB-49BD-A3D3-5AF93C38B248}"/>
    <cellStyle name="Normal 5 2 2 2 2 2 7 6" xfId="11958" xr:uid="{F1DA7CF0-093F-4EB4-92CD-E46C0E97492E}"/>
    <cellStyle name="Normal 5 2 2 2 2 2 8" xfId="4784" xr:uid="{00000000-0005-0000-0000-000020170000}"/>
    <cellStyle name="Normal 5 2 2 2 2 2 8 2" xfId="40302" xr:uid="{AA0E426E-F2B6-49EE-9A3E-B24F17CFD211}"/>
    <cellStyle name="Normal 5 2 2 2 2 2 8 3" xfId="31855" xr:uid="{6F8D57B3-A871-4ADC-AB0D-FAF87F93B41B}"/>
    <cellStyle name="Normal 5 2 2 2 2 2 8 4" xfId="23407" xr:uid="{63D937E9-0CF5-4EED-8956-4A39E7E59B08}"/>
    <cellStyle name="Normal 5 2 2 2 2 2 8 5" xfId="14110" xr:uid="{0589D6BF-BE22-4E31-8DEA-BFEE9F7DFFD0}"/>
    <cellStyle name="Normal 5 2 2 2 2 2 9" xfId="8932" xr:uid="{8A89D9DD-5FCE-4028-8D52-F4758EFA866E}"/>
    <cellStyle name="Normal 5 2 2 2 2 2 9 2" xfId="36085" xr:uid="{A74CF56B-3C42-429E-8CC8-F97C5E0F20F6}"/>
    <cellStyle name="Normal 5 2 2 2 2 2 9 3" xfId="18255" xr:uid="{E71103B6-AEA2-442B-9A99-10778C1B9FDF}"/>
    <cellStyle name="Normal 5 2 2 2 2 3" xfId="413" xr:uid="{00000000-0005-0000-0000-000021170000}"/>
    <cellStyle name="Normal 5 2 2 2 2 3 10" xfId="19192" xr:uid="{470E6AE0-E11D-49C8-9A09-9E1BDDF9BF14}"/>
    <cellStyle name="Normal 5 2 2 2 2 3 11" xfId="9895" xr:uid="{35900FAB-0341-4327-A0F2-0788143B4BC8}"/>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42862" xr:uid="{0D66C04C-84C6-4414-B184-5FC691041924}"/>
    <cellStyle name="Normal 5 2 2 2 2 3 2 2 2 3" xfId="34415" xr:uid="{41E7F11A-DFA8-4AD9-8DC6-713801A3CD75}"/>
    <cellStyle name="Normal 5 2 2 2 2 3 2 2 2 4" xfId="25967" xr:uid="{B104C710-BC83-44CF-9C96-9BC0D8857E0F}"/>
    <cellStyle name="Normal 5 2 2 2 2 3 2 2 2 5" xfId="16670" xr:uid="{B7C90467-3AAC-474B-85FB-DBDEE91128FF}"/>
    <cellStyle name="Normal 5 2 2 2 2 3 2 2 3" xfId="38645" xr:uid="{777E9D24-7C7C-47E7-8B16-C79DCB03FBAD}"/>
    <cellStyle name="Normal 5 2 2 2 2 3 2 2 4" xfId="30197" xr:uid="{92ABF648-2933-4123-A2A6-8FE52F38A14E}"/>
    <cellStyle name="Normal 5 2 2 2 2 3 2 2 5" xfId="21750" xr:uid="{4D9B45F7-EE22-4772-A924-DA00078C172A}"/>
    <cellStyle name="Normal 5 2 2 2 2 3 2 2 6" xfId="12453" xr:uid="{823ED0A1-1060-4630-803E-680C26BC6957}"/>
    <cellStyle name="Normal 5 2 2 2 2 3 2 3" xfId="5199" xr:uid="{00000000-0005-0000-0000-000025170000}"/>
    <cellStyle name="Normal 5 2 2 2 2 3 2 3 2" xfId="40717" xr:uid="{6A4F11BA-BEA4-4E20-8698-D123417FA491}"/>
    <cellStyle name="Normal 5 2 2 2 2 3 2 3 3" xfId="32270" xr:uid="{2B32EBCE-66CA-4DDD-8D52-1944304A0D3F}"/>
    <cellStyle name="Normal 5 2 2 2 2 3 2 3 4" xfId="23822" xr:uid="{37C6ABD8-87B6-4B59-BC4D-F3913EE92D5A}"/>
    <cellStyle name="Normal 5 2 2 2 2 3 2 3 5" xfId="14525" xr:uid="{62F7C6E4-0A03-410C-B03E-9D15000290CB}"/>
    <cellStyle name="Normal 5 2 2 2 2 3 2 4" xfId="9461" xr:uid="{815E4D9A-ED64-4B6C-A17A-F6D83CC40A47}"/>
    <cellStyle name="Normal 5 2 2 2 2 3 2 4 2" xfId="36500" xr:uid="{1521CB32-6F34-4D51-B394-1569CF1C001D}"/>
    <cellStyle name="Normal 5 2 2 2 2 3 2 4 3" xfId="18774" xr:uid="{CBE8A77F-2AFC-4E23-B12F-C796DAECDF0F}"/>
    <cellStyle name="Normal 5 2 2 2 2 3 2 5" xfId="28052" xr:uid="{0989E9CA-0317-444C-9902-5CBE6BB8CA43}"/>
    <cellStyle name="Normal 5 2 2 2 2 3 2 6" xfId="19605" xr:uid="{7D89B95F-7004-445F-AB7B-DA9313B84C7B}"/>
    <cellStyle name="Normal 5 2 2 2 2 3 2 7" xfId="10308" xr:uid="{69B1DBBA-27D2-48EB-AF29-695805556E4A}"/>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43275" xr:uid="{E132D61E-D916-4148-BBD0-9CB62D838B18}"/>
    <cellStyle name="Normal 5 2 2 2 2 3 3 2 2 3" xfId="34828" xr:uid="{F2A9E155-9178-43D5-86CD-393CD84B1F1A}"/>
    <cellStyle name="Normal 5 2 2 2 2 3 3 2 2 4" xfId="26380" xr:uid="{B3C3E386-EDEB-4700-A307-7A04B0FA7145}"/>
    <cellStyle name="Normal 5 2 2 2 2 3 3 2 2 5" xfId="17083" xr:uid="{F4BE9C18-F662-4DFC-99EB-0FD31C7BF0D6}"/>
    <cellStyle name="Normal 5 2 2 2 2 3 3 2 3" xfId="39058" xr:uid="{039F1733-7DE0-4185-87DE-0A736DDF6431}"/>
    <cellStyle name="Normal 5 2 2 2 2 3 3 2 4" xfId="30610" xr:uid="{ADE518D8-FDCA-4183-A6C0-BBEDD5F0E13B}"/>
    <cellStyle name="Normal 5 2 2 2 2 3 3 2 5" xfId="22163" xr:uid="{6C61F563-41E3-4EC3-8DF5-1DBD799C8665}"/>
    <cellStyle name="Normal 5 2 2 2 2 3 3 2 6" xfId="12866" xr:uid="{9C188F61-884F-48CD-9768-D3AC75A6D367}"/>
    <cellStyle name="Normal 5 2 2 2 2 3 3 3" xfId="5612" xr:uid="{00000000-0005-0000-0000-000029170000}"/>
    <cellStyle name="Normal 5 2 2 2 2 3 3 3 2" xfId="41130" xr:uid="{8D9C0B34-8CF6-4669-8AF7-6C7A169C26AD}"/>
    <cellStyle name="Normal 5 2 2 2 2 3 3 3 3" xfId="32683" xr:uid="{D48CFFA9-0A91-4226-9DBE-9C2C583E5526}"/>
    <cellStyle name="Normal 5 2 2 2 2 3 3 3 4" xfId="24235" xr:uid="{6427C709-F6F2-418D-A9B8-00E21C7343AF}"/>
    <cellStyle name="Normal 5 2 2 2 2 3 3 3 5" xfId="14938" xr:uid="{D3A29460-F9B2-49A1-AD53-40764D7195C9}"/>
    <cellStyle name="Normal 5 2 2 2 2 3 3 4" xfId="36913" xr:uid="{F44DF9B1-2B57-4051-87FD-2F8740533DC1}"/>
    <cellStyle name="Normal 5 2 2 2 2 3 3 5" xfId="28465" xr:uid="{7394FCE6-1F5A-4CA8-89EC-2FBD9BEE43A3}"/>
    <cellStyle name="Normal 5 2 2 2 2 3 3 6" xfId="20018" xr:uid="{9D777E39-34F5-4D0B-91B6-60C2B33BA8DD}"/>
    <cellStyle name="Normal 5 2 2 2 2 3 3 7" xfId="10721" xr:uid="{AD0CD366-D0F2-41BA-B585-6DDDE99F15D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43688" xr:uid="{874E5996-1885-430F-A7F5-011F4E561BDC}"/>
    <cellStyle name="Normal 5 2 2 2 2 3 4 2 2 3" xfId="35241" xr:uid="{F26D3880-B960-4650-A8C1-FEB6CDDD0239}"/>
    <cellStyle name="Normal 5 2 2 2 2 3 4 2 2 4" xfId="26793" xr:uid="{6A400209-FF1C-4A22-B0E6-DD4FBF9E31E3}"/>
    <cellStyle name="Normal 5 2 2 2 2 3 4 2 2 5" xfId="17496" xr:uid="{0E85D456-4853-4E3E-84B6-106B8A364027}"/>
    <cellStyle name="Normal 5 2 2 2 2 3 4 2 3" xfId="39471" xr:uid="{E1D55C0A-2825-4F85-8340-2510D3A9A838}"/>
    <cellStyle name="Normal 5 2 2 2 2 3 4 2 4" xfId="31023" xr:uid="{BB8C9B6D-124D-455F-A011-A7B46628F395}"/>
    <cellStyle name="Normal 5 2 2 2 2 3 4 2 5" xfId="22576" xr:uid="{BE4E6FEA-5139-4459-8BF4-FD4AD5667AB1}"/>
    <cellStyle name="Normal 5 2 2 2 2 3 4 2 6" xfId="13279" xr:uid="{82BD9AAD-AC7A-470E-9B6D-8D67262C1B83}"/>
    <cellStyle name="Normal 5 2 2 2 2 3 4 3" xfId="6025" xr:uid="{00000000-0005-0000-0000-00002D170000}"/>
    <cellStyle name="Normal 5 2 2 2 2 3 4 3 2" xfId="41543" xr:uid="{86E59CD7-5EB3-400E-9C56-FD12065F69B8}"/>
    <cellStyle name="Normal 5 2 2 2 2 3 4 3 3" xfId="33096" xr:uid="{D1F712CD-3BBF-41BF-8372-1B9296F20343}"/>
    <cellStyle name="Normal 5 2 2 2 2 3 4 3 4" xfId="24648" xr:uid="{8B2563C3-E0BE-4E2B-A083-82B2A49E9F29}"/>
    <cellStyle name="Normal 5 2 2 2 2 3 4 3 5" xfId="15351" xr:uid="{5468F647-B212-4501-AFAD-B2083D07D842}"/>
    <cellStyle name="Normal 5 2 2 2 2 3 4 4" xfId="37326" xr:uid="{713C7B20-55C6-497D-85B5-29CE25114DEF}"/>
    <cellStyle name="Normal 5 2 2 2 2 3 4 5" xfId="28878" xr:uid="{8273D789-0786-4022-A479-BA8919B38CC0}"/>
    <cellStyle name="Normal 5 2 2 2 2 3 4 6" xfId="20431" xr:uid="{7A0DBA96-0BBC-4B0F-AA9F-C9AF09BDFA84}"/>
    <cellStyle name="Normal 5 2 2 2 2 3 4 7" xfId="11134" xr:uid="{08D7406D-D333-44C2-89D8-6E1B4531B808}"/>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44101" xr:uid="{E6739723-6C91-44DF-A1E5-8F5B9A9DB01A}"/>
    <cellStyle name="Normal 5 2 2 2 2 3 5 2 2 3" xfId="35654" xr:uid="{8282EDA8-D0E6-4CC3-9FE2-1790E3A844BF}"/>
    <cellStyle name="Normal 5 2 2 2 2 3 5 2 2 4" xfId="27206" xr:uid="{34E89DBD-30DA-4968-871D-4EAEB3AEF83C}"/>
    <cellStyle name="Normal 5 2 2 2 2 3 5 2 2 5" xfId="17909" xr:uid="{C110EFC0-8A1A-4447-9153-CBA6CF5600FA}"/>
    <cellStyle name="Normal 5 2 2 2 2 3 5 2 3" xfId="39884" xr:uid="{A4538FC0-13F0-4EE2-B161-2CA20CA20A38}"/>
    <cellStyle name="Normal 5 2 2 2 2 3 5 2 4" xfId="31436" xr:uid="{A24AA02D-127A-4A67-ADBA-202B04426B9D}"/>
    <cellStyle name="Normal 5 2 2 2 2 3 5 2 5" xfId="22989" xr:uid="{599A4AFB-7CDF-45B9-AF1B-47CD500F2730}"/>
    <cellStyle name="Normal 5 2 2 2 2 3 5 2 6" xfId="13692" xr:uid="{E3429421-A705-494D-A783-6A7F8926CE02}"/>
    <cellStyle name="Normal 5 2 2 2 2 3 5 3" xfId="6438" xr:uid="{00000000-0005-0000-0000-000031170000}"/>
    <cellStyle name="Normal 5 2 2 2 2 3 5 3 2" xfId="41956" xr:uid="{C2C598FE-0708-45D2-BEE0-7F0DF74D9484}"/>
    <cellStyle name="Normal 5 2 2 2 2 3 5 3 3" xfId="33509" xr:uid="{F796804A-ADA2-492D-A28D-E1CDAEB18A4D}"/>
    <cellStyle name="Normal 5 2 2 2 2 3 5 3 4" xfId="25061" xr:uid="{B917445A-9CC2-49AD-8141-26DB3D04314A}"/>
    <cellStyle name="Normal 5 2 2 2 2 3 5 3 5" xfId="15764" xr:uid="{338A5935-2878-4A79-B68F-F856E404935C}"/>
    <cellStyle name="Normal 5 2 2 2 2 3 5 4" xfId="37739" xr:uid="{2063A582-D58D-4987-B2DF-7157FBD99A1A}"/>
    <cellStyle name="Normal 5 2 2 2 2 3 5 5" xfId="29291" xr:uid="{B02E817E-7C1C-4AF1-8763-B0010CA53DBC}"/>
    <cellStyle name="Normal 5 2 2 2 2 3 5 6" xfId="20844" xr:uid="{1967E0AF-D7B5-45AA-BA17-786418EE641B}"/>
    <cellStyle name="Normal 5 2 2 2 2 3 5 7" xfId="11547" xr:uid="{B62D11C4-8DD3-4661-8F62-6BF916B7BA8E}"/>
    <cellStyle name="Normal 5 2 2 2 2 3 6" xfId="2568" xr:uid="{00000000-0005-0000-0000-000032170000}"/>
    <cellStyle name="Normal 5 2 2 2 2 3 6 2" xfId="6851" xr:uid="{00000000-0005-0000-0000-000033170000}"/>
    <cellStyle name="Normal 5 2 2 2 2 3 6 2 2" xfId="42369" xr:uid="{3948A399-0701-4339-95CF-563A33DBE1FF}"/>
    <cellStyle name="Normal 5 2 2 2 2 3 6 2 3" xfId="33922" xr:uid="{EB7976C1-C145-41D1-92FB-FDB1982693A3}"/>
    <cellStyle name="Normal 5 2 2 2 2 3 6 2 4" xfId="25474" xr:uid="{4334D0B2-A923-413A-B07E-5A73000C7D7C}"/>
    <cellStyle name="Normal 5 2 2 2 2 3 6 2 5" xfId="16177" xr:uid="{0A03BF27-D9DA-460D-9AFA-F8BBDC68F2BF}"/>
    <cellStyle name="Normal 5 2 2 2 2 3 6 3" xfId="38152" xr:uid="{E5FA2C3B-D109-492A-B559-BC97F80E229B}"/>
    <cellStyle name="Normal 5 2 2 2 2 3 6 4" xfId="29704" xr:uid="{D9CF67A2-DDB6-4D78-B0AB-68D9507F512F}"/>
    <cellStyle name="Normal 5 2 2 2 2 3 6 5" xfId="21257" xr:uid="{44DBA129-5D58-482E-9D56-1AB4A18B0877}"/>
    <cellStyle name="Normal 5 2 2 2 2 3 6 6" xfId="11960" xr:uid="{507F1D67-2772-40C8-A71E-A6D97C1848C2}"/>
    <cellStyle name="Normal 5 2 2 2 2 3 7" xfId="4786" xr:uid="{00000000-0005-0000-0000-000034170000}"/>
    <cellStyle name="Normal 5 2 2 2 2 3 7 2" xfId="40304" xr:uid="{D23DEA3A-761C-4450-9A6B-E3F812C5246D}"/>
    <cellStyle name="Normal 5 2 2 2 2 3 7 3" xfId="31857" xr:uid="{4804937A-9756-4746-9B92-608DC0C29FC3}"/>
    <cellStyle name="Normal 5 2 2 2 2 3 7 4" xfId="23409" xr:uid="{1BC40B32-5ADB-48F2-8102-5FC6D7C5CF51}"/>
    <cellStyle name="Normal 5 2 2 2 2 3 7 5" xfId="14112" xr:uid="{79CF0013-5E13-4A63-9378-09694B7E3B6F}"/>
    <cellStyle name="Normal 5 2 2 2 2 3 8" xfId="9036" xr:uid="{2B9BC3AC-900A-42EE-A23F-E5574B6E75BC}"/>
    <cellStyle name="Normal 5 2 2 2 2 3 8 2" xfId="36087" xr:uid="{6D57BFAA-D489-48A2-A184-7885EB447A06}"/>
    <cellStyle name="Normal 5 2 2 2 2 3 8 3" xfId="18359" xr:uid="{DDC681D5-EE4F-42A6-A2B8-148CA412FA7A}"/>
    <cellStyle name="Normal 5 2 2 2 2 3 9" xfId="27639" xr:uid="{3C4F3529-C709-4921-A717-AD043C6B6AD7}"/>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42859" xr:uid="{E00A70A8-1CC3-4C12-995B-A223D2E03499}"/>
    <cellStyle name="Normal 5 2 2 2 2 4 2 2 3" xfId="34412" xr:uid="{669DA985-42F8-4FCE-A3D9-6A72198BCB55}"/>
    <cellStyle name="Normal 5 2 2 2 2 4 2 2 4" xfId="25964" xr:uid="{64E55ABF-FA27-4039-AA60-3212D15CF64D}"/>
    <cellStyle name="Normal 5 2 2 2 2 4 2 2 5" xfId="16667" xr:uid="{2C4241D6-255A-4821-B429-5926DE735032}"/>
    <cellStyle name="Normal 5 2 2 2 2 4 2 3" xfId="38642" xr:uid="{81B9785C-A2AF-4D10-91E8-63AB63B9FD8C}"/>
    <cellStyle name="Normal 5 2 2 2 2 4 2 4" xfId="30194" xr:uid="{5AFA8BDC-73B1-4D1C-932F-FC98CE488FAF}"/>
    <cellStyle name="Normal 5 2 2 2 2 4 2 5" xfId="21747" xr:uid="{EA991107-6306-4D97-9F04-B18322AD35C5}"/>
    <cellStyle name="Normal 5 2 2 2 2 4 2 6" xfId="12450" xr:uid="{BE2919B2-5E4B-40A3-A3B1-8B384BC552BA}"/>
    <cellStyle name="Normal 5 2 2 2 2 4 3" xfId="5196" xr:uid="{00000000-0005-0000-0000-000038170000}"/>
    <cellStyle name="Normal 5 2 2 2 2 4 3 2" xfId="40714" xr:uid="{36E25847-CBF6-4CD5-A063-E963FF88E3BA}"/>
    <cellStyle name="Normal 5 2 2 2 2 4 3 3" xfId="32267" xr:uid="{023666F2-6496-4126-AEE0-2D32AEDC3371}"/>
    <cellStyle name="Normal 5 2 2 2 2 4 3 4" xfId="23819" xr:uid="{95DF0FAB-21C7-4831-8B62-4587D15BB847}"/>
    <cellStyle name="Normal 5 2 2 2 2 4 3 5" xfId="14522" xr:uid="{AB27920D-E416-4FE6-A6A6-6A10E0412F85}"/>
    <cellStyle name="Normal 5 2 2 2 2 4 4" xfId="9254" xr:uid="{B0B4DA0D-4C0F-4712-8BF0-280C2A85D575}"/>
    <cellStyle name="Normal 5 2 2 2 2 4 4 2" xfId="36497" xr:uid="{115F446C-21C6-4217-855C-B03D63DA9657}"/>
    <cellStyle name="Normal 5 2 2 2 2 4 4 3" xfId="18567" xr:uid="{E2CB0D19-5861-497B-9DC5-EAAA8C27B9BC}"/>
    <cellStyle name="Normal 5 2 2 2 2 4 5" xfId="28049" xr:uid="{6C57F381-7FAE-448B-AA67-F97169E7A6EF}"/>
    <cellStyle name="Normal 5 2 2 2 2 4 6" xfId="19602" xr:uid="{87E0E4FC-F248-4B11-934D-186019D4C40C}"/>
    <cellStyle name="Normal 5 2 2 2 2 4 7" xfId="10305" xr:uid="{FC2AB443-CE69-4500-9AD4-6DE845B3514B}"/>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43272" xr:uid="{5AA28C70-0D42-4373-BB89-B22B4347D528}"/>
    <cellStyle name="Normal 5 2 2 2 2 5 2 2 3" xfId="34825" xr:uid="{A78EC78C-01E2-4A09-AEC1-742692FD1925}"/>
    <cellStyle name="Normal 5 2 2 2 2 5 2 2 4" xfId="26377" xr:uid="{3253C1E8-5C14-48F8-BB86-CC1A347E16FE}"/>
    <cellStyle name="Normal 5 2 2 2 2 5 2 2 5" xfId="17080" xr:uid="{B12040A2-CAB4-4450-8815-4FBD46CC3D1C}"/>
    <cellStyle name="Normal 5 2 2 2 2 5 2 3" xfId="39055" xr:uid="{879131B7-1106-4F6A-9FA2-0293C8DB3CE7}"/>
    <cellStyle name="Normal 5 2 2 2 2 5 2 4" xfId="30607" xr:uid="{D9D15B47-03C1-4626-B784-8CEA608882C1}"/>
    <cellStyle name="Normal 5 2 2 2 2 5 2 5" xfId="22160" xr:uid="{580C175A-F4E9-4FC7-A90B-8861C423F1F6}"/>
    <cellStyle name="Normal 5 2 2 2 2 5 2 6" xfId="12863" xr:uid="{CF12CCBE-2F49-4D19-8E64-5A397B40A70A}"/>
    <cellStyle name="Normal 5 2 2 2 2 5 3" xfId="5609" xr:uid="{00000000-0005-0000-0000-00003C170000}"/>
    <cellStyle name="Normal 5 2 2 2 2 5 3 2" xfId="41127" xr:uid="{0BEC778A-FDF9-4086-817F-DF011E9EB270}"/>
    <cellStyle name="Normal 5 2 2 2 2 5 3 3" xfId="32680" xr:uid="{D7213C66-4FCB-42C7-8606-5A3D7BA72A33}"/>
    <cellStyle name="Normal 5 2 2 2 2 5 3 4" xfId="24232" xr:uid="{061D4570-FECD-40FD-928B-F37DA32E17A8}"/>
    <cellStyle name="Normal 5 2 2 2 2 5 3 5" xfId="14935" xr:uid="{398C82C1-35B2-4E7D-94D9-292888F6CE10}"/>
    <cellStyle name="Normal 5 2 2 2 2 5 4" xfId="36910" xr:uid="{4F086301-B3D9-449D-9909-93C683A6A517}"/>
    <cellStyle name="Normal 5 2 2 2 2 5 5" xfId="28462" xr:uid="{A7079AD8-CB83-4B97-BD86-E6BA5F2E3C12}"/>
    <cellStyle name="Normal 5 2 2 2 2 5 6" xfId="20015" xr:uid="{909D549B-C90B-4F2E-8D4F-A9FD8B93C7D3}"/>
    <cellStyle name="Normal 5 2 2 2 2 5 7" xfId="10718" xr:uid="{232A106E-B17E-4698-AAD6-0E6A38F51558}"/>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43685" xr:uid="{AD07DF6D-D5B3-45C2-AAE6-74058C3DC69B}"/>
    <cellStyle name="Normal 5 2 2 2 2 6 2 2 3" xfId="35238" xr:uid="{8FC8ED3F-F2B0-4E6D-87DE-3B26277E5D30}"/>
    <cellStyle name="Normal 5 2 2 2 2 6 2 2 4" xfId="26790" xr:uid="{CAC960C3-F2F1-4E8B-978A-60D30A8429FD}"/>
    <cellStyle name="Normal 5 2 2 2 2 6 2 2 5" xfId="17493" xr:uid="{1ADC48C4-E87E-47BC-891D-EFCA2575BDAD}"/>
    <cellStyle name="Normal 5 2 2 2 2 6 2 3" xfId="39468" xr:uid="{E63428FE-8F08-4EF9-8C54-24CA89FCF578}"/>
    <cellStyle name="Normal 5 2 2 2 2 6 2 4" xfId="31020" xr:uid="{6D98F279-E53D-46AB-8F1E-18D748119EA6}"/>
    <cellStyle name="Normal 5 2 2 2 2 6 2 5" xfId="22573" xr:uid="{F17DECC2-B5AD-40D8-BB4A-05209EDD1E01}"/>
    <cellStyle name="Normal 5 2 2 2 2 6 2 6" xfId="13276" xr:uid="{0EA9D13B-F3BA-43DF-BDB5-780C0B5963E8}"/>
    <cellStyle name="Normal 5 2 2 2 2 6 3" xfId="6022" xr:uid="{00000000-0005-0000-0000-000040170000}"/>
    <cellStyle name="Normal 5 2 2 2 2 6 3 2" xfId="41540" xr:uid="{C77F3728-0D91-4DBE-80A3-6A371016945E}"/>
    <cellStyle name="Normal 5 2 2 2 2 6 3 3" xfId="33093" xr:uid="{91249EA8-32E1-46CE-867C-3DB7605301C0}"/>
    <cellStyle name="Normal 5 2 2 2 2 6 3 4" xfId="24645" xr:uid="{8536524E-DA88-4EF0-B893-C1B2766A3D27}"/>
    <cellStyle name="Normal 5 2 2 2 2 6 3 5" xfId="15348" xr:uid="{3B4526CB-16A3-4C4F-A853-BF405A1A1C28}"/>
    <cellStyle name="Normal 5 2 2 2 2 6 4" xfId="37323" xr:uid="{BA2008A9-DA77-41E7-A758-1419EB249053}"/>
    <cellStyle name="Normal 5 2 2 2 2 6 5" xfId="28875" xr:uid="{319A278F-4D29-417B-9506-A75952914CE9}"/>
    <cellStyle name="Normal 5 2 2 2 2 6 6" xfId="20428" xr:uid="{BD1A58B0-7CC1-4C95-B37B-7191AC3556AA}"/>
    <cellStyle name="Normal 5 2 2 2 2 6 7" xfId="11131" xr:uid="{13709994-AC83-465E-835D-839AF48E0188}"/>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44098" xr:uid="{C8794D70-7E2A-4935-84B2-A0911827A136}"/>
    <cellStyle name="Normal 5 2 2 2 2 7 2 2 3" xfId="35651" xr:uid="{F1438780-84F6-49E7-8787-6B4EE3B4A474}"/>
    <cellStyle name="Normal 5 2 2 2 2 7 2 2 4" xfId="27203" xr:uid="{C71D576C-8A7B-44EF-ADFE-288710FDEDB2}"/>
    <cellStyle name="Normal 5 2 2 2 2 7 2 2 5" xfId="17906" xr:uid="{9722C6EE-1817-4FBA-86DA-4D05DAD197E0}"/>
    <cellStyle name="Normal 5 2 2 2 2 7 2 3" xfId="39881" xr:uid="{2FB8A8A2-EE97-41BC-98B2-88610A69B648}"/>
    <cellStyle name="Normal 5 2 2 2 2 7 2 4" xfId="31433" xr:uid="{4FA87902-AC81-4C6E-B2EC-AB78C010B5EB}"/>
    <cellStyle name="Normal 5 2 2 2 2 7 2 5" xfId="22986" xr:uid="{72A5FF77-80E0-4AC5-8F68-C41381E08949}"/>
    <cellStyle name="Normal 5 2 2 2 2 7 2 6" xfId="13689" xr:uid="{9BE5D737-0C93-401B-8864-06D2628AF591}"/>
    <cellStyle name="Normal 5 2 2 2 2 7 3" xfId="6435" xr:uid="{00000000-0005-0000-0000-000044170000}"/>
    <cellStyle name="Normal 5 2 2 2 2 7 3 2" xfId="41953" xr:uid="{8EE4D42D-FF1C-4281-85E8-8FFB81CA4AC4}"/>
    <cellStyle name="Normal 5 2 2 2 2 7 3 3" xfId="33506" xr:uid="{4C1D543A-5208-4953-9E35-E1EBC191C34A}"/>
    <cellStyle name="Normal 5 2 2 2 2 7 3 4" xfId="25058" xr:uid="{A5DBC3E6-EAA0-435A-A1F7-35628D06BE0B}"/>
    <cellStyle name="Normal 5 2 2 2 2 7 3 5" xfId="15761" xr:uid="{CC59804E-3DF8-4CF6-9C57-C7997A949F8A}"/>
    <cellStyle name="Normal 5 2 2 2 2 7 4" xfId="37736" xr:uid="{977FAA2C-F38E-4FEE-8525-5155A18CF499}"/>
    <cellStyle name="Normal 5 2 2 2 2 7 5" xfId="29288" xr:uid="{B8AEE8C9-151B-46CD-BB30-8CB6486A4A93}"/>
    <cellStyle name="Normal 5 2 2 2 2 7 6" xfId="20841" xr:uid="{B3104B8B-7B3D-42D0-844D-FB71142A13BD}"/>
    <cellStyle name="Normal 5 2 2 2 2 7 7" xfId="11544" xr:uid="{A55F584E-1EDD-4177-B7F0-06241093BA3D}"/>
    <cellStyle name="Normal 5 2 2 2 2 8" xfId="2565" xr:uid="{00000000-0005-0000-0000-000045170000}"/>
    <cellStyle name="Normal 5 2 2 2 2 8 2" xfId="6848" xr:uid="{00000000-0005-0000-0000-000046170000}"/>
    <cellStyle name="Normal 5 2 2 2 2 8 2 2" xfId="42366" xr:uid="{AF5D911D-BF0E-4421-B8F6-3C17179E1BCB}"/>
    <cellStyle name="Normal 5 2 2 2 2 8 2 3" xfId="33919" xr:uid="{702CD4C7-3C7D-4C47-A92B-6221C05FDD42}"/>
    <cellStyle name="Normal 5 2 2 2 2 8 2 4" xfId="25471" xr:uid="{6D17F7D5-B068-4AAA-BCC4-4515C130A67D}"/>
    <cellStyle name="Normal 5 2 2 2 2 8 2 5" xfId="16174" xr:uid="{B29C2C97-36F0-4554-9130-195D2C653554}"/>
    <cellStyle name="Normal 5 2 2 2 2 8 3" xfId="38149" xr:uid="{489687B6-8D01-4C8B-ABE7-165579FD6EE7}"/>
    <cellStyle name="Normal 5 2 2 2 2 8 4" xfId="29701" xr:uid="{A3460646-29C4-442D-A2F8-DD8FD5C08DEE}"/>
    <cellStyle name="Normal 5 2 2 2 2 8 5" xfId="21254" xr:uid="{C2605483-4904-49BC-BFAF-3910696F56CA}"/>
    <cellStyle name="Normal 5 2 2 2 2 8 6" xfId="11957" xr:uid="{C0FEE1F5-2010-4707-838A-50A499A42AE4}"/>
    <cellStyle name="Normal 5 2 2 2 2 9" xfId="4783" xr:uid="{00000000-0005-0000-0000-000047170000}"/>
    <cellStyle name="Normal 5 2 2 2 2 9 2" xfId="40301" xr:uid="{F8EC2386-17DF-44B6-A32F-F6D80933E8F0}"/>
    <cellStyle name="Normal 5 2 2 2 2 9 3" xfId="31854" xr:uid="{063826A3-63E9-44DA-ADB1-7FA3CE2CF18C}"/>
    <cellStyle name="Normal 5 2 2 2 2 9 4" xfId="23406" xr:uid="{A0756D07-E305-407D-BF4A-0CA545BF7CC8}"/>
    <cellStyle name="Normal 5 2 2 2 2 9 5" xfId="14109" xr:uid="{DE3DC851-CCCD-432D-AE51-BB6E841D14EC}"/>
    <cellStyle name="Normal 5 2 2 2 3" xfId="414" xr:uid="{00000000-0005-0000-0000-000048170000}"/>
    <cellStyle name="Normal 5 2 2 2 3 10" xfId="27640" xr:uid="{246EF622-FCE7-4CAA-9227-3501DD38B79C}"/>
    <cellStyle name="Normal 5 2 2 2 3 11" xfId="19193" xr:uid="{3483F2C6-28AE-44BE-BC42-71158A68232B}"/>
    <cellStyle name="Normal 5 2 2 2 3 12" xfId="9896" xr:uid="{FDC0DB84-5D2A-4DE3-BC21-4D7783898E8B}"/>
    <cellStyle name="Normal 5 2 2 2 3 2" xfId="415" xr:uid="{00000000-0005-0000-0000-000049170000}"/>
    <cellStyle name="Normal 5 2 2 2 3 2 10" xfId="19194" xr:uid="{FDDBD950-B531-4109-9A47-BEA165F9B890}"/>
    <cellStyle name="Normal 5 2 2 2 3 2 11" xfId="9897" xr:uid="{6A12236B-1E48-4D69-9EC2-C67CE2FA776A}"/>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42864" xr:uid="{24E5919F-9D60-47D6-9B43-27DDD2420C52}"/>
    <cellStyle name="Normal 5 2 2 2 3 2 2 2 2 3" xfId="34417" xr:uid="{AE0413AC-5A25-4D74-94A8-F496480785EC}"/>
    <cellStyle name="Normal 5 2 2 2 3 2 2 2 2 4" xfId="25969" xr:uid="{A7CEF9AC-2108-4E58-B568-23F7937C2502}"/>
    <cellStyle name="Normal 5 2 2 2 3 2 2 2 2 5" xfId="16672" xr:uid="{787B400E-5D18-4E56-9239-C2BAD15212F7}"/>
    <cellStyle name="Normal 5 2 2 2 3 2 2 2 3" xfId="38647" xr:uid="{5A02530A-9BA1-4E24-B4A2-0ACC1640A122}"/>
    <cellStyle name="Normal 5 2 2 2 3 2 2 2 4" xfId="30199" xr:uid="{342913A5-BB16-403B-AD3D-F4071274989B}"/>
    <cellStyle name="Normal 5 2 2 2 3 2 2 2 5" xfId="21752" xr:uid="{9621551F-1C17-46ED-9189-BA241DB34A63}"/>
    <cellStyle name="Normal 5 2 2 2 3 2 2 2 6" xfId="12455" xr:uid="{1474E9F7-0B39-4221-AB4D-FEC1F48FB434}"/>
    <cellStyle name="Normal 5 2 2 2 3 2 2 3" xfId="5201" xr:uid="{00000000-0005-0000-0000-00004D170000}"/>
    <cellStyle name="Normal 5 2 2 2 3 2 2 3 2" xfId="40719" xr:uid="{DB67F40A-D01E-4897-8FA9-6CD5040BD56C}"/>
    <cellStyle name="Normal 5 2 2 2 3 2 2 3 3" xfId="32272" xr:uid="{F8C1B0DA-515B-483A-87C1-27244379D464}"/>
    <cellStyle name="Normal 5 2 2 2 3 2 2 3 4" xfId="23824" xr:uid="{9E8B2C35-BD68-49EE-8EB1-816A0341AB8A}"/>
    <cellStyle name="Normal 5 2 2 2 3 2 2 3 5" xfId="14527" xr:uid="{B13FCF69-4D30-4D16-88C8-D211F2E7B3A4}"/>
    <cellStyle name="Normal 5 2 2 2 3 2 2 4" xfId="9506" xr:uid="{65E8E1F9-5B62-47C9-8131-412DF42F5268}"/>
    <cellStyle name="Normal 5 2 2 2 3 2 2 4 2" xfId="36502" xr:uid="{CE072276-BB73-409D-AA7D-75A6869A1027}"/>
    <cellStyle name="Normal 5 2 2 2 3 2 2 4 3" xfId="18819" xr:uid="{E453901B-A8B2-484D-91F2-7663E76D381A}"/>
    <cellStyle name="Normal 5 2 2 2 3 2 2 5" xfId="28054" xr:uid="{7ADDE070-08A0-4BDD-9BF2-E04E914F88C5}"/>
    <cellStyle name="Normal 5 2 2 2 3 2 2 6" xfId="19607" xr:uid="{7E7BFE3A-D01F-48F4-B4DE-B209A64502B8}"/>
    <cellStyle name="Normal 5 2 2 2 3 2 2 7" xfId="10310" xr:uid="{9DC721ED-5652-4198-9EBF-DBE23225B96A}"/>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43277" xr:uid="{C56BCB42-CF7E-4C9C-81AE-A2EBC3462F6F}"/>
    <cellStyle name="Normal 5 2 2 2 3 2 3 2 2 3" xfId="34830" xr:uid="{B313D285-A70B-40F0-9D0F-445C465BEE64}"/>
    <cellStyle name="Normal 5 2 2 2 3 2 3 2 2 4" xfId="26382" xr:uid="{03D2DACF-5D08-42D6-AEDB-570FB896C266}"/>
    <cellStyle name="Normal 5 2 2 2 3 2 3 2 2 5" xfId="17085" xr:uid="{B493C581-BF8D-4A8D-A42E-78D0DFB81E43}"/>
    <cellStyle name="Normal 5 2 2 2 3 2 3 2 3" xfId="39060" xr:uid="{E6EE058A-E18B-4767-80E7-F53FC62EC487}"/>
    <cellStyle name="Normal 5 2 2 2 3 2 3 2 4" xfId="30612" xr:uid="{7E6CA204-3A77-4EF3-A639-96E241118011}"/>
    <cellStyle name="Normal 5 2 2 2 3 2 3 2 5" xfId="22165" xr:uid="{5FD918C9-93B7-42EA-872E-9E9939296F67}"/>
    <cellStyle name="Normal 5 2 2 2 3 2 3 2 6" xfId="12868" xr:uid="{662D4E3C-B376-4EA3-AC50-A76C72739339}"/>
    <cellStyle name="Normal 5 2 2 2 3 2 3 3" xfId="5614" xr:uid="{00000000-0005-0000-0000-000051170000}"/>
    <cellStyle name="Normal 5 2 2 2 3 2 3 3 2" xfId="41132" xr:uid="{33DE41D3-0AA9-47E7-8490-BC99B36F78E0}"/>
    <cellStyle name="Normal 5 2 2 2 3 2 3 3 3" xfId="32685" xr:uid="{A7587FAE-FFC6-49EB-B6FE-E6602ADA9620}"/>
    <cellStyle name="Normal 5 2 2 2 3 2 3 3 4" xfId="24237" xr:uid="{53621961-9018-488E-A62B-A497AEE1815E}"/>
    <cellStyle name="Normal 5 2 2 2 3 2 3 3 5" xfId="14940" xr:uid="{A839C6FC-8CDA-45C6-9B57-0EB231C67071}"/>
    <cellStyle name="Normal 5 2 2 2 3 2 3 4" xfId="36915" xr:uid="{53B31F24-11D5-4BE3-98F5-A082F18CD142}"/>
    <cellStyle name="Normal 5 2 2 2 3 2 3 5" xfId="28467" xr:uid="{976A9022-A8C2-4109-B719-55C6FF3D8CD4}"/>
    <cellStyle name="Normal 5 2 2 2 3 2 3 6" xfId="20020" xr:uid="{43349944-77B1-4738-B218-61DE962C68F6}"/>
    <cellStyle name="Normal 5 2 2 2 3 2 3 7" xfId="10723" xr:uid="{7BB0E13D-8E03-4D65-8B7A-77D53566852C}"/>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43690" xr:uid="{C0C03D2D-C4B7-4B66-B602-BF148309E791}"/>
    <cellStyle name="Normal 5 2 2 2 3 2 4 2 2 3" xfId="35243" xr:uid="{4C25464C-C635-4F01-88CA-059691238153}"/>
    <cellStyle name="Normal 5 2 2 2 3 2 4 2 2 4" xfId="26795" xr:uid="{1CA781AA-3719-4F27-9762-232CF413F10C}"/>
    <cellStyle name="Normal 5 2 2 2 3 2 4 2 2 5" xfId="17498" xr:uid="{35B7661C-2F41-483E-91C1-68BE3490428B}"/>
    <cellStyle name="Normal 5 2 2 2 3 2 4 2 3" xfId="39473" xr:uid="{B659A348-E493-41F0-A038-754E2F86DD16}"/>
    <cellStyle name="Normal 5 2 2 2 3 2 4 2 4" xfId="31025" xr:uid="{A4AC8134-49E7-4B3F-A9BE-248BA35381FC}"/>
    <cellStyle name="Normal 5 2 2 2 3 2 4 2 5" xfId="22578" xr:uid="{505F4CCB-5756-44DC-9D5E-F58EF9ABF538}"/>
    <cellStyle name="Normal 5 2 2 2 3 2 4 2 6" xfId="13281" xr:uid="{B556E608-379C-4C3E-B301-37BC6D4FB2B7}"/>
    <cellStyle name="Normal 5 2 2 2 3 2 4 3" xfId="6027" xr:uid="{00000000-0005-0000-0000-000055170000}"/>
    <cellStyle name="Normal 5 2 2 2 3 2 4 3 2" xfId="41545" xr:uid="{0BACB449-D01B-40AE-863C-6892D4BEB709}"/>
    <cellStyle name="Normal 5 2 2 2 3 2 4 3 3" xfId="33098" xr:uid="{2360C1D7-7EBD-441E-9E30-FC6ED16528E6}"/>
    <cellStyle name="Normal 5 2 2 2 3 2 4 3 4" xfId="24650" xr:uid="{9BE444E5-E237-499A-A79C-ACA3D0EF12EB}"/>
    <cellStyle name="Normal 5 2 2 2 3 2 4 3 5" xfId="15353" xr:uid="{AA17881F-B022-4BF3-B2A9-3A3E94FA7F60}"/>
    <cellStyle name="Normal 5 2 2 2 3 2 4 4" xfId="37328" xr:uid="{98510356-1B5E-4898-987E-5D8F14BAEF84}"/>
    <cellStyle name="Normal 5 2 2 2 3 2 4 5" xfId="28880" xr:uid="{4D287335-96C2-43DD-A5C0-81FE83FCE18E}"/>
    <cellStyle name="Normal 5 2 2 2 3 2 4 6" xfId="20433" xr:uid="{5C6B8111-BA3B-4F9A-A304-CDFA0411F85C}"/>
    <cellStyle name="Normal 5 2 2 2 3 2 4 7" xfId="11136" xr:uid="{888B78E8-1154-456F-9F65-1ED2CD2B313B}"/>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44103" xr:uid="{527FD2BB-C4BD-469D-B240-A3745FB81310}"/>
    <cellStyle name="Normal 5 2 2 2 3 2 5 2 2 3" xfId="35656" xr:uid="{D974362E-EE42-4E0F-9C9D-5967DD33CE67}"/>
    <cellStyle name="Normal 5 2 2 2 3 2 5 2 2 4" xfId="27208" xr:uid="{FF78B0B5-3EF8-4DD6-9D65-75EC62FFEF4C}"/>
    <cellStyle name="Normal 5 2 2 2 3 2 5 2 2 5" xfId="17911" xr:uid="{471645EF-FDD3-42D2-8BA7-C9D5099CF782}"/>
    <cellStyle name="Normal 5 2 2 2 3 2 5 2 3" xfId="39886" xr:uid="{2E053D6E-6253-4CE9-BAC5-99DC036AC900}"/>
    <cellStyle name="Normal 5 2 2 2 3 2 5 2 4" xfId="31438" xr:uid="{DDE1B5DF-2D94-448D-94D2-22367D2976C4}"/>
    <cellStyle name="Normal 5 2 2 2 3 2 5 2 5" xfId="22991" xr:uid="{5B19CA7D-67CE-41DB-860E-49368AB30E7A}"/>
    <cellStyle name="Normal 5 2 2 2 3 2 5 2 6" xfId="13694" xr:uid="{9EBBE1F1-07D3-4B8A-9A14-D99912E2B17E}"/>
    <cellStyle name="Normal 5 2 2 2 3 2 5 3" xfId="6440" xr:uid="{00000000-0005-0000-0000-000059170000}"/>
    <cellStyle name="Normal 5 2 2 2 3 2 5 3 2" xfId="41958" xr:uid="{A6493C3C-486E-4050-AC17-47481B40793E}"/>
    <cellStyle name="Normal 5 2 2 2 3 2 5 3 3" xfId="33511" xr:uid="{E0066F0D-D91C-4B4C-98F1-8C2D08D2091C}"/>
    <cellStyle name="Normal 5 2 2 2 3 2 5 3 4" xfId="25063" xr:uid="{DABF8F9B-33F3-49F0-8FF3-9280057E7F0F}"/>
    <cellStyle name="Normal 5 2 2 2 3 2 5 3 5" xfId="15766" xr:uid="{622E2F80-FB09-478E-8F2A-DE2E75B1FA6C}"/>
    <cellStyle name="Normal 5 2 2 2 3 2 5 4" xfId="37741" xr:uid="{9D5F2F38-155B-4DFA-9712-9A63975AFAFB}"/>
    <cellStyle name="Normal 5 2 2 2 3 2 5 5" xfId="29293" xr:uid="{44D51369-853A-4472-9EEA-51B3542DBACC}"/>
    <cellStyle name="Normal 5 2 2 2 3 2 5 6" xfId="20846" xr:uid="{5094328B-8001-4383-8576-86CF6CEE6725}"/>
    <cellStyle name="Normal 5 2 2 2 3 2 5 7" xfId="11549" xr:uid="{FC8203DB-17EC-47DF-86A6-DB0FD2FA411C}"/>
    <cellStyle name="Normal 5 2 2 2 3 2 6" xfId="2570" xr:uid="{00000000-0005-0000-0000-00005A170000}"/>
    <cellStyle name="Normal 5 2 2 2 3 2 6 2" xfId="6853" xr:uid="{00000000-0005-0000-0000-00005B170000}"/>
    <cellStyle name="Normal 5 2 2 2 3 2 6 2 2" xfId="42371" xr:uid="{F479F0E2-FCE1-4B7B-9A41-70CB441DAAF5}"/>
    <cellStyle name="Normal 5 2 2 2 3 2 6 2 3" xfId="33924" xr:uid="{164CD6FB-BBB6-4C35-89B9-6EE007C7C4DA}"/>
    <cellStyle name="Normal 5 2 2 2 3 2 6 2 4" xfId="25476" xr:uid="{91663E4C-88F7-4EB4-BA10-0AF4BDC318B6}"/>
    <cellStyle name="Normal 5 2 2 2 3 2 6 2 5" xfId="16179" xr:uid="{E0CBC5AD-6E79-44D5-84AD-145491DB5A7C}"/>
    <cellStyle name="Normal 5 2 2 2 3 2 6 3" xfId="38154" xr:uid="{161C9F7B-AC1F-41B1-85EE-6A1A21176F94}"/>
    <cellStyle name="Normal 5 2 2 2 3 2 6 4" xfId="29706" xr:uid="{6D74A600-DD1B-48FF-8C0A-2782B1604808}"/>
    <cellStyle name="Normal 5 2 2 2 3 2 6 5" xfId="21259" xr:uid="{D0BA68B1-1AE0-48E2-9C5E-A3262911FBC9}"/>
    <cellStyle name="Normal 5 2 2 2 3 2 6 6" xfId="11962" xr:uid="{0CA063F7-5285-45A4-AF52-6287B697B660}"/>
    <cellStyle name="Normal 5 2 2 2 3 2 7" xfId="4788" xr:uid="{00000000-0005-0000-0000-00005C170000}"/>
    <cellStyle name="Normal 5 2 2 2 3 2 7 2" xfId="40306" xr:uid="{9E27A0C0-BF40-4331-87C7-49E59C97E45A}"/>
    <cellStyle name="Normal 5 2 2 2 3 2 7 3" xfId="31859" xr:uid="{CABC210C-3E8E-490C-A818-46DFDEC0B78B}"/>
    <cellStyle name="Normal 5 2 2 2 3 2 7 4" xfId="23411" xr:uid="{BBBF6F9F-8E11-48E2-9A23-F948C96DFDE2}"/>
    <cellStyle name="Normal 5 2 2 2 3 2 7 5" xfId="14114" xr:uid="{4713A077-9090-4267-AF3B-E1B59E0C9D66}"/>
    <cellStyle name="Normal 5 2 2 2 3 2 8" xfId="9081" xr:uid="{B0400C6D-4400-4F06-9092-2DCAD3324CF1}"/>
    <cellStyle name="Normal 5 2 2 2 3 2 8 2" xfId="36089" xr:uid="{BE9D75B5-6C6C-4E9F-8A10-89A2F430427B}"/>
    <cellStyle name="Normal 5 2 2 2 3 2 8 3" xfId="18404" xr:uid="{8E85DE0F-C073-4C94-962F-5F422F4E8339}"/>
    <cellStyle name="Normal 5 2 2 2 3 2 9" xfId="27641" xr:uid="{152C69E1-7EE7-4B30-A458-C4D0A72C300D}"/>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42863" xr:uid="{10240A00-2C81-4C1B-9B41-48274F62CF85}"/>
    <cellStyle name="Normal 5 2 2 2 3 3 2 2 3" xfId="34416" xr:uid="{4A129BCA-74FB-4A4C-AA38-F42BFFA12728}"/>
    <cellStyle name="Normal 5 2 2 2 3 3 2 2 4" xfId="25968" xr:uid="{8198075B-8169-4FB0-9629-A64D7D2EEE81}"/>
    <cellStyle name="Normal 5 2 2 2 3 3 2 2 5" xfId="16671" xr:uid="{0612CC92-CF96-409C-AA4C-910D0FE58C07}"/>
    <cellStyle name="Normal 5 2 2 2 3 3 2 3" xfId="38646" xr:uid="{2EF95928-E315-4AB0-9C46-25668E9172A2}"/>
    <cellStyle name="Normal 5 2 2 2 3 3 2 4" xfId="30198" xr:uid="{C53159DF-A884-4C51-91C0-CB98AB3EF763}"/>
    <cellStyle name="Normal 5 2 2 2 3 3 2 5" xfId="21751" xr:uid="{789A36BF-4719-4BED-B4E4-DDB7F92B3417}"/>
    <cellStyle name="Normal 5 2 2 2 3 3 2 6" xfId="12454" xr:uid="{EAB1869B-EA75-48A9-A0D1-7150E8D4B9A2}"/>
    <cellStyle name="Normal 5 2 2 2 3 3 3" xfId="5200" xr:uid="{00000000-0005-0000-0000-000060170000}"/>
    <cellStyle name="Normal 5 2 2 2 3 3 3 2" xfId="40718" xr:uid="{0604BBE8-ADF8-48FF-9B61-67226F2E9B7C}"/>
    <cellStyle name="Normal 5 2 2 2 3 3 3 3" xfId="32271" xr:uid="{D989B295-4AC4-4305-B51A-A1EF9BA0BE98}"/>
    <cellStyle name="Normal 5 2 2 2 3 3 3 4" xfId="23823" xr:uid="{E7B64272-F228-4CF2-9F83-4E6272916B1B}"/>
    <cellStyle name="Normal 5 2 2 2 3 3 3 5" xfId="14526" xr:uid="{1725DBD9-BC6B-4BE1-B820-A73979D9C710}"/>
    <cellStyle name="Normal 5 2 2 2 3 3 4" xfId="9299" xr:uid="{85780536-A38F-4D86-8846-D9FA6BB2D61D}"/>
    <cellStyle name="Normal 5 2 2 2 3 3 4 2" xfId="36501" xr:uid="{AC00F4C3-01F8-4217-A7D2-6C6DA34EE545}"/>
    <cellStyle name="Normal 5 2 2 2 3 3 4 3" xfId="18612" xr:uid="{2A105C6E-2A7B-4322-8FB4-3FC8E4D9BF68}"/>
    <cellStyle name="Normal 5 2 2 2 3 3 5" xfId="28053" xr:uid="{AC95A79F-6D13-43B0-AFBC-4A52FD61A250}"/>
    <cellStyle name="Normal 5 2 2 2 3 3 6" xfId="19606" xr:uid="{5981AAE4-4D14-4A29-AE78-DC5024105F29}"/>
    <cellStyle name="Normal 5 2 2 2 3 3 7" xfId="10309" xr:uid="{C2CBF7C8-0905-4052-A3C5-C8D99B166804}"/>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43276" xr:uid="{926EB742-8CA2-4535-BF6E-EDE1C7E11EAC}"/>
    <cellStyle name="Normal 5 2 2 2 3 4 2 2 3" xfId="34829" xr:uid="{A9C1C5AC-8EA9-4446-8FEB-1A7833D654E7}"/>
    <cellStyle name="Normal 5 2 2 2 3 4 2 2 4" xfId="26381" xr:uid="{82F181CE-3BDE-4325-8D4E-FA192958EC6C}"/>
    <cellStyle name="Normal 5 2 2 2 3 4 2 2 5" xfId="17084" xr:uid="{BA14D3BB-51C5-4613-82C7-93F41CC7195C}"/>
    <cellStyle name="Normal 5 2 2 2 3 4 2 3" xfId="39059" xr:uid="{B1C3009E-B9CA-4266-8CD8-E9DA19C1A44F}"/>
    <cellStyle name="Normal 5 2 2 2 3 4 2 4" xfId="30611" xr:uid="{04BFAD10-BD47-44EA-90A4-957DDBC7E15E}"/>
    <cellStyle name="Normal 5 2 2 2 3 4 2 5" xfId="22164" xr:uid="{B177A3AC-BA3E-4AEC-8BDD-A5965CB3349E}"/>
    <cellStyle name="Normal 5 2 2 2 3 4 2 6" xfId="12867" xr:uid="{388AB6BE-ACB0-4FEB-89F7-79B829450592}"/>
    <cellStyle name="Normal 5 2 2 2 3 4 3" xfId="5613" xr:uid="{00000000-0005-0000-0000-000064170000}"/>
    <cellStyle name="Normal 5 2 2 2 3 4 3 2" xfId="41131" xr:uid="{59C9FADB-B0D5-4F92-A731-A4A29F9BB7CF}"/>
    <cellStyle name="Normal 5 2 2 2 3 4 3 3" xfId="32684" xr:uid="{8A67D83C-1AF0-4D7B-9B4F-E145CBAC7338}"/>
    <cellStyle name="Normal 5 2 2 2 3 4 3 4" xfId="24236" xr:uid="{35F42096-F215-47FA-8472-8E1A046213D8}"/>
    <cellStyle name="Normal 5 2 2 2 3 4 3 5" xfId="14939" xr:uid="{BE2176AE-733C-4EC9-BD3E-B1BE90E50208}"/>
    <cellStyle name="Normal 5 2 2 2 3 4 4" xfId="36914" xr:uid="{8125536E-62D8-4CAF-96BA-E96B59E6ECF4}"/>
    <cellStyle name="Normal 5 2 2 2 3 4 5" xfId="28466" xr:uid="{736C1238-F1CD-4B9B-ABC0-12230E145B18}"/>
    <cellStyle name="Normal 5 2 2 2 3 4 6" xfId="20019" xr:uid="{2DE37199-41BB-49DB-9453-CA9FF0AC9592}"/>
    <cellStyle name="Normal 5 2 2 2 3 4 7" xfId="10722" xr:uid="{EF317C8B-FB5B-469B-A820-E907B3504A32}"/>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43689" xr:uid="{3BFF88F4-07FE-475C-9B24-4C262F8313AB}"/>
    <cellStyle name="Normal 5 2 2 2 3 5 2 2 3" xfId="35242" xr:uid="{F83B40D5-D34B-4CC6-87EA-3F05E4D24E1A}"/>
    <cellStyle name="Normal 5 2 2 2 3 5 2 2 4" xfId="26794" xr:uid="{E2F72DCA-22AD-427B-9BBB-0E9BBE3FC957}"/>
    <cellStyle name="Normal 5 2 2 2 3 5 2 2 5" xfId="17497" xr:uid="{0B6B6FCC-0578-41CE-B344-CAF22DB416E4}"/>
    <cellStyle name="Normal 5 2 2 2 3 5 2 3" xfId="39472" xr:uid="{0ECA3DC5-A155-453E-A686-746DFD7D8D02}"/>
    <cellStyle name="Normal 5 2 2 2 3 5 2 4" xfId="31024" xr:uid="{897A35AC-B03C-44D3-9FCB-850E4AD0EA03}"/>
    <cellStyle name="Normal 5 2 2 2 3 5 2 5" xfId="22577" xr:uid="{10CEB1D0-772D-401B-ABB1-E2AACAB2412C}"/>
    <cellStyle name="Normal 5 2 2 2 3 5 2 6" xfId="13280" xr:uid="{F62E5A7C-D3CF-4798-8EC7-4FBEC3A21423}"/>
    <cellStyle name="Normal 5 2 2 2 3 5 3" xfId="6026" xr:uid="{00000000-0005-0000-0000-000068170000}"/>
    <cellStyle name="Normal 5 2 2 2 3 5 3 2" xfId="41544" xr:uid="{3B2DB8F4-49E2-4C9D-B262-8CA6A3504096}"/>
    <cellStyle name="Normal 5 2 2 2 3 5 3 3" xfId="33097" xr:uid="{17ED514E-314D-4356-B8DC-D3CC7B318D2D}"/>
    <cellStyle name="Normal 5 2 2 2 3 5 3 4" xfId="24649" xr:uid="{06BF3A0B-ED9F-476B-843F-B35469169903}"/>
    <cellStyle name="Normal 5 2 2 2 3 5 3 5" xfId="15352" xr:uid="{C54C597F-800D-47DC-8AB7-F3C52FCF2E57}"/>
    <cellStyle name="Normal 5 2 2 2 3 5 4" xfId="37327" xr:uid="{AAE4B71F-79EC-4225-B0E4-E405E9A597E9}"/>
    <cellStyle name="Normal 5 2 2 2 3 5 5" xfId="28879" xr:uid="{8E44206E-C388-441B-88FF-118255744338}"/>
    <cellStyle name="Normal 5 2 2 2 3 5 6" xfId="20432" xr:uid="{6DBB38F7-202D-4229-BF48-A65721EF215F}"/>
    <cellStyle name="Normal 5 2 2 2 3 5 7" xfId="11135" xr:uid="{0234DC8F-BB1B-4B5C-BF27-773ACB02566B}"/>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44102" xr:uid="{195957CA-30A3-429C-926B-999B667C1B93}"/>
    <cellStyle name="Normal 5 2 2 2 3 6 2 2 3" xfId="35655" xr:uid="{C864D194-0303-4B09-8731-BB579FF6DB60}"/>
    <cellStyle name="Normal 5 2 2 2 3 6 2 2 4" xfId="27207" xr:uid="{68EBEE45-0D43-4EC4-B708-389A7EF09E51}"/>
    <cellStyle name="Normal 5 2 2 2 3 6 2 2 5" xfId="17910" xr:uid="{3AF3DB9C-266A-4429-8756-5A9F9F153C11}"/>
    <cellStyle name="Normal 5 2 2 2 3 6 2 3" xfId="39885" xr:uid="{F219E17D-8C72-49F6-99A4-70A38806B3CB}"/>
    <cellStyle name="Normal 5 2 2 2 3 6 2 4" xfId="31437" xr:uid="{D5F12F72-FAD0-4543-B5D4-2D59EC84A8E0}"/>
    <cellStyle name="Normal 5 2 2 2 3 6 2 5" xfId="22990" xr:uid="{CCFE86BC-290C-4A8B-88A5-081DE9358D59}"/>
    <cellStyle name="Normal 5 2 2 2 3 6 2 6" xfId="13693" xr:uid="{4DF3EA83-4B1C-404A-B1AE-4E3239340BCC}"/>
    <cellStyle name="Normal 5 2 2 2 3 6 3" xfId="6439" xr:uid="{00000000-0005-0000-0000-00006C170000}"/>
    <cellStyle name="Normal 5 2 2 2 3 6 3 2" xfId="41957" xr:uid="{E3E33BAA-F90E-4E09-9E93-14D70F34E02E}"/>
    <cellStyle name="Normal 5 2 2 2 3 6 3 3" xfId="33510" xr:uid="{72A48BD3-9052-40EF-ACFE-82EA924DF02D}"/>
    <cellStyle name="Normal 5 2 2 2 3 6 3 4" xfId="25062" xr:uid="{3313A360-C0F4-4DC8-ADB0-DAD38E2D44AD}"/>
    <cellStyle name="Normal 5 2 2 2 3 6 3 5" xfId="15765" xr:uid="{DCB10018-CC80-46ED-B576-A0BCA5599D00}"/>
    <cellStyle name="Normal 5 2 2 2 3 6 4" xfId="37740" xr:uid="{109601F2-2A6C-4A37-ABD9-78BFC6E45EAB}"/>
    <cellStyle name="Normal 5 2 2 2 3 6 5" xfId="29292" xr:uid="{FCB9D9CD-98DB-466A-B40D-5E1D80EAA8CC}"/>
    <cellStyle name="Normal 5 2 2 2 3 6 6" xfId="20845" xr:uid="{18E7CC72-63D3-4FDD-9C8C-5AA3B55ADAE8}"/>
    <cellStyle name="Normal 5 2 2 2 3 6 7" xfId="11548" xr:uid="{F0A8CD9C-FC59-42C6-9E3E-1F25A4FC4897}"/>
    <cellStyle name="Normal 5 2 2 2 3 7" xfId="2569" xr:uid="{00000000-0005-0000-0000-00006D170000}"/>
    <cellStyle name="Normal 5 2 2 2 3 7 2" xfId="6852" xr:uid="{00000000-0005-0000-0000-00006E170000}"/>
    <cellStyle name="Normal 5 2 2 2 3 7 2 2" xfId="42370" xr:uid="{D7498B6F-7CE0-4F7B-882B-DCC5946D048F}"/>
    <cellStyle name="Normal 5 2 2 2 3 7 2 3" xfId="33923" xr:uid="{8D87410F-98C9-4697-9075-E87155913859}"/>
    <cellStyle name="Normal 5 2 2 2 3 7 2 4" xfId="25475" xr:uid="{DCDF4BAB-A369-43BB-8F03-31592D3520D8}"/>
    <cellStyle name="Normal 5 2 2 2 3 7 2 5" xfId="16178" xr:uid="{46B90C76-D5C0-4352-AE94-5A3A6DF17483}"/>
    <cellStyle name="Normal 5 2 2 2 3 7 3" xfId="38153" xr:uid="{84EA6EBB-A957-4CCD-B66D-E856D5D93F92}"/>
    <cellStyle name="Normal 5 2 2 2 3 7 4" xfId="29705" xr:uid="{20919EC9-E304-4F68-A9E8-502621781A20}"/>
    <cellStyle name="Normal 5 2 2 2 3 7 5" xfId="21258" xr:uid="{8CBE4798-9BAA-4604-84D1-10F0335AC040}"/>
    <cellStyle name="Normal 5 2 2 2 3 7 6" xfId="11961" xr:uid="{180866F7-8F84-4667-8E85-D4552330D244}"/>
    <cellStyle name="Normal 5 2 2 2 3 8" xfId="4787" xr:uid="{00000000-0005-0000-0000-00006F170000}"/>
    <cellStyle name="Normal 5 2 2 2 3 8 2" xfId="40305" xr:uid="{B1B5E865-C180-489C-86DA-B15166708DE1}"/>
    <cellStyle name="Normal 5 2 2 2 3 8 3" xfId="31858" xr:uid="{11E714CB-4714-4056-9C2A-CE4EB0DBA2C9}"/>
    <cellStyle name="Normal 5 2 2 2 3 8 4" xfId="23410" xr:uid="{DBC5D7C9-5F7A-4718-ABA2-FA8C6D24C93E}"/>
    <cellStyle name="Normal 5 2 2 2 3 8 5" xfId="14113" xr:uid="{F5D1AFB6-6FA6-49E9-9746-30869351CD1B}"/>
    <cellStyle name="Normal 5 2 2 2 3 9" xfId="8874" xr:uid="{D7CEB9F3-DFA5-483F-B08A-C4A582DD7FE8}"/>
    <cellStyle name="Normal 5 2 2 2 3 9 2" xfId="36088" xr:uid="{2C3C0411-955E-4AFA-8EE4-BA71B3299B34}"/>
    <cellStyle name="Normal 5 2 2 2 3 9 3" xfId="18197" xr:uid="{1BF1EA9B-0EA6-49BB-ABB1-C3F18AB75482}"/>
    <cellStyle name="Normal 5 2 2 2 4" xfId="416" xr:uid="{00000000-0005-0000-0000-000070170000}"/>
    <cellStyle name="Normal 5 2 2 2 4 10" xfId="19195" xr:uid="{69AFFF94-1D2A-4AB8-92D5-88E6FEB714C9}"/>
    <cellStyle name="Normal 5 2 2 2 4 11" xfId="9898" xr:uid="{C119B7A0-0E99-4715-A6F2-84B71A05E2F7}"/>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42865" xr:uid="{ACCA21CB-D325-48AB-B0E1-33F1F82F0802}"/>
    <cellStyle name="Normal 5 2 2 2 4 2 2 2 3" xfId="34418" xr:uid="{72312FDA-F2EC-4D49-977A-9625936F6DF2}"/>
    <cellStyle name="Normal 5 2 2 2 4 2 2 2 4" xfId="25970" xr:uid="{2CDC76B7-9C06-496D-94AF-FD8E7056DD18}"/>
    <cellStyle name="Normal 5 2 2 2 4 2 2 2 5" xfId="16673" xr:uid="{7164764A-520E-4DD3-A971-1D1B834E0A85}"/>
    <cellStyle name="Normal 5 2 2 2 4 2 2 3" xfId="38648" xr:uid="{5386AFF8-7942-47D8-A447-41AE511BEBA1}"/>
    <cellStyle name="Normal 5 2 2 2 4 2 2 4" xfId="30200" xr:uid="{934D9B97-CB3B-4C2E-B697-BBD4D80DD80E}"/>
    <cellStyle name="Normal 5 2 2 2 4 2 2 5" xfId="21753" xr:uid="{EAA0E25D-9F38-47DB-95EC-D037889B3EE0}"/>
    <cellStyle name="Normal 5 2 2 2 4 2 2 6" xfId="12456" xr:uid="{E86D8F90-7C9D-4769-BCFA-4A0DE85B9362}"/>
    <cellStyle name="Normal 5 2 2 2 4 2 3" xfId="5202" xr:uid="{00000000-0005-0000-0000-000074170000}"/>
    <cellStyle name="Normal 5 2 2 2 4 2 3 2" xfId="40720" xr:uid="{7FD6A67D-0CC0-4F48-85B9-82C075382395}"/>
    <cellStyle name="Normal 5 2 2 2 4 2 3 3" xfId="32273" xr:uid="{C84D0901-60B5-45AA-9B5A-8DE35868F820}"/>
    <cellStyle name="Normal 5 2 2 2 4 2 3 4" xfId="23825" xr:uid="{37BD4B84-7A95-4A9A-8A0F-CC7275088AD1}"/>
    <cellStyle name="Normal 5 2 2 2 4 2 3 5" xfId="14528" xr:uid="{28FE0159-F0A6-4D8B-9424-AC67C8B733D1}"/>
    <cellStyle name="Normal 5 2 2 2 4 2 4" xfId="9403" xr:uid="{DDA7C497-662A-4A76-A324-A27E6A0A2B3D}"/>
    <cellStyle name="Normal 5 2 2 2 4 2 4 2" xfId="36503" xr:uid="{5E9F0274-4ED3-451C-BA2F-51F6A9C75DA6}"/>
    <cellStyle name="Normal 5 2 2 2 4 2 4 3" xfId="18716" xr:uid="{FDDF9483-E9FA-4F81-866C-8120F683EA0B}"/>
    <cellStyle name="Normal 5 2 2 2 4 2 5" xfId="28055" xr:uid="{B460C55C-D223-4F9C-B97B-9D7E850F8B08}"/>
    <cellStyle name="Normal 5 2 2 2 4 2 6" xfId="19608" xr:uid="{EA91B2A4-C685-409E-95A2-56F725A4707A}"/>
    <cellStyle name="Normal 5 2 2 2 4 2 7" xfId="10311" xr:uid="{5D548F97-9BF8-4673-BF90-9CAD59633F7A}"/>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43278" xr:uid="{59D55424-9030-48EF-B49A-EB64E1D1DF23}"/>
    <cellStyle name="Normal 5 2 2 2 4 3 2 2 3" xfId="34831" xr:uid="{643CDA75-9D87-4D9C-B2CC-3135830605E9}"/>
    <cellStyle name="Normal 5 2 2 2 4 3 2 2 4" xfId="26383" xr:uid="{C5691851-8676-40E7-B752-DC0EA35F0A90}"/>
    <cellStyle name="Normal 5 2 2 2 4 3 2 2 5" xfId="17086" xr:uid="{9060858E-7290-4F62-A025-4E4B05408405}"/>
    <cellStyle name="Normal 5 2 2 2 4 3 2 3" xfId="39061" xr:uid="{E4B2B52E-AF36-4F2E-9962-903F0DF87B1D}"/>
    <cellStyle name="Normal 5 2 2 2 4 3 2 4" xfId="30613" xr:uid="{EA6AD327-D149-4E72-9BDD-5A27B9DE8627}"/>
    <cellStyle name="Normal 5 2 2 2 4 3 2 5" xfId="22166" xr:uid="{01DB93F0-BD0C-43D4-980E-597B3C01B803}"/>
    <cellStyle name="Normal 5 2 2 2 4 3 2 6" xfId="12869" xr:uid="{638BD167-ED1F-41B6-9105-C84D4A9E1FC4}"/>
    <cellStyle name="Normal 5 2 2 2 4 3 3" xfId="5615" xr:uid="{00000000-0005-0000-0000-000078170000}"/>
    <cellStyle name="Normal 5 2 2 2 4 3 3 2" xfId="41133" xr:uid="{F53BE947-AACD-4F46-98F6-38485F562654}"/>
    <cellStyle name="Normal 5 2 2 2 4 3 3 3" xfId="32686" xr:uid="{D4EA1B78-720B-49FF-9E09-637E267C4E3E}"/>
    <cellStyle name="Normal 5 2 2 2 4 3 3 4" xfId="24238" xr:uid="{DE11AC16-FE6A-4C7F-86A6-9D4B15A05B4F}"/>
    <cellStyle name="Normal 5 2 2 2 4 3 3 5" xfId="14941" xr:uid="{A2DAA088-0D78-4A96-947F-D12579ED17F4}"/>
    <cellStyle name="Normal 5 2 2 2 4 3 4" xfId="36916" xr:uid="{725B608C-6619-4C55-91F1-12257F8B76F1}"/>
    <cellStyle name="Normal 5 2 2 2 4 3 5" xfId="28468" xr:uid="{5FE1DB46-2BA2-4F5A-B22E-65A9366897C0}"/>
    <cellStyle name="Normal 5 2 2 2 4 3 6" xfId="20021" xr:uid="{5F82AD88-5327-43F5-A7AA-2A790EFCC3F6}"/>
    <cellStyle name="Normal 5 2 2 2 4 3 7" xfId="10724" xr:uid="{E4C4985D-3A72-47FB-8812-D34B66C16894}"/>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43691" xr:uid="{1070C65C-D86D-4B38-902F-B5F8A2A05CC6}"/>
    <cellStyle name="Normal 5 2 2 2 4 4 2 2 3" xfId="35244" xr:uid="{850FF155-677A-4368-9723-B0612794EE0B}"/>
    <cellStyle name="Normal 5 2 2 2 4 4 2 2 4" xfId="26796" xr:uid="{113AADEA-B22D-4C25-B6DB-3C84C3B65C4B}"/>
    <cellStyle name="Normal 5 2 2 2 4 4 2 2 5" xfId="17499" xr:uid="{F024687D-296A-4B0B-891B-D0621A66AD15}"/>
    <cellStyle name="Normal 5 2 2 2 4 4 2 3" xfId="39474" xr:uid="{81263282-973F-4CEA-9250-5304C9ABFF25}"/>
    <cellStyle name="Normal 5 2 2 2 4 4 2 4" xfId="31026" xr:uid="{C261782B-F08E-4B13-914B-990CAFB5A97D}"/>
    <cellStyle name="Normal 5 2 2 2 4 4 2 5" xfId="22579" xr:uid="{E72B8623-A1A1-4B58-98BB-DE28D24C7349}"/>
    <cellStyle name="Normal 5 2 2 2 4 4 2 6" xfId="13282" xr:uid="{07E38285-4EE9-422D-AF96-34D403E2C80D}"/>
    <cellStyle name="Normal 5 2 2 2 4 4 3" xfId="6028" xr:uid="{00000000-0005-0000-0000-00007C170000}"/>
    <cellStyle name="Normal 5 2 2 2 4 4 3 2" xfId="41546" xr:uid="{A67950AB-7A97-4837-93C5-225CA1C2DEA7}"/>
    <cellStyle name="Normal 5 2 2 2 4 4 3 3" xfId="33099" xr:uid="{4052C3F7-D0F6-4B0D-9689-A8BD4E876867}"/>
    <cellStyle name="Normal 5 2 2 2 4 4 3 4" xfId="24651" xr:uid="{6F11A0A3-CCDE-410F-B3CF-3198340E55A9}"/>
    <cellStyle name="Normal 5 2 2 2 4 4 3 5" xfId="15354" xr:uid="{33328FF3-743C-4916-97BB-4139F25F17AA}"/>
    <cellStyle name="Normal 5 2 2 2 4 4 4" xfId="37329" xr:uid="{D6B5C0C6-D226-4191-9B5E-26DEE234128F}"/>
    <cellStyle name="Normal 5 2 2 2 4 4 5" xfId="28881" xr:uid="{94623166-FAFA-4DBD-A70B-7793A5B1CD0B}"/>
    <cellStyle name="Normal 5 2 2 2 4 4 6" xfId="20434" xr:uid="{5FE2314E-160C-4984-9BF1-668D2CEEF207}"/>
    <cellStyle name="Normal 5 2 2 2 4 4 7" xfId="11137" xr:uid="{67CF8B49-9A4F-4ED6-8D2E-3D44CCCFD85B}"/>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44104" xr:uid="{E0B9317E-BFEF-4EB8-9D65-C58538474317}"/>
    <cellStyle name="Normal 5 2 2 2 4 5 2 2 3" xfId="35657" xr:uid="{959BF12E-922A-494B-B253-E2A5DE43C482}"/>
    <cellStyle name="Normal 5 2 2 2 4 5 2 2 4" xfId="27209" xr:uid="{7C2FB3CF-C17E-4B93-BDF2-99FF76723EB8}"/>
    <cellStyle name="Normal 5 2 2 2 4 5 2 2 5" xfId="17912" xr:uid="{A71A5934-7638-4980-AB61-6E7CDFCFA73B}"/>
    <cellStyle name="Normal 5 2 2 2 4 5 2 3" xfId="39887" xr:uid="{5904B5A3-673D-4341-B05E-B55DEA1B933C}"/>
    <cellStyle name="Normal 5 2 2 2 4 5 2 4" xfId="31439" xr:uid="{DA65ED97-867D-40F8-9381-C406C60F4BE8}"/>
    <cellStyle name="Normal 5 2 2 2 4 5 2 5" xfId="22992" xr:uid="{0536187C-BD69-4570-939F-625B24DE9AA3}"/>
    <cellStyle name="Normal 5 2 2 2 4 5 2 6" xfId="13695" xr:uid="{EA7BEA2A-9468-4AA4-8491-00DDB2EE03B7}"/>
    <cellStyle name="Normal 5 2 2 2 4 5 3" xfId="6441" xr:uid="{00000000-0005-0000-0000-000080170000}"/>
    <cellStyle name="Normal 5 2 2 2 4 5 3 2" xfId="41959" xr:uid="{88CD2673-FFA5-4547-A389-DC03DEC30E85}"/>
    <cellStyle name="Normal 5 2 2 2 4 5 3 3" xfId="33512" xr:uid="{FFA94396-361A-477C-9FBF-0A12F2168448}"/>
    <cellStyle name="Normal 5 2 2 2 4 5 3 4" xfId="25064" xr:uid="{BF19ACD3-C20B-4B50-99A5-AEFB98240B16}"/>
    <cellStyle name="Normal 5 2 2 2 4 5 3 5" xfId="15767" xr:uid="{2AF290AB-D8F6-4915-840B-41B8C0F90A56}"/>
    <cellStyle name="Normal 5 2 2 2 4 5 4" xfId="37742" xr:uid="{7478EA5A-DDFE-48CA-BE1E-29317355FBBB}"/>
    <cellStyle name="Normal 5 2 2 2 4 5 5" xfId="29294" xr:uid="{A7BEB9F6-286F-4184-8962-D01DAFCC1FE2}"/>
    <cellStyle name="Normal 5 2 2 2 4 5 6" xfId="20847" xr:uid="{27785D18-40F4-41FD-9D69-6F748348D4DE}"/>
    <cellStyle name="Normal 5 2 2 2 4 5 7" xfId="11550" xr:uid="{B8F1E1CE-FBC2-4BF3-A8B0-A2B200F3CEDC}"/>
    <cellStyle name="Normal 5 2 2 2 4 6" xfId="2571" xr:uid="{00000000-0005-0000-0000-000081170000}"/>
    <cellStyle name="Normal 5 2 2 2 4 6 2" xfId="6854" xr:uid="{00000000-0005-0000-0000-000082170000}"/>
    <cellStyle name="Normal 5 2 2 2 4 6 2 2" xfId="42372" xr:uid="{80730F8A-1F8A-4000-B437-761B92B1766E}"/>
    <cellStyle name="Normal 5 2 2 2 4 6 2 3" xfId="33925" xr:uid="{66F49993-15CA-46D5-AE38-4B0350EE3C1A}"/>
    <cellStyle name="Normal 5 2 2 2 4 6 2 4" xfId="25477" xr:uid="{1A6B414C-46E8-43AF-BE9C-6335A1A8BC03}"/>
    <cellStyle name="Normal 5 2 2 2 4 6 2 5" xfId="16180" xr:uid="{FE4DB81B-003E-44B3-AAD0-5C0773609794}"/>
    <cellStyle name="Normal 5 2 2 2 4 6 3" xfId="38155" xr:uid="{F56CEFFF-AF19-4600-BE81-66229BBB16AD}"/>
    <cellStyle name="Normal 5 2 2 2 4 6 4" xfId="29707" xr:uid="{06E4796F-BE1D-4190-92A5-4A8BC5D7CD96}"/>
    <cellStyle name="Normal 5 2 2 2 4 6 5" xfId="21260" xr:uid="{26796063-9CC4-436F-83E5-DA1B10B771CD}"/>
    <cellStyle name="Normal 5 2 2 2 4 6 6" xfId="11963" xr:uid="{E8B29C75-C484-4692-9750-C7A3B82734CE}"/>
    <cellStyle name="Normal 5 2 2 2 4 7" xfId="4789" xr:uid="{00000000-0005-0000-0000-000083170000}"/>
    <cellStyle name="Normal 5 2 2 2 4 7 2" xfId="40307" xr:uid="{EE10F211-5F2E-4022-B0F4-AA3467FD73A5}"/>
    <cellStyle name="Normal 5 2 2 2 4 7 3" xfId="31860" xr:uid="{FCD79B11-5A64-4788-845B-81ADC051237C}"/>
    <cellStyle name="Normal 5 2 2 2 4 7 4" xfId="23412" xr:uid="{ADB0F8C6-7313-4C13-BE69-D74984B6CD36}"/>
    <cellStyle name="Normal 5 2 2 2 4 7 5" xfId="14115" xr:uid="{30DE7698-5B94-48EF-82CD-C27B6A5E96AB}"/>
    <cellStyle name="Normal 5 2 2 2 4 8" xfId="8978" xr:uid="{5B5F86B4-BA0F-43A7-920A-E466FD014739}"/>
    <cellStyle name="Normal 5 2 2 2 4 8 2" xfId="36090" xr:uid="{A32F57C1-6E42-4C55-A00D-C398F6172C30}"/>
    <cellStyle name="Normal 5 2 2 2 4 8 3" xfId="18301" xr:uid="{EE8AE0B6-DB3D-4E72-9E03-902ADF46CB6C}"/>
    <cellStyle name="Normal 5 2 2 2 4 9" xfId="27642" xr:uid="{F4BDD68E-D0AA-4210-B826-E0F3F7867C20}"/>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42858" xr:uid="{17F5D18D-3D16-402E-A130-E2CC6D1FE40B}"/>
    <cellStyle name="Normal 5 2 2 2 5 2 2 3" xfId="34411" xr:uid="{167324C5-5D7A-43F4-875C-823B4046E04D}"/>
    <cellStyle name="Normal 5 2 2 2 5 2 2 4" xfId="25963" xr:uid="{E116A932-F216-49B6-8A3A-FD6D6407D51A}"/>
    <cellStyle name="Normal 5 2 2 2 5 2 2 5" xfId="16666" xr:uid="{CD4AFF8F-170D-462D-8D0A-84D7E313E5D6}"/>
    <cellStyle name="Normal 5 2 2 2 5 2 3" xfId="38641" xr:uid="{54C5359E-1C20-4825-9401-E58DC210A6A2}"/>
    <cellStyle name="Normal 5 2 2 2 5 2 4" xfId="30193" xr:uid="{51D91FFC-9F51-4D45-9431-02D711F01605}"/>
    <cellStyle name="Normal 5 2 2 2 5 2 5" xfId="21746" xr:uid="{224EC699-2AE1-43C5-97C7-2323A60DC8EE}"/>
    <cellStyle name="Normal 5 2 2 2 5 2 6" xfId="12449" xr:uid="{83CBBDE9-1C82-4589-9AE0-7F54C9FFDF3A}"/>
    <cellStyle name="Normal 5 2 2 2 5 3" xfId="5195" xr:uid="{00000000-0005-0000-0000-000087170000}"/>
    <cellStyle name="Normal 5 2 2 2 5 3 2" xfId="40713" xr:uid="{A3CB171B-920B-444D-9222-C104E195AB68}"/>
    <cellStyle name="Normal 5 2 2 2 5 3 3" xfId="32266" xr:uid="{E30BE95D-B9E4-4C3B-AD6A-DE818C89B1D6}"/>
    <cellStyle name="Normal 5 2 2 2 5 3 4" xfId="23818" xr:uid="{597E0CEE-F97F-4C6F-AA92-5ED006EFBCCC}"/>
    <cellStyle name="Normal 5 2 2 2 5 3 5" xfId="14521" xr:uid="{6B6BCC92-6411-4775-B1C8-D432A7B1E3DD}"/>
    <cellStyle name="Normal 5 2 2 2 5 4" xfId="9195" xr:uid="{A7E71EA0-2CA4-4918-870E-A32EEF45C61A}"/>
    <cellStyle name="Normal 5 2 2 2 5 4 2" xfId="36496" xr:uid="{E09C318F-3474-470D-9323-8AF3875ECB90}"/>
    <cellStyle name="Normal 5 2 2 2 5 4 3" xfId="18509" xr:uid="{FB380B04-B917-4BC1-8F52-BB08FBC80A27}"/>
    <cellStyle name="Normal 5 2 2 2 5 5" xfId="28048" xr:uid="{7CFCFC65-1C84-4932-A442-9E380506B947}"/>
    <cellStyle name="Normal 5 2 2 2 5 6" xfId="19601" xr:uid="{B8558D3B-5F82-4E05-BAEA-EFE045EE0D70}"/>
    <cellStyle name="Normal 5 2 2 2 5 7" xfId="10304" xr:uid="{E2548998-DC0E-4DF3-AFB6-7AA846F64065}"/>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43271" xr:uid="{2B3FF336-6AD8-4D40-94A6-A16446B26298}"/>
    <cellStyle name="Normal 5 2 2 2 6 2 2 3" xfId="34824" xr:uid="{C8F26EE4-1550-4B65-B094-416CDA4ED2C3}"/>
    <cellStyle name="Normal 5 2 2 2 6 2 2 4" xfId="26376" xr:uid="{D2EAEE24-C9EC-47EF-80D5-8E89945A13B5}"/>
    <cellStyle name="Normal 5 2 2 2 6 2 2 5" xfId="17079" xr:uid="{C0169E3E-E0D9-417C-85E8-6772A4FA8944}"/>
    <cellStyle name="Normal 5 2 2 2 6 2 3" xfId="39054" xr:uid="{D9A02734-81B2-4813-92A4-EF6D5CB77CA6}"/>
    <cellStyle name="Normal 5 2 2 2 6 2 4" xfId="30606" xr:uid="{8B62E3E5-856B-46BA-AA97-507DA9A18882}"/>
    <cellStyle name="Normal 5 2 2 2 6 2 5" xfId="22159" xr:uid="{9208A123-8ACD-403B-9A8D-04BCC4E77CD5}"/>
    <cellStyle name="Normal 5 2 2 2 6 2 6" xfId="12862" xr:uid="{0EA0C3FE-D378-4E3D-BB77-49E2CBFDD12D}"/>
    <cellStyle name="Normal 5 2 2 2 6 3" xfId="5608" xr:uid="{00000000-0005-0000-0000-00008B170000}"/>
    <cellStyle name="Normal 5 2 2 2 6 3 2" xfId="41126" xr:uid="{AE448D68-4EDA-44EE-9E54-D8B6BE093F89}"/>
    <cellStyle name="Normal 5 2 2 2 6 3 3" xfId="32679" xr:uid="{994B0B03-9C01-4446-93C5-B6ADAF45E735}"/>
    <cellStyle name="Normal 5 2 2 2 6 3 4" xfId="24231" xr:uid="{5521CC99-94FE-4CDE-BC02-9D1F0FFA9E86}"/>
    <cellStyle name="Normal 5 2 2 2 6 3 5" xfId="14934" xr:uid="{96F4D20A-2EF4-472B-92EF-80B4B8CB77BA}"/>
    <cellStyle name="Normal 5 2 2 2 6 4" xfId="36909" xr:uid="{23899DA9-0403-4A3A-9B74-6B2D21E2A4AA}"/>
    <cellStyle name="Normal 5 2 2 2 6 5" xfId="28461" xr:uid="{F7764B20-A6D7-4211-B93D-D30ADA6B2D6E}"/>
    <cellStyle name="Normal 5 2 2 2 6 6" xfId="20014" xr:uid="{5CA22582-918F-4FFD-B4BC-3BF21A09F10F}"/>
    <cellStyle name="Normal 5 2 2 2 6 7" xfId="10717" xr:uid="{25C0EC5E-ED47-4071-9F54-746373F73EE8}"/>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43684" xr:uid="{96930F8B-A463-46DA-BAC6-EFBF2D3C5947}"/>
    <cellStyle name="Normal 5 2 2 2 7 2 2 3" xfId="35237" xr:uid="{49DC483A-0F47-491F-B2BB-C081302C4886}"/>
    <cellStyle name="Normal 5 2 2 2 7 2 2 4" xfId="26789" xr:uid="{89B2C8BF-AD65-49FB-98D9-BC1B7B168115}"/>
    <cellStyle name="Normal 5 2 2 2 7 2 2 5" xfId="17492" xr:uid="{67F470EB-6B88-4549-A6BB-99FD9D94F472}"/>
    <cellStyle name="Normal 5 2 2 2 7 2 3" xfId="39467" xr:uid="{AE15EAFF-4062-4D8E-BC0D-26D51A2BD1E3}"/>
    <cellStyle name="Normal 5 2 2 2 7 2 4" xfId="31019" xr:uid="{CBB6E0A6-0BF0-485E-9C3D-B7D2ACEA4299}"/>
    <cellStyle name="Normal 5 2 2 2 7 2 5" xfId="22572" xr:uid="{481BAA7D-B51A-4B18-8D04-2C79E1C454DC}"/>
    <cellStyle name="Normal 5 2 2 2 7 2 6" xfId="13275" xr:uid="{11979859-4DC1-41E9-A2D0-A90082D4BED9}"/>
    <cellStyle name="Normal 5 2 2 2 7 3" xfId="6021" xr:uid="{00000000-0005-0000-0000-00008F170000}"/>
    <cellStyle name="Normal 5 2 2 2 7 3 2" xfId="41539" xr:uid="{CA903A81-332C-40F0-8508-4633A84F0A6C}"/>
    <cellStyle name="Normal 5 2 2 2 7 3 3" xfId="33092" xr:uid="{25B8781D-2EF8-4B1B-B3B1-7FDCCB7AA009}"/>
    <cellStyle name="Normal 5 2 2 2 7 3 4" xfId="24644" xr:uid="{5AE90688-1197-4723-914B-1B9EF77A385B}"/>
    <cellStyle name="Normal 5 2 2 2 7 3 5" xfId="15347" xr:uid="{89F43AB9-59B7-4C0D-BB26-4819AE02D7BD}"/>
    <cellStyle name="Normal 5 2 2 2 7 4" xfId="37322" xr:uid="{697DD922-7C30-451D-9219-7A8426FBA4B9}"/>
    <cellStyle name="Normal 5 2 2 2 7 5" xfId="28874" xr:uid="{7CA2F3F6-EF25-4D2D-A4D8-F3EE0265C5EE}"/>
    <cellStyle name="Normal 5 2 2 2 7 6" xfId="20427" xr:uid="{92D55CCF-A481-4D5F-B7C0-C4A773E4E4DB}"/>
    <cellStyle name="Normal 5 2 2 2 7 7" xfId="11130" xr:uid="{AAAD0BCB-B5F9-485E-9052-7309AA9AB18E}"/>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44097" xr:uid="{A0E9EA4D-F60A-4FC6-A70D-B9BE149F241B}"/>
    <cellStyle name="Normal 5 2 2 2 8 2 2 3" xfId="35650" xr:uid="{300D00B4-8738-4025-8C64-7E83AFE16011}"/>
    <cellStyle name="Normal 5 2 2 2 8 2 2 4" xfId="27202" xr:uid="{A22C6826-BC16-4E85-9BC8-E804747FF87B}"/>
    <cellStyle name="Normal 5 2 2 2 8 2 2 5" xfId="17905" xr:uid="{E6AA23C1-0522-4348-91E9-48C73BF1D51E}"/>
    <cellStyle name="Normal 5 2 2 2 8 2 3" xfId="39880" xr:uid="{D4AAF9F3-1FE4-4D56-9609-9E53194799B2}"/>
    <cellStyle name="Normal 5 2 2 2 8 2 4" xfId="31432" xr:uid="{B11FF60E-F53F-4AB0-B1E0-30F493C9353D}"/>
    <cellStyle name="Normal 5 2 2 2 8 2 5" xfId="22985" xr:uid="{AD1235BF-E3D1-4C0F-8F62-B2333637E1A4}"/>
    <cellStyle name="Normal 5 2 2 2 8 2 6" xfId="13688" xr:uid="{87B66D9E-7279-4515-A411-665145067A05}"/>
    <cellStyle name="Normal 5 2 2 2 8 3" xfId="6434" xr:uid="{00000000-0005-0000-0000-000093170000}"/>
    <cellStyle name="Normal 5 2 2 2 8 3 2" xfId="41952" xr:uid="{95D42A01-4D1C-438F-8996-38898B4EC85D}"/>
    <cellStyle name="Normal 5 2 2 2 8 3 3" xfId="33505" xr:uid="{A808E772-8D89-4567-9589-891EC22DA09E}"/>
    <cellStyle name="Normal 5 2 2 2 8 3 4" xfId="25057" xr:uid="{D168BBCC-0945-4B92-BDEB-0AB99EF7CD9A}"/>
    <cellStyle name="Normal 5 2 2 2 8 3 5" xfId="15760" xr:uid="{EEDE4997-F01A-47DB-ACEC-65283BD09DC2}"/>
    <cellStyle name="Normal 5 2 2 2 8 4" xfId="37735" xr:uid="{B4742916-BDFE-4EDB-83C9-D66A0140DD8E}"/>
    <cellStyle name="Normal 5 2 2 2 8 5" xfId="29287" xr:uid="{2E332482-8BF5-45FC-8B0A-27BCFB5ABA23}"/>
    <cellStyle name="Normal 5 2 2 2 8 6" xfId="20840" xr:uid="{F56A4ACF-8CB0-4B86-A3C3-A7CE6DDFF79B}"/>
    <cellStyle name="Normal 5 2 2 2 8 7" xfId="11543" xr:uid="{D5D257EF-8B7C-4C37-B524-AD10AADD0424}"/>
    <cellStyle name="Normal 5 2 2 2 9" xfId="2564" xr:uid="{00000000-0005-0000-0000-000094170000}"/>
    <cellStyle name="Normal 5 2 2 2 9 2" xfId="6847" xr:uid="{00000000-0005-0000-0000-000095170000}"/>
    <cellStyle name="Normal 5 2 2 2 9 2 2" xfId="42365" xr:uid="{1110E332-AC0C-4498-B9E0-30792891B1E6}"/>
    <cellStyle name="Normal 5 2 2 2 9 2 3" xfId="33918" xr:uid="{DEE283A1-4205-4CAD-A77E-D0C86F3F0D58}"/>
    <cellStyle name="Normal 5 2 2 2 9 2 4" xfId="25470" xr:uid="{657CB914-1993-4E48-928B-38B1377CDA98}"/>
    <cellStyle name="Normal 5 2 2 2 9 2 5" xfId="16173" xr:uid="{962F00FF-8F70-42AF-AEA2-F1C9521079FF}"/>
    <cellStyle name="Normal 5 2 2 2 9 3" xfId="38148" xr:uid="{0EB5966B-6CEF-4798-A6FC-0F4B9DF97FD8}"/>
    <cellStyle name="Normal 5 2 2 2 9 4" xfId="29700" xr:uid="{EB1C8409-A40A-4675-8A25-5FFC0F665AF3}"/>
    <cellStyle name="Normal 5 2 2 2 9 5" xfId="21253" xr:uid="{6967B621-7BD4-4F01-A613-49BD689959B7}"/>
    <cellStyle name="Normal 5 2 2 2 9 6" xfId="11956" xr:uid="{D847DDE4-9E3C-445F-B4A0-92083EB81F02}"/>
    <cellStyle name="Normal 5 2 2 3" xfId="417" xr:uid="{00000000-0005-0000-0000-000096170000}"/>
    <cellStyle name="Normal 5 2 2 3 10" xfId="8828" xr:uid="{5CED8211-F967-469B-812B-9DF6FC250177}"/>
    <cellStyle name="Normal 5 2 2 3 10 2" xfId="36091" xr:uid="{08280F2E-2B79-41CF-B80B-4B8CCAE9F69B}"/>
    <cellStyle name="Normal 5 2 2 3 10 3" xfId="18151" xr:uid="{2BD0CED3-E5B6-4912-9292-D78A947A1259}"/>
    <cellStyle name="Normal 5 2 2 3 11" xfId="27643" xr:uid="{E297CC4F-0A70-43F1-9EF6-EDDB3B48EB4E}"/>
    <cellStyle name="Normal 5 2 2 3 12" xfId="19196" xr:uid="{55B2D194-B71E-44B0-AD80-2B12BA988310}"/>
    <cellStyle name="Normal 5 2 2 3 13" xfId="9899" xr:uid="{241DFBA8-EBFC-4CAD-A977-44570682F19C}"/>
    <cellStyle name="Normal 5 2 2 3 2" xfId="418" xr:uid="{00000000-0005-0000-0000-000097170000}"/>
    <cellStyle name="Normal 5 2 2 3 2 10" xfId="27644" xr:uid="{C5C4EE6D-1CA1-4760-8837-A265511DEA88}"/>
    <cellStyle name="Normal 5 2 2 3 2 11" xfId="19197" xr:uid="{8F7329AF-28B9-4D64-8C65-43D209204170}"/>
    <cellStyle name="Normal 5 2 2 3 2 12" xfId="9900" xr:uid="{1331FABB-6601-498D-A863-E2410644EE78}"/>
    <cellStyle name="Normal 5 2 2 3 2 2" xfId="419" xr:uid="{00000000-0005-0000-0000-000098170000}"/>
    <cellStyle name="Normal 5 2 2 3 2 2 10" xfId="19198" xr:uid="{E24204A7-F133-46E8-8E64-F7C2E4352DC5}"/>
    <cellStyle name="Normal 5 2 2 3 2 2 11" xfId="9901" xr:uid="{EF5C147C-0051-4311-85C8-FADCF8988129}"/>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42868" xr:uid="{7874AF45-D370-4540-8FBC-C5589EDA36A4}"/>
    <cellStyle name="Normal 5 2 2 3 2 2 2 2 2 3" xfId="34421" xr:uid="{E97F63D9-A1A9-4156-A366-B3158D1F2288}"/>
    <cellStyle name="Normal 5 2 2 3 2 2 2 2 2 4" xfId="25973" xr:uid="{EBD80C7C-15D1-44D7-BD22-5D84A01AE1CE}"/>
    <cellStyle name="Normal 5 2 2 3 2 2 2 2 2 5" xfId="16676" xr:uid="{F1DF9D6B-9FDB-4740-8302-60E488B18201}"/>
    <cellStyle name="Normal 5 2 2 3 2 2 2 2 3" xfId="38651" xr:uid="{6EADF147-65DC-4888-BD91-3B43EA8D6D16}"/>
    <cellStyle name="Normal 5 2 2 3 2 2 2 2 4" xfId="30203" xr:uid="{1B5FE4DF-9608-4E03-BF1A-61255E5F3BA5}"/>
    <cellStyle name="Normal 5 2 2 3 2 2 2 2 5" xfId="21756" xr:uid="{86F43F1A-4576-4516-B843-482A1A9D88A7}"/>
    <cellStyle name="Normal 5 2 2 3 2 2 2 2 6" xfId="12459" xr:uid="{E9022066-9915-4290-83F9-AC63D997C4A4}"/>
    <cellStyle name="Normal 5 2 2 3 2 2 2 3" xfId="5205" xr:uid="{00000000-0005-0000-0000-00009C170000}"/>
    <cellStyle name="Normal 5 2 2 3 2 2 2 3 2" xfId="40723" xr:uid="{22B27485-759F-4BA8-A47B-3BB8609B1B32}"/>
    <cellStyle name="Normal 5 2 2 3 2 2 2 3 3" xfId="32276" xr:uid="{2E784B6C-905C-4F66-8AC5-4E0F99CEDE22}"/>
    <cellStyle name="Normal 5 2 2 3 2 2 2 3 4" xfId="23828" xr:uid="{C0C53294-3086-4074-B25A-0BA04A53591F}"/>
    <cellStyle name="Normal 5 2 2 3 2 2 2 3 5" xfId="14531" xr:uid="{70C23CCD-1062-4AC3-9710-5688AA78DF3B}"/>
    <cellStyle name="Normal 5 2 2 3 2 2 2 4" xfId="9563" xr:uid="{804E641C-B5FA-46A3-B805-C1D4AF390C28}"/>
    <cellStyle name="Normal 5 2 2 3 2 2 2 4 2" xfId="36506" xr:uid="{30AE8094-5B64-457E-84FA-E1FCB568E393}"/>
    <cellStyle name="Normal 5 2 2 3 2 2 2 4 3" xfId="18876" xr:uid="{E7368083-B10E-4C13-874B-0FA0C17249D6}"/>
    <cellStyle name="Normal 5 2 2 3 2 2 2 5" xfId="28058" xr:uid="{4782053B-6BB0-4EB1-92F4-7562E769E4F7}"/>
    <cellStyle name="Normal 5 2 2 3 2 2 2 6" xfId="19611" xr:uid="{0CFB48A0-B68D-4436-984A-845BB46C262F}"/>
    <cellStyle name="Normal 5 2 2 3 2 2 2 7" xfId="10314" xr:uid="{398D77F5-28D1-45C3-A81E-5E1C597282C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43281" xr:uid="{6D45DF4E-CE0D-457F-83A2-DDBC405E1968}"/>
    <cellStyle name="Normal 5 2 2 3 2 2 3 2 2 3" xfId="34834" xr:uid="{E45C147D-A935-4689-99EE-27E3F2CFFCA8}"/>
    <cellStyle name="Normal 5 2 2 3 2 2 3 2 2 4" xfId="26386" xr:uid="{759268FE-9ED3-43C1-B9CD-960CB8689C59}"/>
    <cellStyle name="Normal 5 2 2 3 2 2 3 2 2 5" xfId="17089" xr:uid="{52ABDD82-3D66-423D-BC5E-E10322E724EB}"/>
    <cellStyle name="Normal 5 2 2 3 2 2 3 2 3" xfId="39064" xr:uid="{48F035CD-59AD-450C-934D-68D44676AEEF}"/>
    <cellStyle name="Normal 5 2 2 3 2 2 3 2 4" xfId="30616" xr:uid="{843BAD81-EFF0-433D-AA33-92CB907F9EDC}"/>
    <cellStyle name="Normal 5 2 2 3 2 2 3 2 5" xfId="22169" xr:uid="{FA023172-9EF5-43E0-894B-DCEF31245ACB}"/>
    <cellStyle name="Normal 5 2 2 3 2 2 3 2 6" xfId="12872" xr:uid="{23142951-DF22-4460-9CAC-7325FA403553}"/>
    <cellStyle name="Normal 5 2 2 3 2 2 3 3" xfId="5618" xr:uid="{00000000-0005-0000-0000-0000A0170000}"/>
    <cellStyle name="Normal 5 2 2 3 2 2 3 3 2" xfId="41136" xr:uid="{83C19AC2-71B8-40FE-840A-F63DF18681CE}"/>
    <cellStyle name="Normal 5 2 2 3 2 2 3 3 3" xfId="32689" xr:uid="{09CC6EDB-D113-405E-AC58-4A6DE77ED282}"/>
    <cellStyle name="Normal 5 2 2 3 2 2 3 3 4" xfId="24241" xr:uid="{3B263A5F-36DF-484A-B107-6D4FA6A5D056}"/>
    <cellStyle name="Normal 5 2 2 3 2 2 3 3 5" xfId="14944" xr:uid="{0A9EF5AA-0FC9-41FA-B107-0C29753009E0}"/>
    <cellStyle name="Normal 5 2 2 3 2 2 3 4" xfId="36919" xr:uid="{8CA4B621-18A2-4E7C-ABD8-1BF69E6D51DB}"/>
    <cellStyle name="Normal 5 2 2 3 2 2 3 5" xfId="28471" xr:uid="{EA1B95D1-6C88-4D2D-A2C4-116DA92180CD}"/>
    <cellStyle name="Normal 5 2 2 3 2 2 3 6" xfId="20024" xr:uid="{12260EFE-239D-40C0-8D23-8A25510A04DF}"/>
    <cellStyle name="Normal 5 2 2 3 2 2 3 7" xfId="10727" xr:uid="{1C5B5DE8-6424-4CBF-9463-3B5E240135FD}"/>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43694" xr:uid="{F42D52C5-ABEE-4D14-B88A-008188726159}"/>
    <cellStyle name="Normal 5 2 2 3 2 2 4 2 2 3" xfId="35247" xr:uid="{F5A403AC-DACB-46F4-8199-58905627CC9B}"/>
    <cellStyle name="Normal 5 2 2 3 2 2 4 2 2 4" xfId="26799" xr:uid="{73B2CD85-09B2-4212-87D1-3C02F5061BB3}"/>
    <cellStyle name="Normal 5 2 2 3 2 2 4 2 2 5" xfId="17502" xr:uid="{F2842B45-90E6-40BC-99E1-863C1FC45BE7}"/>
    <cellStyle name="Normal 5 2 2 3 2 2 4 2 3" xfId="39477" xr:uid="{809C8B52-896C-4CBE-8263-76DA817B3C9B}"/>
    <cellStyle name="Normal 5 2 2 3 2 2 4 2 4" xfId="31029" xr:uid="{30839C4C-6386-4577-8438-E8D490873A90}"/>
    <cellStyle name="Normal 5 2 2 3 2 2 4 2 5" xfId="22582" xr:uid="{19247FF1-46F4-4DC9-AFAF-57E088E0BA05}"/>
    <cellStyle name="Normal 5 2 2 3 2 2 4 2 6" xfId="13285" xr:uid="{C72270FA-42F4-4307-B964-2D81DFCEAD56}"/>
    <cellStyle name="Normal 5 2 2 3 2 2 4 3" xfId="6031" xr:uid="{00000000-0005-0000-0000-0000A4170000}"/>
    <cellStyle name="Normal 5 2 2 3 2 2 4 3 2" xfId="41549" xr:uid="{03DCC904-F7BF-45D3-B6D2-69D244F1454D}"/>
    <cellStyle name="Normal 5 2 2 3 2 2 4 3 3" xfId="33102" xr:uid="{3E736CF8-7AC4-4F5A-BEB0-372286929372}"/>
    <cellStyle name="Normal 5 2 2 3 2 2 4 3 4" xfId="24654" xr:uid="{8934570F-A8E0-4379-89A4-0A3734569792}"/>
    <cellStyle name="Normal 5 2 2 3 2 2 4 3 5" xfId="15357" xr:uid="{3227172A-DCBF-4C43-9833-2D0CA33645F1}"/>
    <cellStyle name="Normal 5 2 2 3 2 2 4 4" xfId="37332" xr:uid="{09A21DC2-B30B-4E32-8994-082798D696FE}"/>
    <cellStyle name="Normal 5 2 2 3 2 2 4 5" xfId="28884" xr:uid="{AEF46E1B-8CAD-4FA2-A15F-7E04284BE20C}"/>
    <cellStyle name="Normal 5 2 2 3 2 2 4 6" xfId="20437" xr:uid="{E7CA17C2-E0A6-4ACF-A9D3-305916A9B1D7}"/>
    <cellStyle name="Normal 5 2 2 3 2 2 4 7" xfId="11140" xr:uid="{0B09C8E9-DA41-404C-8358-BFADC73B50DB}"/>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44107" xr:uid="{8F8D3722-F89A-4361-9119-DF57D7D60034}"/>
    <cellStyle name="Normal 5 2 2 3 2 2 5 2 2 3" xfId="35660" xr:uid="{BAE17998-0382-4FE9-A21E-3E9E8744F902}"/>
    <cellStyle name="Normal 5 2 2 3 2 2 5 2 2 4" xfId="27212" xr:uid="{67ECDF35-96AF-498B-824C-386209F89FDD}"/>
    <cellStyle name="Normal 5 2 2 3 2 2 5 2 2 5" xfId="17915" xr:uid="{190458B5-B498-4333-8448-0B490AADFCB9}"/>
    <cellStyle name="Normal 5 2 2 3 2 2 5 2 3" xfId="39890" xr:uid="{8FE3FF01-0417-4806-9EE2-C8EB4D16EAE3}"/>
    <cellStyle name="Normal 5 2 2 3 2 2 5 2 4" xfId="31442" xr:uid="{5409B259-F5B3-4ACC-A8C0-32F6A16BC537}"/>
    <cellStyle name="Normal 5 2 2 3 2 2 5 2 5" xfId="22995" xr:uid="{83873F98-AA6F-47F7-A806-D6A606E57584}"/>
    <cellStyle name="Normal 5 2 2 3 2 2 5 2 6" xfId="13698" xr:uid="{2A27F383-5D10-4FA9-B7CA-BD588B88D8EF}"/>
    <cellStyle name="Normal 5 2 2 3 2 2 5 3" xfId="6444" xr:uid="{00000000-0005-0000-0000-0000A8170000}"/>
    <cellStyle name="Normal 5 2 2 3 2 2 5 3 2" xfId="41962" xr:uid="{1047EC97-3974-4CDF-AC5F-8724CFB57D21}"/>
    <cellStyle name="Normal 5 2 2 3 2 2 5 3 3" xfId="33515" xr:uid="{EFE98B04-1273-4CAD-B709-063FFA8BF076}"/>
    <cellStyle name="Normal 5 2 2 3 2 2 5 3 4" xfId="25067" xr:uid="{7B9DDFFD-7DA5-4B15-ADC3-A601284AEB7C}"/>
    <cellStyle name="Normal 5 2 2 3 2 2 5 3 5" xfId="15770" xr:uid="{10EEE79E-FDDA-4179-86E8-BDD646C6E51B}"/>
    <cellStyle name="Normal 5 2 2 3 2 2 5 4" xfId="37745" xr:uid="{ECF58CCB-43C0-4F85-A68E-5397D5DBFB94}"/>
    <cellStyle name="Normal 5 2 2 3 2 2 5 5" xfId="29297" xr:uid="{396A7601-7DE3-4B80-B4F1-AFA347A0D6A4}"/>
    <cellStyle name="Normal 5 2 2 3 2 2 5 6" xfId="20850" xr:uid="{D43E2CCE-7FD1-44BB-BF41-D98528F69911}"/>
    <cellStyle name="Normal 5 2 2 3 2 2 5 7" xfId="11553" xr:uid="{DA987BAA-376D-49F1-A070-0B00880AC5FF}"/>
    <cellStyle name="Normal 5 2 2 3 2 2 6" xfId="2574" xr:uid="{00000000-0005-0000-0000-0000A9170000}"/>
    <cellStyle name="Normal 5 2 2 3 2 2 6 2" xfId="6857" xr:uid="{00000000-0005-0000-0000-0000AA170000}"/>
    <cellStyle name="Normal 5 2 2 3 2 2 6 2 2" xfId="42375" xr:uid="{E5413428-689C-4539-8C31-A6903A72CED1}"/>
    <cellStyle name="Normal 5 2 2 3 2 2 6 2 3" xfId="33928" xr:uid="{1C38305C-6103-4004-881F-714A007CC26C}"/>
    <cellStyle name="Normal 5 2 2 3 2 2 6 2 4" xfId="25480" xr:uid="{44400A23-6F30-495D-B42D-9F1439E5136D}"/>
    <cellStyle name="Normal 5 2 2 3 2 2 6 2 5" xfId="16183" xr:uid="{CA6881D7-A921-466F-82C7-9ADE1412E628}"/>
    <cellStyle name="Normal 5 2 2 3 2 2 6 3" xfId="38158" xr:uid="{DA7C8F86-8E6B-4888-9083-031DF7E5C698}"/>
    <cellStyle name="Normal 5 2 2 3 2 2 6 4" xfId="29710" xr:uid="{14F967A8-7FBF-458B-9970-42EBD12BBC67}"/>
    <cellStyle name="Normal 5 2 2 3 2 2 6 5" xfId="21263" xr:uid="{9577E0FC-A484-4985-A11A-F19F35B7CE1E}"/>
    <cellStyle name="Normal 5 2 2 3 2 2 6 6" xfId="11966" xr:uid="{98237294-FE50-4E2B-8C76-2CB4A3255EFC}"/>
    <cellStyle name="Normal 5 2 2 3 2 2 7" xfId="4792" xr:uid="{00000000-0005-0000-0000-0000AB170000}"/>
    <cellStyle name="Normal 5 2 2 3 2 2 7 2" xfId="40310" xr:uid="{AD70B190-98C3-4536-BFDC-552BBACA43C4}"/>
    <cellStyle name="Normal 5 2 2 3 2 2 7 3" xfId="31863" xr:uid="{D527AFA7-7075-4104-AA1B-DDE8299A71E3}"/>
    <cellStyle name="Normal 5 2 2 3 2 2 7 4" xfId="23415" xr:uid="{4D16B6F1-D674-4CD3-95D0-87CDC53EDF52}"/>
    <cellStyle name="Normal 5 2 2 3 2 2 7 5" xfId="14118" xr:uid="{0D640C71-2249-4B79-AC63-F45D6BE9A225}"/>
    <cellStyle name="Normal 5 2 2 3 2 2 8" xfId="9138" xr:uid="{BE73D583-3CAB-48A9-8A6F-E88EE69D1D1D}"/>
    <cellStyle name="Normal 5 2 2 3 2 2 8 2" xfId="36093" xr:uid="{EC789F1B-FE86-4D0C-8AD8-4F414274FC82}"/>
    <cellStyle name="Normal 5 2 2 3 2 2 8 3" xfId="18461" xr:uid="{57FBEEAA-34EA-4EAF-8394-34CDBC17159F}"/>
    <cellStyle name="Normal 5 2 2 3 2 2 9" xfId="27645" xr:uid="{C68C9DD6-52B4-42FA-8D90-6498A0E50EA7}"/>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42867" xr:uid="{7C5EEBA1-8AB4-4C3D-B8FB-3BEAFA3CB3D0}"/>
    <cellStyle name="Normal 5 2 2 3 2 3 2 2 3" xfId="34420" xr:uid="{A8189B5D-8E22-4DB8-B096-5A6ECEB22B7B}"/>
    <cellStyle name="Normal 5 2 2 3 2 3 2 2 4" xfId="25972" xr:uid="{3F8A6201-50E6-43DE-8074-5A0ED81D6247}"/>
    <cellStyle name="Normal 5 2 2 3 2 3 2 2 5" xfId="16675" xr:uid="{677D75ED-8C3F-42E2-B100-F88749B10703}"/>
    <cellStyle name="Normal 5 2 2 3 2 3 2 3" xfId="38650" xr:uid="{A341EEC9-9304-4286-8EDE-996A81351E40}"/>
    <cellStyle name="Normal 5 2 2 3 2 3 2 4" xfId="30202" xr:uid="{93FF47A2-4B5D-404D-BD04-1CBEDEAA1619}"/>
    <cellStyle name="Normal 5 2 2 3 2 3 2 5" xfId="21755" xr:uid="{D5CEC697-BF78-420B-AFB2-B43F9191ACD0}"/>
    <cellStyle name="Normal 5 2 2 3 2 3 2 6" xfId="12458" xr:uid="{620F3DC3-B219-434E-9B08-F62A72D1B048}"/>
    <cellStyle name="Normal 5 2 2 3 2 3 3" xfId="5204" xr:uid="{00000000-0005-0000-0000-0000AF170000}"/>
    <cellStyle name="Normal 5 2 2 3 2 3 3 2" xfId="40722" xr:uid="{B0372B8A-3860-4E29-A6C3-18D2FFFACE96}"/>
    <cellStyle name="Normal 5 2 2 3 2 3 3 3" xfId="32275" xr:uid="{AC3593D4-8469-4EF4-A7DC-4EAD25B51070}"/>
    <cellStyle name="Normal 5 2 2 3 2 3 3 4" xfId="23827" xr:uid="{16879DC4-FE9E-4146-8026-A1C8CB170C16}"/>
    <cellStyle name="Normal 5 2 2 3 2 3 3 5" xfId="14530" xr:uid="{8F048DD0-558B-4103-BBBA-5FF1D744B8C8}"/>
    <cellStyle name="Normal 5 2 2 3 2 3 4" xfId="9356" xr:uid="{58BAA3B3-A7A2-4F6F-9929-D8BE9F0A557D}"/>
    <cellStyle name="Normal 5 2 2 3 2 3 4 2" xfId="36505" xr:uid="{E302E2FF-69B5-4A43-BC04-5BD6B74FA71B}"/>
    <cellStyle name="Normal 5 2 2 3 2 3 4 3" xfId="18669" xr:uid="{8D5DC93D-5782-42ED-AEF0-46EDB61B5160}"/>
    <cellStyle name="Normal 5 2 2 3 2 3 5" xfId="28057" xr:uid="{BFC9FECD-04BA-4789-935B-AE29584CD153}"/>
    <cellStyle name="Normal 5 2 2 3 2 3 6" xfId="19610" xr:uid="{DFC3FBEE-C2DB-4E0D-9091-7B56D7C1B592}"/>
    <cellStyle name="Normal 5 2 2 3 2 3 7" xfId="10313" xr:uid="{11472B3C-C427-4D92-B64A-9BFFBB21414B}"/>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43280" xr:uid="{FB488563-BADC-4799-85A8-D748A7891A3E}"/>
    <cellStyle name="Normal 5 2 2 3 2 4 2 2 3" xfId="34833" xr:uid="{4F14CDCD-6B45-41E5-9903-B699CF57D952}"/>
    <cellStyle name="Normal 5 2 2 3 2 4 2 2 4" xfId="26385" xr:uid="{BED85B98-438B-475F-AA3D-AA3893ADA601}"/>
    <cellStyle name="Normal 5 2 2 3 2 4 2 2 5" xfId="17088" xr:uid="{ADE10EA2-9B56-436D-B833-D6FF41F4FD0D}"/>
    <cellStyle name="Normal 5 2 2 3 2 4 2 3" xfId="39063" xr:uid="{F2005B6C-8AB3-4D8F-A9E2-033D96FF4BD4}"/>
    <cellStyle name="Normal 5 2 2 3 2 4 2 4" xfId="30615" xr:uid="{58936C29-B14A-466E-BEE9-E5809B86D7B6}"/>
    <cellStyle name="Normal 5 2 2 3 2 4 2 5" xfId="22168" xr:uid="{5537F902-335D-44B0-B550-27FF2E6ADA5E}"/>
    <cellStyle name="Normal 5 2 2 3 2 4 2 6" xfId="12871" xr:uid="{D36AF42F-96EC-4892-87D0-942E668F5593}"/>
    <cellStyle name="Normal 5 2 2 3 2 4 3" xfId="5617" xr:uid="{00000000-0005-0000-0000-0000B3170000}"/>
    <cellStyle name="Normal 5 2 2 3 2 4 3 2" xfId="41135" xr:uid="{F6EDF2B1-0F39-43CF-AA8C-1E7960C3EEEE}"/>
    <cellStyle name="Normal 5 2 2 3 2 4 3 3" xfId="32688" xr:uid="{F930730C-6DA5-4DF8-82DD-EAB53F5236BD}"/>
    <cellStyle name="Normal 5 2 2 3 2 4 3 4" xfId="24240" xr:uid="{38A05502-11C8-473B-B9D0-366A61AB2D10}"/>
    <cellStyle name="Normal 5 2 2 3 2 4 3 5" xfId="14943" xr:uid="{541026CF-1C5E-45F9-BE98-334F8B8EDF8D}"/>
    <cellStyle name="Normal 5 2 2 3 2 4 4" xfId="36918" xr:uid="{25269EF7-6BAC-4EBE-B218-460D0D0D400A}"/>
    <cellStyle name="Normal 5 2 2 3 2 4 5" xfId="28470" xr:uid="{A7909B47-4E8E-4A3B-A5F2-CB4AC98541CC}"/>
    <cellStyle name="Normal 5 2 2 3 2 4 6" xfId="20023" xr:uid="{5653964F-B635-448E-9293-C116477EECD0}"/>
    <cellStyle name="Normal 5 2 2 3 2 4 7" xfId="10726" xr:uid="{63B531AB-670D-4695-9DBC-B62207387EFB}"/>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43693" xr:uid="{5314DC0E-AB81-46B3-A7B5-08D2A809DC47}"/>
    <cellStyle name="Normal 5 2 2 3 2 5 2 2 3" xfId="35246" xr:uid="{533E0B5D-B615-43B6-8AC2-015DB3087FF0}"/>
    <cellStyle name="Normal 5 2 2 3 2 5 2 2 4" xfId="26798" xr:uid="{436EC560-2F7E-4996-A1D4-678B0F10B4AC}"/>
    <cellStyle name="Normal 5 2 2 3 2 5 2 2 5" xfId="17501" xr:uid="{CDDA336C-AC33-45E8-910B-28710A069A1F}"/>
    <cellStyle name="Normal 5 2 2 3 2 5 2 3" xfId="39476" xr:uid="{023E6768-96AF-4275-9E30-0FC709C69344}"/>
    <cellStyle name="Normal 5 2 2 3 2 5 2 4" xfId="31028" xr:uid="{A39D4ECE-FC33-4697-8BFB-4F9CAC51283F}"/>
    <cellStyle name="Normal 5 2 2 3 2 5 2 5" xfId="22581" xr:uid="{72F2CB85-6B68-45F4-8316-122855CE6D7D}"/>
    <cellStyle name="Normal 5 2 2 3 2 5 2 6" xfId="13284" xr:uid="{24398244-1D88-44B8-9F44-9D84CD5AE90A}"/>
    <cellStyle name="Normal 5 2 2 3 2 5 3" xfId="6030" xr:uid="{00000000-0005-0000-0000-0000B7170000}"/>
    <cellStyle name="Normal 5 2 2 3 2 5 3 2" xfId="41548" xr:uid="{E486E2A3-4752-4AEC-B7DA-A98CA03033F1}"/>
    <cellStyle name="Normal 5 2 2 3 2 5 3 3" xfId="33101" xr:uid="{0B37D558-3542-4980-B20B-C58401739294}"/>
    <cellStyle name="Normal 5 2 2 3 2 5 3 4" xfId="24653" xr:uid="{11D6854D-6612-4CDE-968C-D54938C125A0}"/>
    <cellStyle name="Normal 5 2 2 3 2 5 3 5" xfId="15356" xr:uid="{F855645E-5958-4696-BEAE-E2452D8AB5FC}"/>
    <cellStyle name="Normal 5 2 2 3 2 5 4" xfId="37331" xr:uid="{ADA46629-0739-4ADC-B064-0280B096CAC8}"/>
    <cellStyle name="Normal 5 2 2 3 2 5 5" xfId="28883" xr:uid="{96DC3F8C-DBFF-4DC7-87D1-E61951D61F1A}"/>
    <cellStyle name="Normal 5 2 2 3 2 5 6" xfId="20436" xr:uid="{C33D6FAE-EE2C-4EDB-9942-0A71448BF939}"/>
    <cellStyle name="Normal 5 2 2 3 2 5 7" xfId="11139" xr:uid="{C973A75F-CCAA-4D25-959D-DF8C39808B31}"/>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44106" xr:uid="{A401476D-A507-44CD-BC32-A30B8F465AAE}"/>
    <cellStyle name="Normal 5 2 2 3 2 6 2 2 3" xfId="35659" xr:uid="{FEA28717-E18A-44E6-B261-F54CCB0C5DDD}"/>
    <cellStyle name="Normal 5 2 2 3 2 6 2 2 4" xfId="27211" xr:uid="{8F2660EB-E767-475F-8B3B-027F34BFD43A}"/>
    <cellStyle name="Normal 5 2 2 3 2 6 2 2 5" xfId="17914" xr:uid="{11394B9F-ECF0-49F9-A720-0D3525DECAA9}"/>
    <cellStyle name="Normal 5 2 2 3 2 6 2 3" xfId="39889" xr:uid="{D6B789F6-0608-49AF-AC33-84EEDB668EAB}"/>
    <cellStyle name="Normal 5 2 2 3 2 6 2 4" xfId="31441" xr:uid="{3CDB529C-BBED-409B-8F06-ACEA1FB2FED2}"/>
    <cellStyle name="Normal 5 2 2 3 2 6 2 5" xfId="22994" xr:uid="{165AC8FC-1EA9-43AC-949F-7A4A733B24B5}"/>
    <cellStyle name="Normal 5 2 2 3 2 6 2 6" xfId="13697" xr:uid="{6D531742-C286-44EF-B9EB-991CF180D34B}"/>
    <cellStyle name="Normal 5 2 2 3 2 6 3" xfId="6443" xr:uid="{00000000-0005-0000-0000-0000BB170000}"/>
    <cellStyle name="Normal 5 2 2 3 2 6 3 2" xfId="41961" xr:uid="{C03EAE8F-3E8E-4D41-935C-0CDE91C5A9F4}"/>
    <cellStyle name="Normal 5 2 2 3 2 6 3 3" xfId="33514" xr:uid="{608218F9-8406-4B62-BCE6-FB36C31A2BDC}"/>
    <cellStyle name="Normal 5 2 2 3 2 6 3 4" xfId="25066" xr:uid="{BD8FE7CB-DA69-415D-BDF2-4C5692A62BA7}"/>
    <cellStyle name="Normal 5 2 2 3 2 6 3 5" xfId="15769" xr:uid="{985418E7-1CED-40F6-BD38-442AD569BE32}"/>
    <cellStyle name="Normal 5 2 2 3 2 6 4" xfId="37744" xr:uid="{D8E614EF-D14C-45D1-A1CC-6A2A38DC035F}"/>
    <cellStyle name="Normal 5 2 2 3 2 6 5" xfId="29296" xr:uid="{32B5B4D7-DCBF-46A7-B7DC-74FBEF43AC86}"/>
    <cellStyle name="Normal 5 2 2 3 2 6 6" xfId="20849" xr:uid="{D4656A1F-7569-43F5-B9C5-C96D6328C372}"/>
    <cellStyle name="Normal 5 2 2 3 2 6 7" xfId="11552" xr:uid="{9142D2E4-BB78-4283-8B55-1742A80DF953}"/>
    <cellStyle name="Normal 5 2 2 3 2 7" xfId="2573" xr:uid="{00000000-0005-0000-0000-0000BC170000}"/>
    <cellStyle name="Normal 5 2 2 3 2 7 2" xfId="6856" xr:uid="{00000000-0005-0000-0000-0000BD170000}"/>
    <cellStyle name="Normal 5 2 2 3 2 7 2 2" xfId="42374" xr:uid="{00890344-EBC5-409A-8305-7D04E7564D50}"/>
    <cellStyle name="Normal 5 2 2 3 2 7 2 3" xfId="33927" xr:uid="{3696ABA7-B56C-4D1B-9873-C3AD96408852}"/>
    <cellStyle name="Normal 5 2 2 3 2 7 2 4" xfId="25479" xr:uid="{52F96906-0C85-4510-87B0-6569F96FE3F8}"/>
    <cellStyle name="Normal 5 2 2 3 2 7 2 5" xfId="16182" xr:uid="{610766C2-1C5B-45AB-80F1-18AF6FBE041D}"/>
    <cellStyle name="Normal 5 2 2 3 2 7 3" xfId="38157" xr:uid="{A1F20C15-8F72-456D-A6F4-98CF23AAFBF6}"/>
    <cellStyle name="Normal 5 2 2 3 2 7 4" xfId="29709" xr:uid="{155378F7-FB4D-49A1-B952-732E2C203F80}"/>
    <cellStyle name="Normal 5 2 2 3 2 7 5" xfId="21262" xr:uid="{E1AEDE80-99CB-4CB5-8F5C-FFEF61D9C170}"/>
    <cellStyle name="Normal 5 2 2 3 2 7 6" xfId="11965" xr:uid="{21D10E52-14F9-47FE-99D7-A04CD45F49F6}"/>
    <cellStyle name="Normal 5 2 2 3 2 8" xfId="4791" xr:uid="{00000000-0005-0000-0000-0000BE170000}"/>
    <cellStyle name="Normal 5 2 2 3 2 8 2" xfId="40309" xr:uid="{7DD07AA7-3DA8-4BC9-B2BB-CD965AB9B183}"/>
    <cellStyle name="Normal 5 2 2 3 2 8 3" xfId="31862" xr:uid="{0A4F08BC-D15B-4ED1-A125-D79681F20F51}"/>
    <cellStyle name="Normal 5 2 2 3 2 8 4" xfId="23414" xr:uid="{FF46A336-42EA-4096-8BB9-95C320156F65}"/>
    <cellStyle name="Normal 5 2 2 3 2 8 5" xfId="14117" xr:uid="{F0DA30B6-30A5-4216-920C-ABB3C1711F8B}"/>
    <cellStyle name="Normal 5 2 2 3 2 9" xfId="8931" xr:uid="{E27E09D3-2564-4B82-8EA4-A27330B6B436}"/>
    <cellStyle name="Normal 5 2 2 3 2 9 2" xfId="36092" xr:uid="{D14D9A28-8D80-48AD-B4C4-054FD1F11073}"/>
    <cellStyle name="Normal 5 2 2 3 2 9 3" xfId="18254" xr:uid="{A9950081-4854-4526-BFD4-6A62D9E6B23D}"/>
    <cellStyle name="Normal 5 2 2 3 3" xfId="420" xr:uid="{00000000-0005-0000-0000-0000BF170000}"/>
    <cellStyle name="Normal 5 2 2 3 3 10" xfId="19199" xr:uid="{56A57D6B-3EE0-49B3-990A-EC08CCA0099F}"/>
    <cellStyle name="Normal 5 2 2 3 3 11" xfId="9902" xr:uid="{7C033919-D51B-4DEB-8FC2-BFA6A566CA2D}"/>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42869" xr:uid="{5603BE44-4E22-4238-ABC5-20DCFD43D022}"/>
    <cellStyle name="Normal 5 2 2 3 3 2 2 2 3" xfId="34422" xr:uid="{2A3EBE89-5572-486E-97A8-CFF0A9AE6574}"/>
    <cellStyle name="Normal 5 2 2 3 3 2 2 2 4" xfId="25974" xr:uid="{A48160A9-FF55-4393-A882-B8E5403C9190}"/>
    <cellStyle name="Normal 5 2 2 3 3 2 2 2 5" xfId="16677" xr:uid="{73CD6E56-8AE0-4282-B952-4804BE4463F9}"/>
    <cellStyle name="Normal 5 2 2 3 3 2 2 3" xfId="38652" xr:uid="{53DD10B8-352A-44A6-BA01-D1FDEF5A065A}"/>
    <cellStyle name="Normal 5 2 2 3 3 2 2 4" xfId="30204" xr:uid="{542D005E-9BA3-4176-A42F-395D74E82873}"/>
    <cellStyle name="Normal 5 2 2 3 3 2 2 5" xfId="21757" xr:uid="{9C31E898-FBD3-4DAE-B0FC-E1B6263A62EE}"/>
    <cellStyle name="Normal 5 2 2 3 3 2 2 6" xfId="12460" xr:uid="{FEBFD93E-0C3F-4B55-842A-270BC8926996}"/>
    <cellStyle name="Normal 5 2 2 3 3 2 3" xfId="5206" xr:uid="{00000000-0005-0000-0000-0000C3170000}"/>
    <cellStyle name="Normal 5 2 2 3 3 2 3 2" xfId="40724" xr:uid="{50564FFA-E1CE-4F65-8E67-F51B010EAA40}"/>
    <cellStyle name="Normal 5 2 2 3 3 2 3 3" xfId="32277" xr:uid="{7788799A-B395-4AA2-AF50-EBD97ED9BE5F}"/>
    <cellStyle name="Normal 5 2 2 3 3 2 3 4" xfId="23829" xr:uid="{1B6A393A-E11D-4C82-AC16-E8FFED274E23}"/>
    <cellStyle name="Normal 5 2 2 3 3 2 3 5" xfId="14532" xr:uid="{EC7B9681-3335-41D7-ADCE-33BC0D14DE37}"/>
    <cellStyle name="Normal 5 2 2 3 3 2 4" xfId="9460" xr:uid="{423E0BE9-24F3-4EF0-8962-2565594BF831}"/>
    <cellStyle name="Normal 5 2 2 3 3 2 4 2" xfId="36507" xr:uid="{ED7AF8FB-8839-4ADF-9CE6-A936B3871DD0}"/>
    <cellStyle name="Normal 5 2 2 3 3 2 4 3" xfId="18773" xr:uid="{3238C3E3-0106-4B29-BF5F-6785B8C39FA0}"/>
    <cellStyle name="Normal 5 2 2 3 3 2 5" xfId="28059" xr:uid="{9A308305-A5F3-4886-A6F1-990FBF98A31E}"/>
    <cellStyle name="Normal 5 2 2 3 3 2 6" xfId="19612" xr:uid="{8A540C46-C3A3-40E8-A2A1-0B6B4235011C}"/>
    <cellStyle name="Normal 5 2 2 3 3 2 7" xfId="10315" xr:uid="{4F9D04C8-A4E0-4D88-9245-D1E4EE566904}"/>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43282" xr:uid="{68782C92-2CF4-47F1-BB04-4F1CAA6EFBBE}"/>
    <cellStyle name="Normal 5 2 2 3 3 3 2 2 3" xfId="34835" xr:uid="{BF7318BD-D7B6-4040-8EF4-04B7A26379F0}"/>
    <cellStyle name="Normal 5 2 2 3 3 3 2 2 4" xfId="26387" xr:uid="{8C600C4D-026D-49E0-8B3A-EED62B3924F1}"/>
    <cellStyle name="Normal 5 2 2 3 3 3 2 2 5" xfId="17090" xr:uid="{546B2CB8-B642-4B01-80FB-8A6EE9CF200B}"/>
    <cellStyle name="Normal 5 2 2 3 3 3 2 3" xfId="39065" xr:uid="{8B1116FB-F65F-4E39-A473-1CB801A0B358}"/>
    <cellStyle name="Normal 5 2 2 3 3 3 2 4" xfId="30617" xr:uid="{1E267D22-08B1-4F03-A55B-02F3AD013360}"/>
    <cellStyle name="Normal 5 2 2 3 3 3 2 5" xfId="22170" xr:uid="{A86DB842-7CAC-45A0-AC18-8134A7A97AEE}"/>
    <cellStyle name="Normal 5 2 2 3 3 3 2 6" xfId="12873" xr:uid="{C890C19B-12E3-44A9-A789-01A3CCDB8E75}"/>
    <cellStyle name="Normal 5 2 2 3 3 3 3" xfId="5619" xr:uid="{00000000-0005-0000-0000-0000C7170000}"/>
    <cellStyle name="Normal 5 2 2 3 3 3 3 2" xfId="41137" xr:uid="{93326D15-A333-460D-8AD2-92A57BCD5967}"/>
    <cellStyle name="Normal 5 2 2 3 3 3 3 3" xfId="32690" xr:uid="{4617FEF6-708D-45E4-967D-2F33CDA6AAF9}"/>
    <cellStyle name="Normal 5 2 2 3 3 3 3 4" xfId="24242" xr:uid="{406B4544-0299-4247-A1B6-36F56001A3C1}"/>
    <cellStyle name="Normal 5 2 2 3 3 3 3 5" xfId="14945" xr:uid="{AA72B721-BCD0-4550-BAE8-A22EE89E52BB}"/>
    <cellStyle name="Normal 5 2 2 3 3 3 4" xfId="36920" xr:uid="{BE2C9F6B-5A97-44F8-B247-C5BA8CF843E3}"/>
    <cellStyle name="Normal 5 2 2 3 3 3 5" xfId="28472" xr:uid="{FBF1FA04-B8C6-455B-A406-71AC69A82D46}"/>
    <cellStyle name="Normal 5 2 2 3 3 3 6" xfId="20025" xr:uid="{6CA4D401-F8BC-4ADB-BCAE-1CE47C350337}"/>
    <cellStyle name="Normal 5 2 2 3 3 3 7" xfId="10728" xr:uid="{73ED927A-0880-4036-B294-8F9468F56FC5}"/>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43695" xr:uid="{E03ABCFC-ACA6-49EC-9D97-98667760ABF2}"/>
    <cellStyle name="Normal 5 2 2 3 3 4 2 2 3" xfId="35248" xr:uid="{0E7F5C8B-01D6-4551-A495-9D8A5E62A1C1}"/>
    <cellStyle name="Normal 5 2 2 3 3 4 2 2 4" xfId="26800" xr:uid="{E8D2CC36-F36D-4634-A9C1-8AD86BFB9061}"/>
    <cellStyle name="Normal 5 2 2 3 3 4 2 2 5" xfId="17503" xr:uid="{EC8501BE-086E-4D4B-BBE2-5B1559F8B593}"/>
    <cellStyle name="Normal 5 2 2 3 3 4 2 3" xfId="39478" xr:uid="{FBD558EF-A6C3-4B23-8A63-AC36D508290F}"/>
    <cellStyle name="Normal 5 2 2 3 3 4 2 4" xfId="31030" xr:uid="{B2182A84-9223-4C2D-B7F6-6F440A849B21}"/>
    <cellStyle name="Normal 5 2 2 3 3 4 2 5" xfId="22583" xr:uid="{E2BF43FF-3309-47FD-8132-4344240399F6}"/>
    <cellStyle name="Normal 5 2 2 3 3 4 2 6" xfId="13286" xr:uid="{7B73EB77-A48B-43BF-AE9C-3D157CA99E09}"/>
    <cellStyle name="Normal 5 2 2 3 3 4 3" xfId="6032" xr:uid="{00000000-0005-0000-0000-0000CB170000}"/>
    <cellStyle name="Normal 5 2 2 3 3 4 3 2" xfId="41550" xr:uid="{4136B38A-754C-4579-98B3-A9E30860B424}"/>
    <cellStyle name="Normal 5 2 2 3 3 4 3 3" xfId="33103" xr:uid="{6CA56F63-12A4-4AA1-8904-7842D57FA196}"/>
    <cellStyle name="Normal 5 2 2 3 3 4 3 4" xfId="24655" xr:uid="{693D40FB-B021-4E7B-9C89-C83222F6671C}"/>
    <cellStyle name="Normal 5 2 2 3 3 4 3 5" xfId="15358" xr:uid="{980AE357-B792-4DD6-8BE1-A5BF772EAAAB}"/>
    <cellStyle name="Normal 5 2 2 3 3 4 4" xfId="37333" xr:uid="{3596E8A5-63B1-4AC7-8742-1672A1EEF331}"/>
    <cellStyle name="Normal 5 2 2 3 3 4 5" xfId="28885" xr:uid="{D345ED59-99B6-4EC3-BDFF-337A33BDC384}"/>
    <cellStyle name="Normal 5 2 2 3 3 4 6" xfId="20438" xr:uid="{45C3A232-BF7A-4ECF-A2D0-96A7580022D7}"/>
    <cellStyle name="Normal 5 2 2 3 3 4 7" xfId="11141" xr:uid="{37D13616-C7ED-4D42-A667-EB704DFE5B7D}"/>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44108" xr:uid="{1D921465-27D4-420A-8F43-60CA5E348B94}"/>
    <cellStyle name="Normal 5 2 2 3 3 5 2 2 3" xfId="35661" xr:uid="{C49D8B0B-C8AA-46A1-AC3E-D4BC7116511F}"/>
    <cellStyle name="Normal 5 2 2 3 3 5 2 2 4" xfId="27213" xr:uid="{9B41A899-00C7-4A33-B2CE-B6B406171CD3}"/>
    <cellStyle name="Normal 5 2 2 3 3 5 2 2 5" xfId="17916" xr:uid="{622C12E7-376D-4D06-A268-220B64268F34}"/>
    <cellStyle name="Normal 5 2 2 3 3 5 2 3" xfId="39891" xr:uid="{B76DEE88-03AB-4716-B4B0-88EDE16FFAFA}"/>
    <cellStyle name="Normal 5 2 2 3 3 5 2 4" xfId="31443" xr:uid="{505F386F-28EE-40F0-875E-E52F1E541E22}"/>
    <cellStyle name="Normal 5 2 2 3 3 5 2 5" xfId="22996" xr:uid="{A4040E99-7146-4D58-892C-7816355325D3}"/>
    <cellStyle name="Normal 5 2 2 3 3 5 2 6" xfId="13699" xr:uid="{00BBFBC5-BB24-474F-AB0B-3A86815F0B85}"/>
    <cellStyle name="Normal 5 2 2 3 3 5 3" xfId="6445" xr:uid="{00000000-0005-0000-0000-0000CF170000}"/>
    <cellStyle name="Normal 5 2 2 3 3 5 3 2" xfId="41963" xr:uid="{B0ED88BA-9CFC-4B84-8C17-E097E23F6F65}"/>
    <cellStyle name="Normal 5 2 2 3 3 5 3 3" xfId="33516" xr:uid="{E0630DB7-75B0-4684-BFC1-1160A48BC3F7}"/>
    <cellStyle name="Normal 5 2 2 3 3 5 3 4" xfId="25068" xr:uid="{24D22C03-C5AD-432A-8318-8985D799D776}"/>
    <cellStyle name="Normal 5 2 2 3 3 5 3 5" xfId="15771" xr:uid="{52D234D0-F547-4B8E-ABE7-E0ADA1BAE388}"/>
    <cellStyle name="Normal 5 2 2 3 3 5 4" xfId="37746" xr:uid="{2BEB42A2-EE2F-47CD-AA6B-C867EEB85044}"/>
    <cellStyle name="Normal 5 2 2 3 3 5 5" xfId="29298" xr:uid="{0BABB002-D2DD-4B29-AEDD-6B9B626E3E3C}"/>
    <cellStyle name="Normal 5 2 2 3 3 5 6" xfId="20851" xr:uid="{F3E4D64C-D5FA-4DAC-9B14-0F26CA42E107}"/>
    <cellStyle name="Normal 5 2 2 3 3 5 7" xfId="11554" xr:uid="{2230C6F6-C9C8-411C-974E-F135F91A5D83}"/>
    <cellStyle name="Normal 5 2 2 3 3 6" xfId="2575" xr:uid="{00000000-0005-0000-0000-0000D0170000}"/>
    <cellStyle name="Normal 5 2 2 3 3 6 2" xfId="6858" xr:uid="{00000000-0005-0000-0000-0000D1170000}"/>
    <cellStyle name="Normal 5 2 2 3 3 6 2 2" xfId="42376" xr:uid="{0200ABEF-5F0B-47CF-AE66-D167A8344951}"/>
    <cellStyle name="Normal 5 2 2 3 3 6 2 3" xfId="33929" xr:uid="{DF4636FF-ECEB-4552-AEED-8A62DB74A334}"/>
    <cellStyle name="Normal 5 2 2 3 3 6 2 4" xfId="25481" xr:uid="{5841C693-7A1B-48FA-BB89-A9E10DACA0F4}"/>
    <cellStyle name="Normal 5 2 2 3 3 6 2 5" xfId="16184" xr:uid="{6663E542-32A8-4363-872F-4BBAB9E2DC74}"/>
    <cellStyle name="Normal 5 2 2 3 3 6 3" xfId="38159" xr:uid="{CBD35BE3-2410-4CF9-8009-ED7A976CB6EE}"/>
    <cellStyle name="Normal 5 2 2 3 3 6 4" xfId="29711" xr:uid="{FB70AEA5-EE3F-4491-8EAB-516DF9A0A7A3}"/>
    <cellStyle name="Normal 5 2 2 3 3 6 5" xfId="21264" xr:uid="{112E52A1-8F17-4504-9E14-C6B0CE53866C}"/>
    <cellStyle name="Normal 5 2 2 3 3 6 6" xfId="11967" xr:uid="{2244F2B5-5527-46A7-80F9-63D7A7D132EF}"/>
    <cellStyle name="Normal 5 2 2 3 3 7" xfId="4793" xr:uid="{00000000-0005-0000-0000-0000D2170000}"/>
    <cellStyle name="Normal 5 2 2 3 3 7 2" xfId="40311" xr:uid="{A77CE124-1A9C-46F6-9130-B795E2745A0B}"/>
    <cellStyle name="Normal 5 2 2 3 3 7 3" xfId="31864" xr:uid="{F5C4B949-3202-4A55-A46E-283A0EBDF99F}"/>
    <cellStyle name="Normal 5 2 2 3 3 7 4" xfId="23416" xr:uid="{16F87C8D-1F2A-487C-9B3E-1B99575AC213}"/>
    <cellStyle name="Normal 5 2 2 3 3 7 5" xfId="14119" xr:uid="{D0CC1F3A-2769-4605-9103-CD10F1D71EA2}"/>
    <cellStyle name="Normal 5 2 2 3 3 8" xfId="9035" xr:uid="{6AC57173-16AF-4847-A277-E4254AACDA36}"/>
    <cellStyle name="Normal 5 2 2 3 3 8 2" xfId="36094" xr:uid="{29FD3EC6-DE72-43AB-849D-41E787C1096F}"/>
    <cellStyle name="Normal 5 2 2 3 3 8 3" xfId="18358" xr:uid="{1CAAE2BB-5458-419C-BD91-7CB67D63F9A1}"/>
    <cellStyle name="Normal 5 2 2 3 3 9" xfId="27646" xr:uid="{B1A8E9F2-1C4A-48EE-AFD1-BD903E4FEE6F}"/>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42866" xr:uid="{8DADEFED-7780-4DC0-9774-9BB1CA2ADF27}"/>
    <cellStyle name="Normal 5 2 2 3 4 2 2 3" xfId="34419" xr:uid="{6ECFC04B-220A-42EA-9E62-5B34EEE0B1E6}"/>
    <cellStyle name="Normal 5 2 2 3 4 2 2 4" xfId="25971" xr:uid="{54F01784-8F9D-4887-B614-BB566E2AF6E4}"/>
    <cellStyle name="Normal 5 2 2 3 4 2 2 5" xfId="16674" xr:uid="{9D3E83FC-904A-4A32-8875-F4912694E031}"/>
    <cellStyle name="Normal 5 2 2 3 4 2 3" xfId="38649" xr:uid="{E026EFBF-8FD0-4BB9-83A1-1F89723DA910}"/>
    <cellStyle name="Normal 5 2 2 3 4 2 4" xfId="30201" xr:uid="{6E510137-4EC5-4607-BD12-53EB7E3EC656}"/>
    <cellStyle name="Normal 5 2 2 3 4 2 5" xfId="21754" xr:uid="{037CA5D2-1D24-4C45-B685-1E8CEA8E8E89}"/>
    <cellStyle name="Normal 5 2 2 3 4 2 6" xfId="12457" xr:uid="{F253BE37-ABB2-4D81-AB5B-5A5C901B2577}"/>
    <cellStyle name="Normal 5 2 2 3 4 3" xfId="5203" xr:uid="{00000000-0005-0000-0000-0000D6170000}"/>
    <cellStyle name="Normal 5 2 2 3 4 3 2" xfId="40721" xr:uid="{D37751EA-3D00-48CB-A765-DC76BD356334}"/>
    <cellStyle name="Normal 5 2 2 3 4 3 3" xfId="32274" xr:uid="{285E3961-F8ED-4D62-BB9A-B1E403B429E7}"/>
    <cellStyle name="Normal 5 2 2 3 4 3 4" xfId="23826" xr:uid="{D6334D96-2392-4536-82A3-9BA3477B2BF9}"/>
    <cellStyle name="Normal 5 2 2 3 4 3 5" xfId="14529" xr:uid="{E6EAFA2E-ED79-468D-88C7-9874D4824D0A}"/>
    <cellStyle name="Normal 5 2 2 3 4 4" xfId="9253" xr:uid="{A5C3AAF9-67DD-41B1-A0BF-05B69F588F71}"/>
    <cellStyle name="Normal 5 2 2 3 4 4 2" xfId="36504" xr:uid="{3663BE54-EFDA-430A-BC32-450B2F4746B8}"/>
    <cellStyle name="Normal 5 2 2 3 4 4 3" xfId="18566" xr:uid="{9B1D2CBE-6CB0-4D5F-AEBB-4A3D94E2F38C}"/>
    <cellStyle name="Normal 5 2 2 3 4 5" xfId="28056" xr:uid="{6831D472-AE31-4CA2-B720-89C62D6257DE}"/>
    <cellStyle name="Normal 5 2 2 3 4 6" xfId="19609" xr:uid="{0EFF3A2F-041B-4E8D-8189-7F9CA07BED66}"/>
    <cellStyle name="Normal 5 2 2 3 4 7" xfId="10312" xr:uid="{81E8C88C-2BE6-4123-B10E-163CC18222FD}"/>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43279" xr:uid="{90792FED-E726-43D2-936F-32FA321F2ECC}"/>
    <cellStyle name="Normal 5 2 2 3 5 2 2 3" xfId="34832" xr:uid="{3409DEE1-9A24-4F62-AAF9-AD3BDE5FAF83}"/>
    <cellStyle name="Normal 5 2 2 3 5 2 2 4" xfId="26384" xr:uid="{94FD1CE7-9015-4F07-A067-6EF3C94F4F8B}"/>
    <cellStyle name="Normal 5 2 2 3 5 2 2 5" xfId="17087" xr:uid="{C5DC0BD9-C3E7-41D4-ABBB-861976E82FEC}"/>
    <cellStyle name="Normal 5 2 2 3 5 2 3" xfId="39062" xr:uid="{2D4B58D6-4EC9-41FD-9C98-21A06F3B46A3}"/>
    <cellStyle name="Normal 5 2 2 3 5 2 4" xfId="30614" xr:uid="{47263F3B-E0E2-4308-8ADC-B59288EDEBD8}"/>
    <cellStyle name="Normal 5 2 2 3 5 2 5" xfId="22167" xr:uid="{6BBC9CA2-74DC-4534-98FD-17E50CCF532A}"/>
    <cellStyle name="Normal 5 2 2 3 5 2 6" xfId="12870" xr:uid="{A5BF1521-7916-44F3-A1D3-0A8C150530E5}"/>
    <cellStyle name="Normal 5 2 2 3 5 3" xfId="5616" xr:uid="{00000000-0005-0000-0000-0000DA170000}"/>
    <cellStyle name="Normal 5 2 2 3 5 3 2" xfId="41134" xr:uid="{5C053559-AC1B-4194-A448-137A38E64DF4}"/>
    <cellStyle name="Normal 5 2 2 3 5 3 3" xfId="32687" xr:uid="{47878510-1B3A-4E41-8439-28CCF22C5C93}"/>
    <cellStyle name="Normal 5 2 2 3 5 3 4" xfId="24239" xr:uid="{52DB301E-1DA5-4C54-8796-4EC3EAE96992}"/>
    <cellStyle name="Normal 5 2 2 3 5 3 5" xfId="14942" xr:uid="{9A876660-3FC2-49A6-8273-6F1394CA6D99}"/>
    <cellStyle name="Normal 5 2 2 3 5 4" xfId="36917" xr:uid="{EDC3ED28-CE30-4FC5-B13C-56F64EC8227D}"/>
    <cellStyle name="Normal 5 2 2 3 5 5" xfId="28469" xr:uid="{2B714D8F-AEF1-4215-B19C-CB2AA5719F35}"/>
    <cellStyle name="Normal 5 2 2 3 5 6" xfId="20022" xr:uid="{05C4CCF4-86ED-45FE-A52C-BAF5F73DBFDC}"/>
    <cellStyle name="Normal 5 2 2 3 5 7" xfId="10725" xr:uid="{1EFCC99D-B5BE-41E3-8337-AD91C1F899F7}"/>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43692" xr:uid="{45872E27-00B3-4554-9FF0-DA5A07379AC9}"/>
    <cellStyle name="Normal 5 2 2 3 6 2 2 3" xfId="35245" xr:uid="{CE94CBD8-2C90-4CAE-8902-A5F531BCF28D}"/>
    <cellStyle name="Normal 5 2 2 3 6 2 2 4" xfId="26797" xr:uid="{F4ADC148-2F97-4F8C-84A6-014D64FB8DB4}"/>
    <cellStyle name="Normal 5 2 2 3 6 2 2 5" xfId="17500" xr:uid="{2992704A-3953-4EEA-A892-A92E882E1FBD}"/>
    <cellStyle name="Normal 5 2 2 3 6 2 3" xfId="39475" xr:uid="{75D53E10-540C-45EB-8E2E-81EF5B808BF5}"/>
    <cellStyle name="Normal 5 2 2 3 6 2 4" xfId="31027" xr:uid="{37704D0D-F17C-4064-91CA-1657E39CB584}"/>
    <cellStyle name="Normal 5 2 2 3 6 2 5" xfId="22580" xr:uid="{C2A03924-FDF5-4E75-B67D-80CDE7FAE43C}"/>
    <cellStyle name="Normal 5 2 2 3 6 2 6" xfId="13283" xr:uid="{E1CFFCBF-695A-40BC-B620-96127FEEE21F}"/>
    <cellStyle name="Normal 5 2 2 3 6 3" xfId="6029" xr:uid="{00000000-0005-0000-0000-0000DE170000}"/>
    <cellStyle name="Normal 5 2 2 3 6 3 2" xfId="41547" xr:uid="{55A25200-F438-477B-872A-B39C0FE0EFA3}"/>
    <cellStyle name="Normal 5 2 2 3 6 3 3" xfId="33100" xr:uid="{620EA7EE-7ED0-4785-A95D-CE92D8D2B0DA}"/>
    <cellStyle name="Normal 5 2 2 3 6 3 4" xfId="24652" xr:uid="{8FFA9C02-BCFF-492C-9853-014D626B5FCF}"/>
    <cellStyle name="Normal 5 2 2 3 6 3 5" xfId="15355" xr:uid="{91B8B940-5AC8-42FE-BEA5-77D47217B36A}"/>
    <cellStyle name="Normal 5 2 2 3 6 4" xfId="37330" xr:uid="{40F0BDA2-2621-4378-AA9A-122D1175C535}"/>
    <cellStyle name="Normal 5 2 2 3 6 5" xfId="28882" xr:uid="{2396C915-F723-4439-9C91-1FBEF4062AE2}"/>
    <cellStyle name="Normal 5 2 2 3 6 6" xfId="20435" xr:uid="{70CA0F91-929B-48B5-B11F-7795791D7BEB}"/>
    <cellStyle name="Normal 5 2 2 3 6 7" xfId="11138" xr:uid="{26960BCE-743E-4C48-BAB4-B5CB8E82176D}"/>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44105" xr:uid="{40A4232C-1E46-4392-820F-A7EE60DF19EE}"/>
    <cellStyle name="Normal 5 2 2 3 7 2 2 3" xfId="35658" xr:uid="{DB959E49-B60A-4E10-B1B9-1CB9A7F92F95}"/>
    <cellStyle name="Normal 5 2 2 3 7 2 2 4" xfId="27210" xr:uid="{47E3D75D-E3C9-4B13-9965-0AACD26594D0}"/>
    <cellStyle name="Normal 5 2 2 3 7 2 2 5" xfId="17913" xr:uid="{D9D49FE9-BA5C-4EC7-8677-7B9862FEBAF0}"/>
    <cellStyle name="Normal 5 2 2 3 7 2 3" xfId="39888" xr:uid="{B651DF78-91E1-4540-B27F-2438535C68EB}"/>
    <cellStyle name="Normal 5 2 2 3 7 2 4" xfId="31440" xr:uid="{FB7EBA5F-EC22-4C86-A1F7-ECBEE58CFBB0}"/>
    <cellStyle name="Normal 5 2 2 3 7 2 5" xfId="22993" xr:uid="{42C84122-FE0A-4D6B-BB2A-57BCAC6BB1CA}"/>
    <cellStyle name="Normal 5 2 2 3 7 2 6" xfId="13696" xr:uid="{A10E502F-B140-4C2E-8E41-9EE5AE137061}"/>
    <cellStyle name="Normal 5 2 2 3 7 3" xfId="6442" xr:uid="{00000000-0005-0000-0000-0000E2170000}"/>
    <cellStyle name="Normal 5 2 2 3 7 3 2" xfId="41960" xr:uid="{5FC8889C-7798-46B8-A273-7DFA3AB4C28E}"/>
    <cellStyle name="Normal 5 2 2 3 7 3 3" xfId="33513" xr:uid="{E4C9B58F-86ED-46CD-BCD8-62A853318113}"/>
    <cellStyle name="Normal 5 2 2 3 7 3 4" xfId="25065" xr:uid="{51D7A99F-BDDB-49E3-9481-7D471EC33A69}"/>
    <cellStyle name="Normal 5 2 2 3 7 3 5" xfId="15768" xr:uid="{1228D55A-1FE2-44DB-864E-02C13C9F2EDA}"/>
    <cellStyle name="Normal 5 2 2 3 7 4" xfId="37743" xr:uid="{7E36280B-89DE-4F8A-B202-D732281067B6}"/>
    <cellStyle name="Normal 5 2 2 3 7 5" xfId="29295" xr:uid="{7E89EA3A-10A1-4F1B-A09D-6C0F4325680D}"/>
    <cellStyle name="Normal 5 2 2 3 7 6" xfId="20848" xr:uid="{F36D9BC9-7DAC-4268-8B96-2BE8D8EE054E}"/>
    <cellStyle name="Normal 5 2 2 3 7 7" xfId="11551" xr:uid="{075F9495-9D76-479D-9FF6-A41009643B33}"/>
    <cellStyle name="Normal 5 2 2 3 8" xfId="2572" xr:uid="{00000000-0005-0000-0000-0000E3170000}"/>
    <cellStyle name="Normal 5 2 2 3 8 2" xfId="6855" xr:uid="{00000000-0005-0000-0000-0000E4170000}"/>
    <cellStyle name="Normal 5 2 2 3 8 2 2" xfId="42373" xr:uid="{C0A5B482-2B59-4185-8ACE-944F655A8584}"/>
    <cellStyle name="Normal 5 2 2 3 8 2 3" xfId="33926" xr:uid="{1565F754-3662-4456-9F91-7F2401684334}"/>
    <cellStyle name="Normal 5 2 2 3 8 2 4" xfId="25478" xr:uid="{26F2C3A0-64C0-431B-A17A-E8E7FFCDCEA0}"/>
    <cellStyle name="Normal 5 2 2 3 8 2 5" xfId="16181" xr:uid="{747D9880-3868-47EB-9A34-691FBE115A90}"/>
    <cellStyle name="Normal 5 2 2 3 8 3" xfId="38156" xr:uid="{1876518E-7F53-4CBF-9805-64026F2F17D9}"/>
    <cellStyle name="Normal 5 2 2 3 8 4" xfId="29708" xr:uid="{F89D8338-265E-4D58-A0C0-8E449EE60A6C}"/>
    <cellStyle name="Normal 5 2 2 3 8 5" xfId="21261" xr:uid="{7994AB97-0B31-4779-98DF-A28B52D9BBCE}"/>
    <cellStyle name="Normal 5 2 2 3 8 6" xfId="11964" xr:uid="{2A37393A-9C4A-4190-9154-59227F61AD11}"/>
    <cellStyle name="Normal 5 2 2 3 9" xfId="4790" xr:uid="{00000000-0005-0000-0000-0000E5170000}"/>
    <cellStyle name="Normal 5 2 2 3 9 2" xfId="40308" xr:uid="{28DDAA9B-20AE-4E2B-9B07-6BF6757BD9A7}"/>
    <cellStyle name="Normal 5 2 2 3 9 3" xfId="31861" xr:uid="{CD9E2077-6B3C-491E-AF4B-A38CF283E5E3}"/>
    <cellStyle name="Normal 5 2 2 3 9 4" xfId="23413" xr:uid="{63AB418D-B559-4387-8419-CCBC1C52645F}"/>
    <cellStyle name="Normal 5 2 2 3 9 5" xfId="14116" xr:uid="{5E99BE90-594A-4EC6-A725-99316610CB9B}"/>
    <cellStyle name="Normal 5 2 2 4" xfId="421" xr:uid="{00000000-0005-0000-0000-0000E6170000}"/>
    <cellStyle name="Normal 5 2 2 4 10" xfId="27647" xr:uid="{57F88E12-C815-4BF4-A5CA-D5B00E318453}"/>
    <cellStyle name="Normal 5 2 2 4 11" xfId="19200" xr:uid="{7169B711-0257-47A6-A79B-C16AFACCDCAF}"/>
    <cellStyle name="Normal 5 2 2 4 12" xfId="9903" xr:uid="{02A554D4-2094-4D86-97C3-BD7D2CFC242F}"/>
    <cellStyle name="Normal 5 2 2 4 2" xfId="422" xr:uid="{00000000-0005-0000-0000-0000E7170000}"/>
    <cellStyle name="Normal 5 2 2 4 2 10" xfId="19201" xr:uid="{F02ACA6A-EC1E-4A6C-BF3A-5E9BD8953781}"/>
    <cellStyle name="Normal 5 2 2 4 2 11" xfId="9904" xr:uid="{AC4F7EEA-D046-4167-AF32-DEDA43B547F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42871" xr:uid="{EC4CA472-29F2-4A38-9DA3-19CE6FDF3E87}"/>
    <cellStyle name="Normal 5 2 2 4 2 2 2 2 3" xfId="34424" xr:uid="{90B5DA5D-5F1A-4A7C-A1F8-5FF7071E1549}"/>
    <cellStyle name="Normal 5 2 2 4 2 2 2 2 4" xfId="25976" xr:uid="{5B02FBDA-02A2-4A31-8568-775DCE455759}"/>
    <cellStyle name="Normal 5 2 2 4 2 2 2 2 5" xfId="16679" xr:uid="{1AA1FB90-1918-439B-BE31-A466680F31C8}"/>
    <cellStyle name="Normal 5 2 2 4 2 2 2 3" xfId="38654" xr:uid="{9B2B59C7-6214-492D-B983-96B7C63FCFED}"/>
    <cellStyle name="Normal 5 2 2 4 2 2 2 4" xfId="30206" xr:uid="{8C850263-8E0B-407B-B624-4FA50ED3E81C}"/>
    <cellStyle name="Normal 5 2 2 4 2 2 2 5" xfId="21759" xr:uid="{54195EAE-AD31-4250-8B56-6465E43831F3}"/>
    <cellStyle name="Normal 5 2 2 4 2 2 2 6" xfId="12462" xr:uid="{3D469CDF-C32A-4F37-BB7B-27542345B16A}"/>
    <cellStyle name="Normal 5 2 2 4 2 2 3" xfId="5208" xr:uid="{00000000-0005-0000-0000-0000EB170000}"/>
    <cellStyle name="Normal 5 2 2 4 2 2 3 2" xfId="40726" xr:uid="{F54C3730-0ED0-4744-B665-BFE3A1F7E4D2}"/>
    <cellStyle name="Normal 5 2 2 4 2 2 3 3" xfId="32279" xr:uid="{9EBF45E0-5582-40D6-8B9D-744F830927EA}"/>
    <cellStyle name="Normal 5 2 2 4 2 2 3 4" xfId="23831" xr:uid="{885B2E22-5148-4CFC-B96D-A9BDB2040312}"/>
    <cellStyle name="Normal 5 2 2 4 2 2 3 5" xfId="14534" xr:uid="{A2B097F1-EF31-4E8B-866A-4F2F47457413}"/>
    <cellStyle name="Normal 5 2 2 4 2 2 4" xfId="9488" xr:uid="{2997B11D-E810-48A4-BD3C-4498479B295E}"/>
    <cellStyle name="Normal 5 2 2 4 2 2 4 2" xfId="36509" xr:uid="{E6C607F8-9A8C-4060-BD9E-30683EB9E818}"/>
    <cellStyle name="Normal 5 2 2 4 2 2 4 3" xfId="18801" xr:uid="{467866E4-5D8D-401A-9DF3-54252CD1F306}"/>
    <cellStyle name="Normal 5 2 2 4 2 2 5" xfId="28061" xr:uid="{1DC53EE8-850E-4D26-8A61-C2E96567B8DC}"/>
    <cellStyle name="Normal 5 2 2 4 2 2 6" xfId="19614" xr:uid="{2E61DF3D-7C3B-4738-B97E-5F40F40F3D33}"/>
    <cellStyle name="Normal 5 2 2 4 2 2 7" xfId="10317" xr:uid="{34B1D372-CBE7-40C5-8C8E-7274C34BF495}"/>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43284" xr:uid="{5EDE8C07-A0B0-4BBB-9137-A6A01FA892DA}"/>
    <cellStyle name="Normal 5 2 2 4 2 3 2 2 3" xfId="34837" xr:uid="{2058CDDD-DEB9-4F16-AF14-FD9483195939}"/>
    <cellStyle name="Normal 5 2 2 4 2 3 2 2 4" xfId="26389" xr:uid="{B8272E31-EE58-4D4A-BDDA-FF54E36677EC}"/>
    <cellStyle name="Normal 5 2 2 4 2 3 2 2 5" xfId="17092" xr:uid="{A40EAB8E-3CF8-41A6-A3A4-98E01CF49D96}"/>
    <cellStyle name="Normal 5 2 2 4 2 3 2 3" xfId="39067" xr:uid="{C1B3F45F-795C-4162-B1C4-4650147D72D5}"/>
    <cellStyle name="Normal 5 2 2 4 2 3 2 4" xfId="30619" xr:uid="{203D83AB-6562-41F5-96BE-285FC0083B95}"/>
    <cellStyle name="Normal 5 2 2 4 2 3 2 5" xfId="22172" xr:uid="{4D834CF4-F16F-45E0-A950-03E04EF48D61}"/>
    <cellStyle name="Normal 5 2 2 4 2 3 2 6" xfId="12875" xr:uid="{66774B83-0D1B-4734-9924-EB795FD97DBF}"/>
    <cellStyle name="Normal 5 2 2 4 2 3 3" xfId="5621" xr:uid="{00000000-0005-0000-0000-0000EF170000}"/>
    <cellStyle name="Normal 5 2 2 4 2 3 3 2" xfId="41139" xr:uid="{C379AC76-BC4D-478C-A05A-EC6DC66377D8}"/>
    <cellStyle name="Normal 5 2 2 4 2 3 3 3" xfId="32692" xr:uid="{AE70829D-48A2-4640-B390-62A956B43BF8}"/>
    <cellStyle name="Normal 5 2 2 4 2 3 3 4" xfId="24244" xr:uid="{29CE9E0C-05DC-4ABC-AE3F-8F46464CA264}"/>
    <cellStyle name="Normal 5 2 2 4 2 3 3 5" xfId="14947" xr:uid="{FF16E34B-D444-4F93-AB5B-50244DDF1386}"/>
    <cellStyle name="Normal 5 2 2 4 2 3 4" xfId="36922" xr:uid="{A37AA785-380D-4D18-B0EB-EFBF28C7F456}"/>
    <cellStyle name="Normal 5 2 2 4 2 3 5" xfId="28474" xr:uid="{55642E00-D594-40A7-AA91-0BD0ED0730CF}"/>
    <cellStyle name="Normal 5 2 2 4 2 3 6" xfId="20027" xr:uid="{E86F5BE0-A6C9-498C-97D7-14AAE7FE2081}"/>
    <cellStyle name="Normal 5 2 2 4 2 3 7" xfId="10730" xr:uid="{4BEED170-3CE7-4679-B04E-FD5DC082F5B9}"/>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43697" xr:uid="{67148A95-DBB4-4AA0-9CFC-CE7F9550B78D}"/>
    <cellStyle name="Normal 5 2 2 4 2 4 2 2 3" xfId="35250" xr:uid="{937319EB-5986-4AFF-BAD0-5E063D95B1AD}"/>
    <cellStyle name="Normal 5 2 2 4 2 4 2 2 4" xfId="26802" xr:uid="{2D839530-C9EB-49C1-B615-4B490A4EA02F}"/>
    <cellStyle name="Normal 5 2 2 4 2 4 2 2 5" xfId="17505" xr:uid="{44CBA8FF-002D-4ECD-9C82-119BE34E56ED}"/>
    <cellStyle name="Normal 5 2 2 4 2 4 2 3" xfId="39480" xr:uid="{251B4B85-B1B2-4A5C-8FB8-2E69C9EFC7DD}"/>
    <cellStyle name="Normal 5 2 2 4 2 4 2 4" xfId="31032" xr:uid="{2C0BD3A6-EF09-4258-A8CF-2D0AB6D56E17}"/>
    <cellStyle name="Normal 5 2 2 4 2 4 2 5" xfId="22585" xr:uid="{15E44DA4-CC8C-4428-B0C7-8F8384B626CA}"/>
    <cellStyle name="Normal 5 2 2 4 2 4 2 6" xfId="13288" xr:uid="{06452DE1-A74E-4015-BABB-C3A5ABECB708}"/>
    <cellStyle name="Normal 5 2 2 4 2 4 3" xfId="6034" xr:uid="{00000000-0005-0000-0000-0000F3170000}"/>
    <cellStyle name="Normal 5 2 2 4 2 4 3 2" xfId="41552" xr:uid="{DDE65980-3F06-4542-935A-D0EA0E1D885B}"/>
    <cellStyle name="Normal 5 2 2 4 2 4 3 3" xfId="33105" xr:uid="{4E2F97E6-DE89-4C5F-BC3D-B5CAF8585FA6}"/>
    <cellStyle name="Normal 5 2 2 4 2 4 3 4" xfId="24657" xr:uid="{F73ACD34-2149-4A14-B40D-42663564AAE0}"/>
    <cellStyle name="Normal 5 2 2 4 2 4 3 5" xfId="15360" xr:uid="{76F8D8CD-4644-472E-B38B-92E78770137B}"/>
    <cellStyle name="Normal 5 2 2 4 2 4 4" xfId="37335" xr:uid="{BA6AD711-8E20-4FBE-8C2F-A114A05D9607}"/>
    <cellStyle name="Normal 5 2 2 4 2 4 5" xfId="28887" xr:uid="{5CA6D516-B6CC-49CA-B938-9CF241ABE768}"/>
    <cellStyle name="Normal 5 2 2 4 2 4 6" xfId="20440" xr:uid="{BE2625BD-B1B6-4BF0-9ED3-CEEA7DA957BB}"/>
    <cellStyle name="Normal 5 2 2 4 2 4 7" xfId="11143" xr:uid="{BFD2B029-1779-4557-BDCB-C63058C58652}"/>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44110" xr:uid="{08B3AE58-986D-4ACA-84D5-B030291FB889}"/>
    <cellStyle name="Normal 5 2 2 4 2 5 2 2 3" xfId="35663" xr:uid="{23DC617E-05C5-4391-BC7D-43241D4BFDFA}"/>
    <cellStyle name="Normal 5 2 2 4 2 5 2 2 4" xfId="27215" xr:uid="{E2D51741-8528-4876-9A56-A251185B212B}"/>
    <cellStyle name="Normal 5 2 2 4 2 5 2 2 5" xfId="17918" xr:uid="{34DCCA43-2F1B-4E47-9C21-EB59E52B5681}"/>
    <cellStyle name="Normal 5 2 2 4 2 5 2 3" xfId="39893" xr:uid="{44202FF4-75EC-4E34-B918-01145B20DAAB}"/>
    <cellStyle name="Normal 5 2 2 4 2 5 2 4" xfId="31445" xr:uid="{B490A790-F0E8-4C25-93D6-5DAA9FA132DA}"/>
    <cellStyle name="Normal 5 2 2 4 2 5 2 5" xfId="22998" xr:uid="{5E602F9A-4DAB-492A-9AE8-BDEF07636E6E}"/>
    <cellStyle name="Normal 5 2 2 4 2 5 2 6" xfId="13701" xr:uid="{CCEFF066-4AE6-4560-98E1-10881218DA62}"/>
    <cellStyle name="Normal 5 2 2 4 2 5 3" xfId="6447" xr:uid="{00000000-0005-0000-0000-0000F7170000}"/>
    <cellStyle name="Normal 5 2 2 4 2 5 3 2" xfId="41965" xr:uid="{2F235339-B851-4002-86F7-98118196DF9F}"/>
    <cellStyle name="Normal 5 2 2 4 2 5 3 3" xfId="33518" xr:uid="{4375EA45-0102-4E76-8C30-06F24C0715A4}"/>
    <cellStyle name="Normal 5 2 2 4 2 5 3 4" xfId="25070" xr:uid="{985691D9-48C7-4169-9CFB-BBB25335CAE9}"/>
    <cellStyle name="Normal 5 2 2 4 2 5 3 5" xfId="15773" xr:uid="{23A27A64-78C5-4F80-B84E-C8D189B5E619}"/>
    <cellStyle name="Normal 5 2 2 4 2 5 4" xfId="37748" xr:uid="{ECF687CB-6185-49CB-B8B8-180DE6A97B58}"/>
    <cellStyle name="Normal 5 2 2 4 2 5 5" xfId="29300" xr:uid="{1DFB3259-D030-4A48-AF35-76F17253A697}"/>
    <cellStyle name="Normal 5 2 2 4 2 5 6" xfId="20853" xr:uid="{1F4F45BB-0BD4-4694-B37B-F57E84B696B9}"/>
    <cellStyle name="Normal 5 2 2 4 2 5 7" xfId="11556" xr:uid="{5D028DE3-B1AB-46D0-85FA-3BB05FF2B6B0}"/>
    <cellStyle name="Normal 5 2 2 4 2 6" xfId="2577" xr:uid="{00000000-0005-0000-0000-0000F8170000}"/>
    <cellStyle name="Normal 5 2 2 4 2 6 2" xfId="6860" xr:uid="{00000000-0005-0000-0000-0000F9170000}"/>
    <cellStyle name="Normal 5 2 2 4 2 6 2 2" xfId="42378" xr:uid="{E8F448FB-2491-42BA-8DFE-6D2A195AC8C1}"/>
    <cellStyle name="Normal 5 2 2 4 2 6 2 3" xfId="33931" xr:uid="{A89FAEFD-1126-4DE6-BFE2-F0F0BBC4EED8}"/>
    <cellStyle name="Normal 5 2 2 4 2 6 2 4" xfId="25483" xr:uid="{78F8B171-3DD5-40C6-AD58-28CB8C953396}"/>
    <cellStyle name="Normal 5 2 2 4 2 6 2 5" xfId="16186" xr:uid="{0C438ACA-D7FB-4546-A532-7239EE5FA113}"/>
    <cellStyle name="Normal 5 2 2 4 2 6 3" xfId="38161" xr:uid="{5CB79BB5-62D8-4098-9E47-E8A417501146}"/>
    <cellStyle name="Normal 5 2 2 4 2 6 4" xfId="29713" xr:uid="{E92F7D49-E65F-4E81-9B2D-BC21888AC86E}"/>
    <cellStyle name="Normal 5 2 2 4 2 6 5" xfId="21266" xr:uid="{EE9CB42C-04EF-4672-BE02-4CBD8302348D}"/>
    <cellStyle name="Normal 5 2 2 4 2 6 6" xfId="11969" xr:uid="{2A429EEA-6C56-4702-B0CE-60F73E3768A1}"/>
    <cellStyle name="Normal 5 2 2 4 2 7" xfId="4795" xr:uid="{00000000-0005-0000-0000-0000FA170000}"/>
    <cellStyle name="Normal 5 2 2 4 2 7 2" xfId="40313" xr:uid="{94F9DC3F-5241-4964-B979-DD0496901A96}"/>
    <cellStyle name="Normal 5 2 2 4 2 7 3" xfId="31866" xr:uid="{B4D85FE8-F811-41D4-B338-823C051F667E}"/>
    <cellStyle name="Normal 5 2 2 4 2 7 4" xfId="23418" xr:uid="{56DFA38D-F115-49D6-B428-03D86B06BA14}"/>
    <cellStyle name="Normal 5 2 2 4 2 7 5" xfId="14121" xr:uid="{B30215C3-49A1-4400-9A67-0EF39450DEB1}"/>
    <cellStyle name="Normal 5 2 2 4 2 8" xfId="9063" xr:uid="{3B1AA107-8D7F-4938-A60C-EED41E9B9A2A}"/>
    <cellStyle name="Normal 5 2 2 4 2 8 2" xfId="36096" xr:uid="{9BA76E71-DCF0-42C2-B215-C4AC25C4B68B}"/>
    <cellStyle name="Normal 5 2 2 4 2 8 3" xfId="18386" xr:uid="{11FACEED-CA0D-48FA-8225-46149BD3360B}"/>
    <cellStyle name="Normal 5 2 2 4 2 9" xfId="27648" xr:uid="{C06A228A-00FC-4995-A226-9D166575E031}"/>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42870" xr:uid="{F28E1944-25C8-4BA9-BEC7-1602CB49B00E}"/>
    <cellStyle name="Normal 5 2 2 4 3 2 2 3" xfId="34423" xr:uid="{2E716D33-5B23-4848-8EFA-F85F37807FE2}"/>
    <cellStyle name="Normal 5 2 2 4 3 2 2 4" xfId="25975" xr:uid="{1706263B-6370-4BF7-90AD-0C430898ECD7}"/>
    <cellStyle name="Normal 5 2 2 4 3 2 2 5" xfId="16678" xr:uid="{9377A17B-359F-4055-88D1-4C279F6D1F1C}"/>
    <cellStyle name="Normal 5 2 2 4 3 2 3" xfId="38653" xr:uid="{6265EB18-A6DC-45B3-AACF-E18B48838608}"/>
    <cellStyle name="Normal 5 2 2 4 3 2 4" xfId="30205" xr:uid="{0211E5C3-1F3E-46D8-9946-23701B83C231}"/>
    <cellStyle name="Normal 5 2 2 4 3 2 5" xfId="21758" xr:uid="{ABADC030-EF95-4A23-BF3C-87921C4FA464}"/>
    <cellStyle name="Normal 5 2 2 4 3 2 6" xfId="12461" xr:uid="{1F6A5BE1-E0E3-4A4B-8104-50A0CF226DC1}"/>
    <cellStyle name="Normal 5 2 2 4 3 3" xfId="5207" xr:uid="{00000000-0005-0000-0000-0000FE170000}"/>
    <cellStyle name="Normal 5 2 2 4 3 3 2" xfId="40725" xr:uid="{75BC257B-BBD9-45F8-84FB-60E647294E5E}"/>
    <cellStyle name="Normal 5 2 2 4 3 3 3" xfId="32278" xr:uid="{E4B76FEC-81DE-4F52-912B-CB322D907601}"/>
    <cellStyle name="Normal 5 2 2 4 3 3 4" xfId="23830" xr:uid="{E52E6855-7EB0-4D41-863A-5E7D42BD422A}"/>
    <cellStyle name="Normal 5 2 2 4 3 3 5" xfId="14533" xr:uid="{0AC96192-C6E6-473F-B1CD-507E01251E70}"/>
    <cellStyle name="Normal 5 2 2 4 3 4" xfId="9281" xr:uid="{9304050F-95A7-4BE3-AD21-FEBB7D0875B2}"/>
    <cellStyle name="Normal 5 2 2 4 3 4 2" xfId="36508" xr:uid="{FB4E497D-9AA4-42A2-A4C6-A3FE1C8ABB32}"/>
    <cellStyle name="Normal 5 2 2 4 3 4 3" xfId="18594" xr:uid="{4ECD78CA-A790-4271-8136-0B09F936FD91}"/>
    <cellStyle name="Normal 5 2 2 4 3 5" xfId="28060" xr:uid="{5F24A602-DA4D-4562-8E33-2C18B5139E2A}"/>
    <cellStyle name="Normal 5 2 2 4 3 6" xfId="19613" xr:uid="{2FEE7D1C-2932-4AFF-9BE0-10086519C5D5}"/>
    <cellStyle name="Normal 5 2 2 4 3 7" xfId="10316" xr:uid="{F341F9C6-9D2A-4F6C-8430-8EB40A6B3FB8}"/>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43283" xr:uid="{C7DA91A9-F7FA-4B15-8EEF-56CC8B59E1B0}"/>
    <cellStyle name="Normal 5 2 2 4 4 2 2 3" xfId="34836" xr:uid="{3C425544-13BF-433B-B02B-8C1E765D3364}"/>
    <cellStyle name="Normal 5 2 2 4 4 2 2 4" xfId="26388" xr:uid="{83DC69EA-571D-4E9C-B863-9A220579A7A5}"/>
    <cellStyle name="Normal 5 2 2 4 4 2 2 5" xfId="17091" xr:uid="{92A3591D-904A-4BEC-9072-C4420AA1F1D7}"/>
    <cellStyle name="Normal 5 2 2 4 4 2 3" xfId="39066" xr:uid="{435B0478-48A2-41A1-8093-894E97FF49BF}"/>
    <cellStyle name="Normal 5 2 2 4 4 2 4" xfId="30618" xr:uid="{149FF491-7664-4B91-A76A-068BF398425D}"/>
    <cellStyle name="Normal 5 2 2 4 4 2 5" xfId="22171" xr:uid="{628A146D-81F4-4D8C-9638-027792DA6913}"/>
    <cellStyle name="Normal 5 2 2 4 4 2 6" xfId="12874" xr:uid="{953D1C4E-DB9A-4CC8-BC18-0523AF2E0761}"/>
    <cellStyle name="Normal 5 2 2 4 4 3" xfId="5620" xr:uid="{00000000-0005-0000-0000-000002180000}"/>
    <cellStyle name="Normal 5 2 2 4 4 3 2" xfId="41138" xr:uid="{FB380DA4-F9A3-491F-A730-69C65295501B}"/>
    <cellStyle name="Normal 5 2 2 4 4 3 3" xfId="32691" xr:uid="{00FB7F46-BAA6-4A6E-92E3-F12AC6F0D8E7}"/>
    <cellStyle name="Normal 5 2 2 4 4 3 4" xfId="24243" xr:uid="{C32A0E9E-BACA-4369-B2FF-DCF96C3323E9}"/>
    <cellStyle name="Normal 5 2 2 4 4 3 5" xfId="14946" xr:uid="{CE46B5FC-5700-4934-873F-2A7BF9D2DA83}"/>
    <cellStyle name="Normal 5 2 2 4 4 4" xfId="36921" xr:uid="{78438D34-DC46-4F84-A80E-2FC9AF9E3AD3}"/>
    <cellStyle name="Normal 5 2 2 4 4 5" xfId="28473" xr:uid="{FF3D7963-82C0-4C54-A6BC-AA880C2100D3}"/>
    <cellStyle name="Normal 5 2 2 4 4 6" xfId="20026" xr:uid="{8F8A41AF-5F26-4B25-8013-74670C4340B3}"/>
    <cellStyle name="Normal 5 2 2 4 4 7" xfId="10729" xr:uid="{0956E6BF-DC0F-49F7-8D63-420F4015E686}"/>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43696" xr:uid="{4920DF2C-5AF0-4CC8-82CA-56A59361B503}"/>
    <cellStyle name="Normal 5 2 2 4 5 2 2 3" xfId="35249" xr:uid="{26FE21A2-F97C-4522-A91F-784E7DABC1D1}"/>
    <cellStyle name="Normal 5 2 2 4 5 2 2 4" xfId="26801" xr:uid="{8F546E2F-7C1E-42FD-B938-E2AA5C6B568B}"/>
    <cellStyle name="Normal 5 2 2 4 5 2 2 5" xfId="17504" xr:uid="{AA40EC99-5B57-4822-BEAC-82D02D08BFF9}"/>
    <cellStyle name="Normal 5 2 2 4 5 2 3" xfId="39479" xr:uid="{7DC95877-C92C-4325-BEED-1A1A171F1FFC}"/>
    <cellStyle name="Normal 5 2 2 4 5 2 4" xfId="31031" xr:uid="{216F0CC3-9B6C-4CDC-BFBA-6299FB9C83EC}"/>
    <cellStyle name="Normal 5 2 2 4 5 2 5" xfId="22584" xr:uid="{05754A7D-EE04-4D0E-A0CE-77D0C5835429}"/>
    <cellStyle name="Normal 5 2 2 4 5 2 6" xfId="13287" xr:uid="{30969D14-74CC-4E9A-8B0F-9C5AAB09CE30}"/>
    <cellStyle name="Normal 5 2 2 4 5 3" xfId="6033" xr:uid="{00000000-0005-0000-0000-000006180000}"/>
    <cellStyle name="Normal 5 2 2 4 5 3 2" xfId="41551" xr:uid="{9FBFF32F-8740-4DED-8C7F-AE79546C3709}"/>
    <cellStyle name="Normal 5 2 2 4 5 3 3" xfId="33104" xr:uid="{62EA6772-93DA-40D2-9240-F8240B89B316}"/>
    <cellStyle name="Normal 5 2 2 4 5 3 4" xfId="24656" xr:uid="{0FB86378-38EC-449C-9DC3-3923FCA5380E}"/>
    <cellStyle name="Normal 5 2 2 4 5 3 5" xfId="15359" xr:uid="{3CBC60FF-FD28-4692-AB1F-36424BC7E7B4}"/>
    <cellStyle name="Normal 5 2 2 4 5 4" xfId="37334" xr:uid="{B94C611C-8BDF-4A58-AED3-7EC07D5DEB49}"/>
    <cellStyle name="Normal 5 2 2 4 5 5" xfId="28886" xr:uid="{FCFCF4BF-0A6D-48F3-A88C-DC688C7E0110}"/>
    <cellStyle name="Normal 5 2 2 4 5 6" xfId="20439" xr:uid="{B2D7318D-0664-4EDD-AFBB-82A4920B3DB1}"/>
    <cellStyle name="Normal 5 2 2 4 5 7" xfId="11142" xr:uid="{1067EF76-6AB1-45F0-9D3F-62EA8A80E7CE}"/>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44109" xr:uid="{51916C01-524A-4226-A03A-0AAF9A9F38F3}"/>
    <cellStyle name="Normal 5 2 2 4 6 2 2 3" xfId="35662" xr:uid="{512B7780-9C36-462E-BC2B-C5B147EEE2A8}"/>
    <cellStyle name="Normal 5 2 2 4 6 2 2 4" xfId="27214" xr:uid="{9FAE7BE8-2140-462A-ACD7-A352975CE529}"/>
    <cellStyle name="Normal 5 2 2 4 6 2 2 5" xfId="17917" xr:uid="{111DF58F-5FE5-4DB6-8AA3-9333BFAB317A}"/>
    <cellStyle name="Normal 5 2 2 4 6 2 3" xfId="39892" xr:uid="{E5825D54-779B-468E-8C3F-0F9956BB3A86}"/>
    <cellStyle name="Normal 5 2 2 4 6 2 4" xfId="31444" xr:uid="{CC31A648-52E1-464B-AD23-0AA49ED540BC}"/>
    <cellStyle name="Normal 5 2 2 4 6 2 5" xfId="22997" xr:uid="{E0A61C7C-3A7F-4883-940A-463C668D5BE5}"/>
    <cellStyle name="Normal 5 2 2 4 6 2 6" xfId="13700" xr:uid="{C4E1AEE9-4F01-452D-A14F-7943180F4813}"/>
    <cellStyle name="Normal 5 2 2 4 6 3" xfId="6446" xr:uid="{00000000-0005-0000-0000-00000A180000}"/>
    <cellStyle name="Normal 5 2 2 4 6 3 2" xfId="41964" xr:uid="{34D05961-54FD-4615-8ACD-62B87D81795B}"/>
    <cellStyle name="Normal 5 2 2 4 6 3 3" xfId="33517" xr:uid="{4493FD13-A833-4141-96AF-396DB818D679}"/>
    <cellStyle name="Normal 5 2 2 4 6 3 4" xfId="25069" xr:uid="{9B0D1ECB-4110-4EEA-B6E8-C5D63AC6C3A9}"/>
    <cellStyle name="Normal 5 2 2 4 6 3 5" xfId="15772" xr:uid="{A226FFC7-7813-4794-84EC-65B80158F115}"/>
    <cellStyle name="Normal 5 2 2 4 6 4" xfId="37747" xr:uid="{35685F05-74CE-4477-A85B-019A553F566C}"/>
    <cellStyle name="Normal 5 2 2 4 6 5" xfId="29299" xr:uid="{C8C30AA8-B700-41E6-B2E0-65CC8AA1B40D}"/>
    <cellStyle name="Normal 5 2 2 4 6 6" xfId="20852" xr:uid="{6BC26510-737B-4D1D-8EDE-D57834698E58}"/>
    <cellStyle name="Normal 5 2 2 4 6 7" xfId="11555" xr:uid="{BE9553EA-CC22-4144-A8A2-73738BFB280B}"/>
    <cellStyle name="Normal 5 2 2 4 7" xfId="2576" xr:uid="{00000000-0005-0000-0000-00000B180000}"/>
    <cellStyle name="Normal 5 2 2 4 7 2" xfId="6859" xr:uid="{00000000-0005-0000-0000-00000C180000}"/>
    <cellStyle name="Normal 5 2 2 4 7 2 2" xfId="42377" xr:uid="{C165044E-AB88-4C18-ACA9-BB622E548E44}"/>
    <cellStyle name="Normal 5 2 2 4 7 2 3" xfId="33930" xr:uid="{0CA80594-4321-4F7E-9716-F9134D8AEA77}"/>
    <cellStyle name="Normal 5 2 2 4 7 2 4" xfId="25482" xr:uid="{E585255E-9D27-42DA-9A13-C55F59B922BA}"/>
    <cellStyle name="Normal 5 2 2 4 7 2 5" xfId="16185" xr:uid="{FB0C3A37-A380-450C-A0C3-A011021568AC}"/>
    <cellStyle name="Normal 5 2 2 4 7 3" xfId="38160" xr:uid="{4560D2A9-8EAA-436D-A836-C604201363D4}"/>
    <cellStyle name="Normal 5 2 2 4 7 4" xfId="29712" xr:uid="{668B34DF-0843-4F89-BD01-8B4F2223C024}"/>
    <cellStyle name="Normal 5 2 2 4 7 5" xfId="21265" xr:uid="{4FF8C152-25D6-4804-AB96-0168948F1E37}"/>
    <cellStyle name="Normal 5 2 2 4 7 6" xfId="11968" xr:uid="{7EF33849-1DA0-4E6B-AE23-D441FDBEE5BE}"/>
    <cellStyle name="Normal 5 2 2 4 8" xfId="4794" xr:uid="{00000000-0005-0000-0000-00000D180000}"/>
    <cellStyle name="Normal 5 2 2 4 8 2" xfId="40312" xr:uid="{728CC6FC-332F-4561-A1E1-F2F529E4003B}"/>
    <cellStyle name="Normal 5 2 2 4 8 3" xfId="31865" xr:uid="{91CD7552-B920-4F39-B347-8DB2F9D022F6}"/>
    <cellStyle name="Normal 5 2 2 4 8 4" xfId="23417" xr:uid="{77CA4960-5011-43F9-B1C8-A0FB7710A1A8}"/>
    <cellStyle name="Normal 5 2 2 4 8 5" xfId="14120" xr:uid="{C2607595-DD80-4C69-B01A-754E84F1B98A}"/>
    <cellStyle name="Normal 5 2 2 4 9" xfId="8856" xr:uid="{8A537EF5-BE1D-4B82-9546-B2DC1F74308F}"/>
    <cellStyle name="Normal 5 2 2 4 9 2" xfId="36095" xr:uid="{AFB966C5-841D-4824-9C8F-CEBA174D9A0A}"/>
    <cellStyle name="Normal 5 2 2 4 9 3" xfId="18179" xr:uid="{B145DE65-A1E3-40E7-9007-0325B96B7597}"/>
    <cellStyle name="Normal 5 2 2 5" xfId="423" xr:uid="{00000000-0005-0000-0000-00000E180000}"/>
    <cellStyle name="Normal 5 2 2 5 10" xfId="19202" xr:uid="{6B0AB026-87FF-4AAE-9902-FA6824E3A35C}"/>
    <cellStyle name="Normal 5 2 2 5 11" xfId="9905" xr:uid="{65F9DFA0-02FC-42BC-A9F6-65DF799FA39C}"/>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42872" xr:uid="{464E8BB4-E442-4FCF-BBAC-179CEDCFCEF6}"/>
    <cellStyle name="Normal 5 2 2 5 2 2 2 3" xfId="34425" xr:uid="{FBEED087-85FE-4E0F-A6BF-FFA492807C58}"/>
    <cellStyle name="Normal 5 2 2 5 2 2 2 4" xfId="25977" xr:uid="{C16D97DA-62C8-461F-A5F8-33CF50B04C4E}"/>
    <cellStyle name="Normal 5 2 2 5 2 2 2 5" xfId="16680" xr:uid="{EB2ACA03-0939-4842-9E3C-7BBA15F688A2}"/>
    <cellStyle name="Normal 5 2 2 5 2 2 3" xfId="38655" xr:uid="{604414ED-6108-4516-B02B-132D1B122A5F}"/>
    <cellStyle name="Normal 5 2 2 5 2 2 4" xfId="30207" xr:uid="{698FB2D6-A473-4D6B-B3F6-4634BBA9642F}"/>
    <cellStyle name="Normal 5 2 2 5 2 2 5" xfId="21760" xr:uid="{05963F05-C8A0-4E06-A500-5B366CD25918}"/>
    <cellStyle name="Normal 5 2 2 5 2 2 6" xfId="12463" xr:uid="{7B3D43EF-AADD-4FA2-9C15-CC48BE3C5CB5}"/>
    <cellStyle name="Normal 5 2 2 5 2 3" xfId="5209" xr:uid="{00000000-0005-0000-0000-000012180000}"/>
    <cellStyle name="Normal 5 2 2 5 2 3 2" xfId="40727" xr:uid="{33B6A782-CEE3-4317-BB9C-D914FEF26E58}"/>
    <cellStyle name="Normal 5 2 2 5 2 3 3" xfId="32280" xr:uid="{B798EA5A-15D8-4D06-984D-3B8D44954D1A}"/>
    <cellStyle name="Normal 5 2 2 5 2 3 4" xfId="23832" xr:uid="{8F0DD081-7E95-469A-8A46-205BFE5EBAFD}"/>
    <cellStyle name="Normal 5 2 2 5 2 3 5" xfId="14535" xr:uid="{FA51BB3F-2601-44DD-A8EC-D1B0702A8951}"/>
    <cellStyle name="Normal 5 2 2 5 2 4" xfId="9397" xr:uid="{3CB0B9A4-F907-4F52-ACFC-7970F7AF9B13}"/>
    <cellStyle name="Normal 5 2 2 5 2 4 2" xfId="36510" xr:uid="{A6E12366-C597-4A8A-B137-CFF8F93A4E74}"/>
    <cellStyle name="Normal 5 2 2 5 2 4 3" xfId="18710" xr:uid="{1A8466B8-9100-42C2-8BB1-0EB72E2DA260}"/>
    <cellStyle name="Normal 5 2 2 5 2 5" xfId="28062" xr:uid="{C84E214C-DA46-4891-8923-F3789E611C30}"/>
    <cellStyle name="Normal 5 2 2 5 2 6" xfId="19615" xr:uid="{2772C57E-4C7D-40B1-80C5-B487B541780B}"/>
    <cellStyle name="Normal 5 2 2 5 2 7" xfId="10318" xr:uid="{A19864BE-B83E-476D-B292-824E7A8EA329}"/>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43285" xr:uid="{487808C4-F323-4794-9626-CBEE3BB417F5}"/>
    <cellStyle name="Normal 5 2 2 5 3 2 2 3" xfId="34838" xr:uid="{273ED011-081B-4998-8E50-2EFCFCA1A7A0}"/>
    <cellStyle name="Normal 5 2 2 5 3 2 2 4" xfId="26390" xr:uid="{0C7FB7CC-1326-4B23-B105-DBA738D31ECC}"/>
    <cellStyle name="Normal 5 2 2 5 3 2 2 5" xfId="17093" xr:uid="{53D76616-8442-468E-B240-4DA7A71303A5}"/>
    <cellStyle name="Normal 5 2 2 5 3 2 3" xfId="39068" xr:uid="{DB4F3415-8F6A-444D-92BF-31C3F850736E}"/>
    <cellStyle name="Normal 5 2 2 5 3 2 4" xfId="30620" xr:uid="{A071EF7D-F3B3-4726-9F72-5C78581B0344}"/>
    <cellStyle name="Normal 5 2 2 5 3 2 5" xfId="22173" xr:uid="{00A7D729-2EDF-40E5-A057-7120B2C54D42}"/>
    <cellStyle name="Normal 5 2 2 5 3 2 6" xfId="12876" xr:uid="{73B329FE-B418-4A5A-9B70-467EA9AA0231}"/>
    <cellStyle name="Normal 5 2 2 5 3 3" xfId="5622" xr:uid="{00000000-0005-0000-0000-000016180000}"/>
    <cellStyle name="Normal 5 2 2 5 3 3 2" xfId="41140" xr:uid="{2771B593-CA3F-473E-8976-359115D2B37B}"/>
    <cellStyle name="Normal 5 2 2 5 3 3 3" xfId="32693" xr:uid="{B628E141-688E-4161-8EF2-5F327CF53717}"/>
    <cellStyle name="Normal 5 2 2 5 3 3 4" xfId="24245" xr:uid="{478D5529-D984-4428-B876-7CD5D558AB07}"/>
    <cellStyle name="Normal 5 2 2 5 3 3 5" xfId="14948" xr:uid="{04DF9E08-D900-44D9-864D-86F03BD433B5}"/>
    <cellStyle name="Normal 5 2 2 5 3 4" xfId="36923" xr:uid="{E284E425-868B-4566-9ED5-27E526473C7B}"/>
    <cellStyle name="Normal 5 2 2 5 3 5" xfId="28475" xr:uid="{42534D3C-6071-4A95-88BA-DB5A8C3E35E0}"/>
    <cellStyle name="Normal 5 2 2 5 3 6" xfId="20028" xr:uid="{F2E684D2-8B9B-4757-8D09-BEF4DDAB55F1}"/>
    <cellStyle name="Normal 5 2 2 5 3 7" xfId="10731" xr:uid="{8EA34AE7-582C-4C90-826A-4573C9BD4183}"/>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43698" xr:uid="{7AF18C33-1AE7-4855-81BF-EB813DDEA442}"/>
    <cellStyle name="Normal 5 2 2 5 4 2 2 3" xfId="35251" xr:uid="{79C5D36A-3EAC-4C41-8B7B-1E54FE6C8EFB}"/>
    <cellStyle name="Normal 5 2 2 5 4 2 2 4" xfId="26803" xr:uid="{A00334D5-B6BB-4D46-942B-C10BBA0947E8}"/>
    <cellStyle name="Normal 5 2 2 5 4 2 2 5" xfId="17506" xr:uid="{27C0A24C-106B-42CF-B98D-BDC87A81C125}"/>
    <cellStyle name="Normal 5 2 2 5 4 2 3" xfId="39481" xr:uid="{42143872-9484-4133-B9C3-31E13A8ADAF5}"/>
    <cellStyle name="Normal 5 2 2 5 4 2 4" xfId="31033" xr:uid="{88F27EAF-5211-49DB-AC55-F4ED15140DE6}"/>
    <cellStyle name="Normal 5 2 2 5 4 2 5" xfId="22586" xr:uid="{059FD8EF-DFA8-4D58-94E3-29CCE71F7C13}"/>
    <cellStyle name="Normal 5 2 2 5 4 2 6" xfId="13289" xr:uid="{09492413-5499-4442-96D5-48B2190917C4}"/>
    <cellStyle name="Normal 5 2 2 5 4 3" xfId="6035" xr:uid="{00000000-0005-0000-0000-00001A180000}"/>
    <cellStyle name="Normal 5 2 2 5 4 3 2" xfId="41553" xr:uid="{C82BDE63-FE6E-452E-944D-C2AF8E214CAB}"/>
    <cellStyle name="Normal 5 2 2 5 4 3 3" xfId="33106" xr:uid="{E58880D8-9813-4DBB-B02C-053C53F1F5FC}"/>
    <cellStyle name="Normal 5 2 2 5 4 3 4" xfId="24658" xr:uid="{27557ABC-522E-4702-9453-8DC933A68120}"/>
    <cellStyle name="Normal 5 2 2 5 4 3 5" xfId="15361" xr:uid="{2F9CEB2C-9DA0-4E1E-97D1-A2CFFB6660E5}"/>
    <cellStyle name="Normal 5 2 2 5 4 4" xfId="37336" xr:uid="{F30FEA58-B8A5-4B65-A843-44910C1D8C76}"/>
    <cellStyle name="Normal 5 2 2 5 4 5" xfId="28888" xr:uid="{0C18B8A8-27D8-4047-B1D6-889E622628FC}"/>
    <cellStyle name="Normal 5 2 2 5 4 6" xfId="20441" xr:uid="{D5673A08-9970-4074-96FF-FDE95F31A84F}"/>
    <cellStyle name="Normal 5 2 2 5 4 7" xfId="11144" xr:uid="{90051FE9-7E3B-4982-AF7A-C62AE0AE7C4C}"/>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44111" xr:uid="{3C449AD8-9554-48EE-AD43-AB56D9705E32}"/>
    <cellStyle name="Normal 5 2 2 5 5 2 2 3" xfId="35664" xr:uid="{42342C9F-4150-48C0-80BD-6664EA147787}"/>
    <cellStyle name="Normal 5 2 2 5 5 2 2 4" xfId="27216" xr:uid="{1D8C7F50-6E1C-41B9-9B57-B94020068998}"/>
    <cellStyle name="Normal 5 2 2 5 5 2 2 5" xfId="17919" xr:uid="{0E8951A0-CAEC-456F-8652-8E9EDEC9F2B4}"/>
    <cellStyle name="Normal 5 2 2 5 5 2 3" xfId="39894" xr:uid="{DC13B62D-AEF3-4F12-9D33-19C1C27B5AC8}"/>
    <cellStyle name="Normal 5 2 2 5 5 2 4" xfId="31446" xr:uid="{4046785A-8ACD-4A76-8EE6-A7935073B0F1}"/>
    <cellStyle name="Normal 5 2 2 5 5 2 5" xfId="22999" xr:uid="{91EB229F-298C-4322-A86B-57BEF14F63DF}"/>
    <cellStyle name="Normal 5 2 2 5 5 2 6" xfId="13702" xr:uid="{0A67BB03-E8DF-478E-A62F-6808765EC6D1}"/>
    <cellStyle name="Normal 5 2 2 5 5 3" xfId="6448" xr:uid="{00000000-0005-0000-0000-00001E180000}"/>
    <cellStyle name="Normal 5 2 2 5 5 3 2" xfId="41966" xr:uid="{8A969656-158E-4CA8-A186-104BBC39FC74}"/>
    <cellStyle name="Normal 5 2 2 5 5 3 3" xfId="33519" xr:uid="{DB74193F-0582-4DA3-98D4-51F1F7DAEBE9}"/>
    <cellStyle name="Normal 5 2 2 5 5 3 4" xfId="25071" xr:uid="{1E7B965F-04FC-42C7-A41B-7019D3CD6774}"/>
    <cellStyle name="Normal 5 2 2 5 5 3 5" xfId="15774" xr:uid="{24D1A14A-5792-4100-94AF-01E434FE576D}"/>
    <cellStyle name="Normal 5 2 2 5 5 4" xfId="37749" xr:uid="{9DC97908-009D-4DDE-A368-98936FE05E0A}"/>
    <cellStyle name="Normal 5 2 2 5 5 5" xfId="29301" xr:uid="{61D40B6F-4B51-41DD-90AA-3E11796B9F81}"/>
    <cellStyle name="Normal 5 2 2 5 5 6" xfId="20854" xr:uid="{BB68471A-46AF-4754-B7D9-4428EB3BB919}"/>
    <cellStyle name="Normal 5 2 2 5 5 7" xfId="11557" xr:uid="{6D7D9D28-355A-4946-8C1E-FCE4072B6BEE}"/>
    <cellStyle name="Normal 5 2 2 5 6" xfId="2578" xr:uid="{00000000-0005-0000-0000-00001F180000}"/>
    <cellStyle name="Normal 5 2 2 5 6 2" xfId="6861" xr:uid="{00000000-0005-0000-0000-000020180000}"/>
    <cellStyle name="Normal 5 2 2 5 6 2 2" xfId="42379" xr:uid="{8A3C5869-721A-4087-B54B-0AC47D5AEDE9}"/>
    <cellStyle name="Normal 5 2 2 5 6 2 3" xfId="33932" xr:uid="{55E1E38B-FF1C-4B64-9548-EEBA67B0F03A}"/>
    <cellStyle name="Normal 5 2 2 5 6 2 4" xfId="25484" xr:uid="{F6D3CE12-A09D-48B6-86FC-B7ABCE423FDB}"/>
    <cellStyle name="Normal 5 2 2 5 6 2 5" xfId="16187" xr:uid="{C3921DAF-376F-4B49-9A04-8427F5B150EE}"/>
    <cellStyle name="Normal 5 2 2 5 6 3" xfId="38162" xr:uid="{E4CFF174-C75A-4C09-919B-5EBD5C7F6537}"/>
    <cellStyle name="Normal 5 2 2 5 6 4" xfId="29714" xr:uid="{A11FAD6B-0518-48E0-9E7E-6E1537A4B8AE}"/>
    <cellStyle name="Normal 5 2 2 5 6 5" xfId="21267" xr:uid="{CA1BD85D-D182-4462-952F-74A09946714D}"/>
    <cellStyle name="Normal 5 2 2 5 6 6" xfId="11970" xr:uid="{332B6EEA-9D89-431A-831C-02BC1AB4CB29}"/>
    <cellStyle name="Normal 5 2 2 5 7" xfId="4796" xr:uid="{00000000-0005-0000-0000-000021180000}"/>
    <cellStyle name="Normal 5 2 2 5 7 2" xfId="40314" xr:uid="{679C7FD4-3150-413D-863E-BFC14D063F40}"/>
    <cellStyle name="Normal 5 2 2 5 7 3" xfId="31867" xr:uid="{3E046474-60AA-4295-A021-3321F4D4C76D}"/>
    <cellStyle name="Normal 5 2 2 5 7 4" xfId="23419" xr:uid="{F4A6E275-A2AA-4F63-8B7B-A9CD6646C711}"/>
    <cellStyle name="Normal 5 2 2 5 7 5" xfId="14122" xr:uid="{5539D989-9E2C-458C-BBFE-53C1EA1499FB}"/>
    <cellStyle name="Normal 5 2 2 5 8" xfId="8972" xr:uid="{3CCC8856-6464-4309-A4F9-43F74A48C503}"/>
    <cellStyle name="Normal 5 2 2 5 8 2" xfId="36097" xr:uid="{CD8E8721-4109-49FB-8E50-FAEF31FD10C6}"/>
    <cellStyle name="Normal 5 2 2 5 8 3" xfId="18295" xr:uid="{7B5338F1-BB3F-480E-B9C4-D77E0CBCCD46}"/>
    <cellStyle name="Normal 5 2 2 5 9" xfId="27649" xr:uid="{777B4DC5-F3EE-47B7-B44D-C7F59779B816}"/>
    <cellStyle name="Normal 5 2 2 6" xfId="882" xr:uid="{00000000-0005-0000-0000-000022180000}"/>
    <cellStyle name="Normal 5 2 2 6 2" xfId="3117" xr:uid="{00000000-0005-0000-0000-000023180000}"/>
    <cellStyle name="Normal 5 2 2 6 2 2" xfId="7339" xr:uid="{00000000-0005-0000-0000-000024180000}"/>
    <cellStyle name="Normal 5 2 2 6 2 2 2" xfId="42857" xr:uid="{AF2506EF-898D-49BA-BE7B-0C5EF272E2B7}"/>
    <cellStyle name="Normal 5 2 2 6 2 2 3" xfId="34410" xr:uid="{21303B5E-A61F-4F92-A98E-87837FDDD413}"/>
    <cellStyle name="Normal 5 2 2 6 2 2 4" xfId="25962" xr:uid="{C133A3A5-3C8D-4FB0-B572-EDB1A9A580D4}"/>
    <cellStyle name="Normal 5 2 2 6 2 2 5" xfId="16665" xr:uid="{E9B79541-DD21-4641-83CF-61AD4EE97264}"/>
    <cellStyle name="Normal 5 2 2 6 2 3" xfId="38640" xr:uid="{0BDA4825-F4B7-44C5-8BAA-CFC720A23B6C}"/>
    <cellStyle name="Normal 5 2 2 6 2 4" xfId="30192" xr:uid="{97EF99D3-1A78-4D54-BF32-0FECE6E37B7D}"/>
    <cellStyle name="Normal 5 2 2 6 2 5" xfId="21745" xr:uid="{C32C9F50-AEDC-4DCE-83D5-551282E1B7F9}"/>
    <cellStyle name="Normal 5 2 2 6 2 6" xfId="12448" xr:uid="{714DE281-BD4D-4AD1-929C-BAA619B2E1FD}"/>
    <cellStyle name="Normal 5 2 2 6 3" xfId="5194" xr:uid="{00000000-0005-0000-0000-000025180000}"/>
    <cellStyle name="Normal 5 2 2 6 3 2" xfId="40712" xr:uid="{DE1AC1A3-38E0-4762-9060-C2BD5EEC5CFE}"/>
    <cellStyle name="Normal 5 2 2 6 3 3" xfId="32265" xr:uid="{FD7D3CF3-B9E8-4011-B71D-123D3573CFAD}"/>
    <cellStyle name="Normal 5 2 2 6 3 4" xfId="23817" xr:uid="{3EA6A644-954B-436F-B723-7478670F581A}"/>
    <cellStyle name="Normal 5 2 2 6 3 5" xfId="14520" xr:uid="{6EA8C3E3-2C50-47AC-8767-FBE115E73EF2}"/>
    <cellStyle name="Normal 5 2 2 6 4" xfId="9175" xr:uid="{A0BC076A-DB75-4963-A17E-57836FA6391D}"/>
    <cellStyle name="Normal 5 2 2 6 4 2" xfId="36495" xr:uid="{6FDFE87F-2632-491B-B7C8-F90AE988517E}"/>
    <cellStyle name="Normal 5 2 2 6 4 3" xfId="18491" xr:uid="{BE9A5E30-70B6-4A99-ADB0-081E2EEF24D4}"/>
    <cellStyle name="Normal 5 2 2 6 5" xfId="28047" xr:uid="{6C00539C-4CB7-42B9-AF75-E205030018C1}"/>
    <cellStyle name="Normal 5 2 2 6 6" xfId="19600" xr:uid="{2D95F435-1DCD-4063-9B20-AA8FB2AF4B8A}"/>
    <cellStyle name="Normal 5 2 2 6 7" xfId="10303" xr:uid="{8266567F-A2EB-4165-89C3-22D688134758}"/>
    <cellStyle name="Normal 5 2 2 7" xfId="1300" xr:uid="{00000000-0005-0000-0000-000026180000}"/>
    <cellStyle name="Normal 5 2 2 7 2" xfId="3530" xr:uid="{00000000-0005-0000-0000-000027180000}"/>
    <cellStyle name="Normal 5 2 2 7 2 2" xfId="7752" xr:uid="{00000000-0005-0000-0000-000028180000}"/>
    <cellStyle name="Normal 5 2 2 7 2 2 2" xfId="43270" xr:uid="{26F6A653-E860-4F5D-8F67-D73FB7CE17D3}"/>
    <cellStyle name="Normal 5 2 2 7 2 2 3" xfId="34823" xr:uid="{9C0EF3B8-F600-47E8-95AA-C58A81E66DD6}"/>
    <cellStyle name="Normal 5 2 2 7 2 2 4" xfId="26375" xr:uid="{81B1C945-E99B-4BEC-AB86-4F4CE1357753}"/>
    <cellStyle name="Normal 5 2 2 7 2 2 5" xfId="17078" xr:uid="{CF247592-83B4-434E-9723-53BEA3349055}"/>
    <cellStyle name="Normal 5 2 2 7 2 3" xfId="39053" xr:uid="{89825E74-C955-423D-BB50-5C174A992CF3}"/>
    <cellStyle name="Normal 5 2 2 7 2 4" xfId="30605" xr:uid="{5380C5A0-E5B2-439E-A4A5-B3B18830B9B5}"/>
    <cellStyle name="Normal 5 2 2 7 2 5" xfId="22158" xr:uid="{4B09ECA8-9B0E-4099-BBEC-DCA1E192C178}"/>
    <cellStyle name="Normal 5 2 2 7 2 6" xfId="12861" xr:uid="{4D758862-B51B-4DB2-AA2E-6CD86C2BACFF}"/>
    <cellStyle name="Normal 5 2 2 7 3" xfId="5607" xr:uid="{00000000-0005-0000-0000-000029180000}"/>
    <cellStyle name="Normal 5 2 2 7 3 2" xfId="41125" xr:uid="{9F039D6E-E294-472D-A295-C34F76640440}"/>
    <cellStyle name="Normal 5 2 2 7 3 3" xfId="32678" xr:uid="{1BF68722-9CA5-4756-9181-798155BCA4FF}"/>
    <cellStyle name="Normal 5 2 2 7 3 4" xfId="24230" xr:uid="{E5F5393F-255F-44CC-8838-95145F472E69}"/>
    <cellStyle name="Normal 5 2 2 7 3 5" xfId="14933" xr:uid="{BD61D111-30A1-4CF3-9B46-3791B83CBE11}"/>
    <cellStyle name="Normal 5 2 2 7 4" xfId="36908" xr:uid="{6E8BA8B0-4747-49E8-B0DB-D6B340463E08}"/>
    <cellStyle name="Normal 5 2 2 7 5" xfId="28460" xr:uid="{4794F61F-B0FE-472A-89A3-CD3401127590}"/>
    <cellStyle name="Normal 5 2 2 7 6" xfId="20013" xr:uid="{21D04FE2-506B-41C8-B0EA-CB1A3E2CD127}"/>
    <cellStyle name="Normal 5 2 2 7 7" xfId="10716" xr:uid="{BD0DD818-2467-416D-BBAB-44C8A3CF6007}"/>
    <cellStyle name="Normal 5 2 2 8" xfId="1713" xr:uid="{00000000-0005-0000-0000-00002A180000}"/>
    <cellStyle name="Normal 5 2 2 8 2" xfId="3943" xr:uid="{00000000-0005-0000-0000-00002B180000}"/>
    <cellStyle name="Normal 5 2 2 8 2 2" xfId="8165" xr:uid="{00000000-0005-0000-0000-00002C180000}"/>
    <cellStyle name="Normal 5 2 2 8 2 2 2" xfId="43683" xr:uid="{602C87E8-C88A-4AAB-853A-1DB29597E0CA}"/>
    <cellStyle name="Normal 5 2 2 8 2 2 3" xfId="35236" xr:uid="{4253BC0A-B1DF-4F07-81F0-86D92685EDA1}"/>
    <cellStyle name="Normal 5 2 2 8 2 2 4" xfId="26788" xr:uid="{03625A91-F8D5-426A-81F1-481C542E7B75}"/>
    <cellStyle name="Normal 5 2 2 8 2 2 5" xfId="17491" xr:uid="{CF3384FA-F265-47CC-8FC8-A9AC48D60A7F}"/>
    <cellStyle name="Normal 5 2 2 8 2 3" xfId="39466" xr:uid="{B624A6D2-C2AA-4FFF-923C-6C3B1FF3C95B}"/>
    <cellStyle name="Normal 5 2 2 8 2 4" xfId="31018" xr:uid="{B725E817-85C7-41C3-913A-870A610A11D0}"/>
    <cellStyle name="Normal 5 2 2 8 2 5" xfId="22571" xr:uid="{622AB576-1717-45CC-9C43-11301F0DA4BB}"/>
    <cellStyle name="Normal 5 2 2 8 2 6" xfId="13274" xr:uid="{0D4DC143-0E13-4126-BCA0-665FA2B0EE66}"/>
    <cellStyle name="Normal 5 2 2 8 3" xfId="6020" xr:uid="{00000000-0005-0000-0000-00002D180000}"/>
    <cellStyle name="Normal 5 2 2 8 3 2" xfId="41538" xr:uid="{2B456305-2CEF-4A53-A371-2FAED44C7CE8}"/>
    <cellStyle name="Normal 5 2 2 8 3 3" xfId="33091" xr:uid="{D046CBAE-3ECA-49BA-B23A-1C3A9851AC0E}"/>
    <cellStyle name="Normal 5 2 2 8 3 4" xfId="24643" xr:uid="{3E11CCE6-9858-4A90-835B-39366DD24D21}"/>
    <cellStyle name="Normal 5 2 2 8 3 5" xfId="15346" xr:uid="{D05BFD5F-2C97-4D92-B93D-81E4DDE31BCE}"/>
    <cellStyle name="Normal 5 2 2 8 4" xfId="37321" xr:uid="{7A730901-AF85-4D80-97BF-00FD16EE2056}"/>
    <cellStyle name="Normal 5 2 2 8 5" xfId="28873" xr:uid="{3E8DD776-D3FB-4AAA-8308-EE5FE91D02FC}"/>
    <cellStyle name="Normal 5 2 2 8 6" xfId="20426" xr:uid="{20BE5D93-6740-41AC-95C2-CEC5987D7E79}"/>
    <cellStyle name="Normal 5 2 2 8 7" xfId="11129" xr:uid="{153D76E4-3CED-4788-ADED-BACD2A1DFCE7}"/>
    <cellStyle name="Normal 5 2 2 9" xfId="2127" xr:uid="{00000000-0005-0000-0000-00002E180000}"/>
    <cellStyle name="Normal 5 2 2 9 2" xfId="4356" xr:uid="{00000000-0005-0000-0000-00002F180000}"/>
    <cellStyle name="Normal 5 2 2 9 2 2" xfId="8578" xr:uid="{00000000-0005-0000-0000-000030180000}"/>
    <cellStyle name="Normal 5 2 2 9 2 2 2" xfId="44096" xr:uid="{3D94EAD0-8452-4EC0-B17D-EE754A97B4A1}"/>
    <cellStyle name="Normal 5 2 2 9 2 2 3" xfId="35649" xr:uid="{BA31E346-72F1-4641-B89C-E9FE92C6E418}"/>
    <cellStyle name="Normal 5 2 2 9 2 2 4" xfId="27201" xr:uid="{DBA5B7F4-F53B-4830-8B0D-821F3C626983}"/>
    <cellStyle name="Normal 5 2 2 9 2 2 5" xfId="17904" xr:uid="{03358D05-22CC-4A39-8E89-A21EFAECED33}"/>
    <cellStyle name="Normal 5 2 2 9 2 3" xfId="39879" xr:uid="{AA6AB757-8B28-4A86-9DDB-C64B75DE0B01}"/>
    <cellStyle name="Normal 5 2 2 9 2 4" xfId="31431" xr:uid="{47991589-EE0C-4928-99C2-6E6530FBE7DB}"/>
    <cellStyle name="Normal 5 2 2 9 2 5" xfId="22984" xr:uid="{29B153A1-C784-4F82-87FE-01BDFF93372C}"/>
    <cellStyle name="Normal 5 2 2 9 2 6" xfId="13687" xr:uid="{DD03282B-4712-48B8-9441-22054730B540}"/>
    <cellStyle name="Normal 5 2 2 9 3" xfId="6433" xr:uid="{00000000-0005-0000-0000-000031180000}"/>
    <cellStyle name="Normal 5 2 2 9 3 2" xfId="41951" xr:uid="{555A49F3-F947-4AA7-9EB4-8DBCD72F3D8B}"/>
    <cellStyle name="Normal 5 2 2 9 3 3" xfId="33504" xr:uid="{828B9E1A-2BBD-4D0C-9610-A95508EEF871}"/>
    <cellStyle name="Normal 5 2 2 9 3 4" xfId="25056" xr:uid="{65660825-234C-4C7E-9529-F626FFD66CE2}"/>
    <cellStyle name="Normal 5 2 2 9 3 5" xfId="15759" xr:uid="{D3DC1EC0-19EB-4DAF-A781-D925E3C92AE6}"/>
    <cellStyle name="Normal 5 2 2 9 4" xfId="37734" xr:uid="{205A9DE5-22AD-4538-A05D-9A0186893CD6}"/>
    <cellStyle name="Normal 5 2 2 9 5" xfId="29286" xr:uid="{895F251C-6B0E-4D28-A6AD-789C91D2A4C9}"/>
    <cellStyle name="Normal 5 2 2 9 6" xfId="20839" xr:uid="{14A109C7-57F2-4F76-BA3C-C290603C1724}"/>
    <cellStyle name="Normal 5 2 2 9 7" xfId="11542" xr:uid="{89269461-71FA-44C9-8B8F-CDBA0A1100BF}"/>
    <cellStyle name="Normal 5 2 3" xfId="424" xr:uid="{00000000-0005-0000-0000-000032180000}"/>
    <cellStyle name="Normal 5 2 3 10" xfId="4797" xr:uid="{00000000-0005-0000-0000-000033180000}"/>
    <cellStyle name="Normal 5 2 3 10 2" xfId="40315" xr:uid="{F7D37BD0-6C0B-47A0-A709-DFAE5BF23319}"/>
    <cellStyle name="Normal 5 2 3 10 3" xfId="31868" xr:uid="{765FC6C7-BC08-4EBE-B777-4099E0F15FC6}"/>
    <cellStyle name="Normal 5 2 3 10 4" xfId="23420" xr:uid="{FD6BE2A1-2DE7-4754-88B4-F683E250108A}"/>
    <cellStyle name="Normal 5 2 3 10 5" xfId="14123" xr:uid="{3389F930-EAF3-4C38-B2F8-0DD3A03D0326}"/>
    <cellStyle name="Normal 5 2 3 11" xfId="8776" xr:uid="{883173D2-CE3E-48F3-8E13-32EAEF7B08C3}"/>
    <cellStyle name="Normal 5 2 3 11 2" xfId="36098" xr:uid="{CCBCA901-559E-4F99-B4A8-871E233CDA30}"/>
    <cellStyle name="Normal 5 2 3 11 3" xfId="18099" xr:uid="{7A57DCE2-E7C7-469F-A5D5-FA9A1A4A916B}"/>
    <cellStyle name="Normal 5 2 3 12" xfId="27650" xr:uid="{93F33942-9545-4598-B192-9BCAEF785E2E}"/>
    <cellStyle name="Normal 5 2 3 13" xfId="19203" xr:uid="{E8DA0EE0-D24F-44C0-AB54-7B12BB2A1890}"/>
    <cellStyle name="Normal 5 2 3 14" xfId="9906" xr:uid="{F8081B10-517A-404E-98DC-495B1B9E6550}"/>
    <cellStyle name="Normal 5 2 3 2" xfId="425" xr:uid="{00000000-0005-0000-0000-000034180000}"/>
    <cellStyle name="Normal 5 2 3 2 10" xfId="8830" xr:uid="{287E15F2-6F23-4B3E-B8AA-9DE92D950FBA}"/>
    <cellStyle name="Normal 5 2 3 2 10 2" xfId="36099" xr:uid="{6CE56EA4-20A4-4147-986A-DB5A374A436A}"/>
    <cellStyle name="Normal 5 2 3 2 10 3" xfId="18153" xr:uid="{E59E25BA-FF63-4DD3-A0B9-C38A23491D04}"/>
    <cellStyle name="Normal 5 2 3 2 11" xfId="27651" xr:uid="{3EBE32CC-FB57-4EAE-B890-ABF58E503EDE}"/>
    <cellStyle name="Normal 5 2 3 2 12" xfId="19204" xr:uid="{85BE332D-A5E7-4A7A-908B-A0942389C604}"/>
    <cellStyle name="Normal 5 2 3 2 13" xfId="9907" xr:uid="{6D223148-84DC-4B1B-942F-881C8D835AC0}"/>
    <cellStyle name="Normal 5 2 3 2 2" xfId="426" xr:uid="{00000000-0005-0000-0000-000035180000}"/>
    <cellStyle name="Normal 5 2 3 2 2 10" xfId="27652" xr:uid="{60BDF988-3A60-4C37-845A-3BBEFEA0805A}"/>
    <cellStyle name="Normal 5 2 3 2 2 11" xfId="19205" xr:uid="{99EE8282-41F0-4C3F-AB50-6CB5C6B524DF}"/>
    <cellStyle name="Normal 5 2 3 2 2 12" xfId="9908" xr:uid="{48769DDE-FADE-42C2-90A8-E2F828700D36}"/>
    <cellStyle name="Normal 5 2 3 2 2 2" xfId="427" xr:uid="{00000000-0005-0000-0000-000036180000}"/>
    <cellStyle name="Normal 5 2 3 2 2 2 10" xfId="19206" xr:uid="{39EED23C-FCD4-4B13-8A84-5A34F24D78D7}"/>
    <cellStyle name="Normal 5 2 3 2 2 2 11" xfId="9909" xr:uid="{AC570588-FF13-4855-85D6-65B2309D0E4D}"/>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42876" xr:uid="{DBCEFF89-91FA-4DE2-BDAD-0735DED06D99}"/>
    <cellStyle name="Normal 5 2 3 2 2 2 2 2 2 3" xfId="34429" xr:uid="{9724839C-68BE-48CA-BA59-031071F3B538}"/>
    <cellStyle name="Normal 5 2 3 2 2 2 2 2 2 4" xfId="25981" xr:uid="{9CB39475-92AA-4E53-B42D-4FCDECDA8C16}"/>
    <cellStyle name="Normal 5 2 3 2 2 2 2 2 2 5" xfId="16684" xr:uid="{2394B1BA-5987-409E-94DB-CDD7931B514A}"/>
    <cellStyle name="Normal 5 2 3 2 2 2 2 2 3" xfId="38659" xr:uid="{6B097976-59A7-4819-9F21-142635988B51}"/>
    <cellStyle name="Normal 5 2 3 2 2 2 2 2 4" xfId="30211" xr:uid="{9CC5C72B-5356-4733-B129-736BE15B9F9A}"/>
    <cellStyle name="Normal 5 2 3 2 2 2 2 2 5" xfId="21764" xr:uid="{28AB9264-A3FD-46A1-BDE8-1425680F1BEB}"/>
    <cellStyle name="Normal 5 2 3 2 2 2 2 2 6" xfId="12467" xr:uid="{C4CC07D3-9A69-4DFB-B252-CCD7C54BA45F}"/>
    <cellStyle name="Normal 5 2 3 2 2 2 2 3" xfId="5213" xr:uid="{00000000-0005-0000-0000-00003A180000}"/>
    <cellStyle name="Normal 5 2 3 2 2 2 2 3 2" xfId="40731" xr:uid="{80A7E642-1ABB-4ACA-AEC4-E1981FDF8D60}"/>
    <cellStyle name="Normal 5 2 3 2 2 2 2 3 3" xfId="32284" xr:uid="{2131FE34-7027-4E93-B121-F609FB96F0D0}"/>
    <cellStyle name="Normal 5 2 3 2 2 2 2 3 4" xfId="23836" xr:uid="{0BBFA147-D95D-437F-BB1F-2F596FD4F858}"/>
    <cellStyle name="Normal 5 2 3 2 2 2 2 3 5" xfId="14539" xr:uid="{28054A89-DBBA-4709-985F-379F61ABA1CB}"/>
    <cellStyle name="Normal 5 2 3 2 2 2 2 4" xfId="9565" xr:uid="{B33C5ECB-02D9-4BAF-B467-F38E8EEB7F6E}"/>
    <cellStyle name="Normal 5 2 3 2 2 2 2 4 2" xfId="36514" xr:uid="{46DF78B8-17A4-4108-B0B8-E26AF98F6F81}"/>
    <cellStyle name="Normal 5 2 3 2 2 2 2 4 3" xfId="18878" xr:uid="{9F5BA95C-D1ED-4AF3-8F39-2D198716A7B0}"/>
    <cellStyle name="Normal 5 2 3 2 2 2 2 5" xfId="28066" xr:uid="{6603D941-6964-4245-84E5-064F3A3BC527}"/>
    <cellStyle name="Normal 5 2 3 2 2 2 2 6" xfId="19619" xr:uid="{DBC0B41E-7432-4A66-ACC6-868137FCE089}"/>
    <cellStyle name="Normal 5 2 3 2 2 2 2 7" xfId="10322" xr:uid="{2CB89ACF-E88A-4DB0-B68E-3F5C883388E2}"/>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43289" xr:uid="{2900D7C9-C8B9-4AB5-B021-D2F2EC488660}"/>
    <cellStyle name="Normal 5 2 3 2 2 2 3 2 2 3" xfId="34842" xr:uid="{26DB7382-20F1-4D14-8C39-53BD1A380571}"/>
    <cellStyle name="Normal 5 2 3 2 2 2 3 2 2 4" xfId="26394" xr:uid="{EF2ACCD1-FFAC-4BD8-ADAB-30F306DE3358}"/>
    <cellStyle name="Normal 5 2 3 2 2 2 3 2 2 5" xfId="17097" xr:uid="{C9205169-14F5-43A5-AD44-57CF3DF3D841}"/>
    <cellStyle name="Normal 5 2 3 2 2 2 3 2 3" xfId="39072" xr:uid="{C4C89690-891B-4673-9F5B-1361E71121B3}"/>
    <cellStyle name="Normal 5 2 3 2 2 2 3 2 4" xfId="30624" xr:uid="{92E9FB66-D63E-4343-AB19-F2786B90186B}"/>
    <cellStyle name="Normal 5 2 3 2 2 2 3 2 5" xfId="22177" xr:uid="{841FD038-3787-48F2-A414-903913CA4E17}"/>
    <cellStyle name="Normal 5 2 3 2 2 2 3 2 6" xfId="12880" xr:uid="{34234518-8AA8-4A8D-BF4A-D6F07A0C7FB8}"/>
    <cellStyle name="Normal 5 2 3 2 2 2 3 3" xfId="5626" xr:uid="{00000000-0005-0000-0000-00003E180000}"/>
    <cellStyle name="Normal 5 2 3 2 2 2 3 3 2" xfId="41144" xr:uid="{6FB35CCD-73D8-4FD6-ADAD-33A004C30533}"/>
    <cellStyle name="Normal 5 2 3 2 2 2 3 3 3" xfId="32697" xr:uid="{A94B7844-B6B5-4622-B1F2-E0394B73A61B}"/>
    <cellStyle name="Normal 5 2 3 2 2 2 3 3 4" xfId="24249" xr:uid="{50D892EF-A027-487F-A6A4-11DBE731741E}"/>
    <cellStyle name="Normal 5 2 3 2 2 2 3 3 5" xfId="14952" xr:uid="{AD239F82-0B2E-496F-BBF6-ECE922F48628}"/>
    <cellStyle name="Normal 5 2 3 2 2 2 3 4" xfId="36927" xr:uid="{6D41BF46-2177-4091-B8AA-5CCE595FD548}"/>
    <cellStyle name="Normal 5 2 3 2 2 2 3 5" xfId="28479" xr:uid="{D812CA8E-1F0B-44B5-9986-54BF9D60735D}"/>
    <cellStyle name="Normal 5 2 3 2 2 2 3 6" xfId="20032" xr:uid="{CE0F7970-9844-4685-B071-8BD94B2710FC}"/>
    <cellStyle name="Normal 5 2 3 2 2 2 3 7" xfId="10735" xr:uid="{51D01A0F-172E-489D-BA2E-224DF6B1481A}"/>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43702" xr:uid="{D5CD5F4C-9321-4863-ACE3-1F0185311D01}"/>
    <cellStyle name="Normal 5 2 3 2 2 2 4 2 2 3" xfId="35255" xr:uid="{759BA314-882A-40EB-B867-99CB4F1B3978}"/>
    <cellStyle name="Normal 5 2 3 2 2 2 4 2 2 4" xfId="26807" xr:uid="{7BE8BEB8-C8B0-4B9F-B65B-2DF93F5DB358}"/>
    <cellStyle name="Normal 5 2 3 2 2 2 4 2 2 5" xfId="17510" xr:uid="{AF5EBCC0-E3C5-43ED-B8DF-2EBAA345D430}"/>
    <cellStyle name="Normal 5 2 3 2 2 2 4 2 3" xfId="39485" xr:uid="{B102FE5F-CFF0-4A70-BF9A-28D22B978F08}"/>
    <cellStyle name="Normal 5 2 3 2 2 2 4 2 4" xfId="31037" xr:uid="{1BACA3EC-A35C-4945-83C8-ED540B06B762}"/>
    <cellStyle name="Normal 5 2 3 2 2 2 4 2 5" xfId="22590" xr:uid="{3255B240-B4E1-4F29-BEF9-FE7B2268F691}"/>
    <cellStyle name="Normal 5 2 3 2 2 2 4 2 6" xfId="13293" xr:uid="{8B61038B-4DA0-4B9F-A53B-D2C2608FBDF2}"/>
    <cellStyle name="Normal 5 2 3 2 2 2 4 3" xfId="6039" xr:uid="{00000000-0005-0000-0000-000042180000}"/>
    <cellStyle name="Normal 5 2 3 2 2 2 4 3 2" xfId="41557" xr:uid="{3EE09A7E-2E47-4F67-87EA-8F4576D9CE45}"/>
    <cellStyle name="Normal 5 2 3 2 2 2 4 3 3" xfId="33110" xr:uid="{4A395909-4395-45EE-AB56-80B33F318C88}"/>
    <cellStyle name="Normal 5 2 3 2 2 2 4 3 4" xfId="24662" xr:uid="{AB5F4695-AD5D-495D-8C8F-E5949D276F92}"/>
    <cellStyle name="Normal 5 2 3 2 2 2 4 3 5" xfId="15365" xr:uid="{8CC54637-F9D4-4844-BBA9-D15FD3709B2B}"/>
    <cellStyle name="Normal 5 2 3 2 2 2 4 4" xfId="37340" xr:uid="{1F047317-9167-422E-8418-AFC3ED60EDC2}"/>
    <cellStyle name="Normal 5 2 3 2 2 2 4 5" xfId="28892" xr:uid="{237D45FC-358F-4EAF-95F0-26B5756FA135}"/>
    <cellStyle name="Normal 5 2 3 2 2 2 4 6" xfId="20445" xr:uid="{48DCE4BB-95CD-4B41-B86E-B32C221F2710}"/>
    <cellStyle name="Normal 5 2 3 2 2 2 4 7" xfId="11148" xr:uid="{8B95D6A5-25CC-4FD3-B3E8-CC5C10BB96A6}"/>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44115" xr:uid="{E204EC2A-1A16-4CDC-A5F2-2549B8E020F6}"/>
    <cellStyle name="Normal 5 2 3 2 2 2 5 2 2 3" xfId="35668" xr:uid="{CB52630D-7F6E-419F-90BA-7A38A0F9D6C4}"/>
    <cellStyle name="Normal 5 2 3 2 2 2 5 2 2 4" xfId="27220" xr:uid="{5EAC4768-9888-4A53-AA0C-DB331234D2D9}"/>
    <cellStyle name="Normal 5 2 3 2 2 2 5 2 2 5" xfId="17923" xr:uid="{81878EAC-743E-4142-A66F-5D175153B2D7}"/>
    <cellStyle name="Normal 5 2 3 2 2 2 5 2 3" xfId="39898" xr:uid="{9AE17172-9426-4273-93AC-BA2E66B1D12A}"/>
    <cellStyle name="Normal 5 2 3 2 2 2 5 2 4" xfId="31450" xr:uid="{63A98EEC-F044-42C1-B79E-D30485CC0B35}"/>
    <cellStyle name="Normal 5 2 3 2 2 2 5 2 5" xfId="23003" xr:uid="{A476E085-6B9A-4A05-A035-FDAB0A1B6AD5}"/>
    <cellStyle name="Normal 5 2 3 2 2 2 5 2 6" xfId="13706" xr:uid="{EEB44BBF-9711-4132-883D-69A1243FB5D4}"/>
    <cellStyle name="Normal 5 2 3 2 2 2 5 3" xfId="6452" xr:uid="{00000000-0005-0000-0000-000046180000}"/>
    <cellStyle name="Normal 5 2 3 2 2 2 5 3 2" xfId="41970" xr:uid="{65AC59FA-8C79-4F91-9B40-F2DFB0274379}"/>
    <cellStyle name="Normal 5 2 3 2 2 2 5 3 3" xfId="33523" xr:uid="{982FF8A6-82B9-44D2-A8BF-332C60C2EBCB}"/>
    <cellStyle name="Normal 5 2 3 2 2 2 5 3 4" xfId="25075" xr:uid="{1ABF471A-C059-4CBC-9F6D-7C4510E2795C}"/>
    <cellStyle name="Normal 5 2 3 2 2 2 5 3 5" xfId="15778" xr:uid="{49BC25B0-9917-4AFB-AAC0-8BF390CECE7B}"/>
    <cellStyle name="Normal 5 2 3 2 2 2 5 4" xfId="37753" xr:uid="{54EC79DD-13DD-423D-A693-5D75237E9ED2}"/>
    <cellStyle name="Normal 5 2 3 2 2 2 5 5" xfId="29305" xr:uid="{A18DD9A0-A9A5-437A-9971-761A0AF2AF94}"/>
    <cellStyle name="Normal 5 2 3 2 2 2 5 6" xfId="20858" xr:uid="{73824525-7687-489E-8F9B-236DCCE93090}"/>
    <cellStyle name="Normal 5 2 3 2 2 2 5 7" xfId="11561" xr:uid="{71E47EC3-3D0E-4746-B604-2AE0F1FCC215}"/>
    <cellStyle name="Normal 5 2 3 2 2 2 6" xfId="2582" xr:uid="{00000000-0005-0000-0000-000047180000}"/>
    <cellStyle name="Normal 5 2 3 2 2 2 6 2" xfId="6865" xr:uid="{00000000-0005-0000-0000-000048180000}"/>
    <cellStyle name="Normal 5 2 3 2 2 2 6 2 2" xfId="42383" xr:uid="{4C7B1F09-9A2C-4587-8F94-8C89F6A56599}"/>
    <cellStyle name="Normal 5 2 3 2 2 2 6 2 3" xfId="33936" xr:uid="{41340C98-5D6A-4148-A3CF-CB888BBF93B7}"/>
    <cellStyle name="Normal 5 2 3 2 2 2 6 2 4" xfId="25488" xr:uid="{881495F0-292A-4BAF-BA57-39E10178B116}"/>
    <cellStyle name="Normal 5 2 3 2 2 2 6 2 5" xfId="16191" xr:uid="{27E2B2DD-FB21-428D-B220-3F78BDF86122}"/>
    <cellStyle name="Normal 5 2 3 2 2 2 6 3" xfId="38166" xr:uid="{6D27AC72-F525-4E29-8078-E5D27E587173}"/>
    <cellStyle name="Normal 5 2 3 2 2 2 6 4" xfId="29718" xr:uid="{E9923B43-65E9-43A4-A787-E7EEDB8530C1}"/>
    <cellStyle name="Normal 5 2 3 2 2 2 6 5" xfId="21271" xr:uid="{3C94444A-AEAD-4400-A543-63F7E17F8587}"/>
    <cellStyle name="Normal 5 2 3 2 2 2 6 6" xfId="11974" xr:uid="{B1EFB16B-43B8-4CF6-BCCC-C2732A996BEE}"/>
    <cellStyle name="Normal 5 2 3 2 2 2 7" xfId="4800" xr:uid="{00000000-0005-0000-0000-000049180000}"/>
    <cellStyle name="Normal 5 2 3 2 2 2 7 2" xfId="40318" xr:uid="{C5B30B61-D410-42D2-BFCD-547F5A4938E2}"/>
    <cellStyle name="Normal 5 2 3 2 2 2 7 3" xfId="31871" xr:uid="{BEA0C6E2-9367-4E74-9681-438F00F6632A}"/>
    <cellStyle name="Normal 5 2 3 2 2 2 7 4" xfId="23423" xr:uid="{5E42E6BF-1618-45ED-955F-F4E42C1528DE}"/>
    <cellStyle name="Normal 5 2 3 2 2 2 7 5" xfId="14126" xr:uid="{E2DDC7BC-72BE-42FD-B29A-D28E6F2DAD87}"/>
    <cellStyle name="Normal 5 2 3 2 2 2 8" xfId="9140" xr:uid="{175A16DB-BA54-4083-AB68-1FA46DB27A86}"/>
    <cellStyle name="Normal 5 2 3 2 2 2 8 2" xfId="36101" xr:uid="{6A7074CE-8A71-4F94-B1D8-FE32DE6A177D}"/>
    <cellStyle name="Normal 5 2 3 2 2 2 8 3" xfId="18463" xr:uid="{20DCD7F8-B4F6-4DD6-83B9-CF76378EE1BA}"/>
    <cellStyle name="Normal 5 2 3 2 2 2 9" xfId="27653" xr:uid="{9548D128-6F74-48C3-968F-4EF2ADD5AA3D}"/>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42875" xr:uid="{68D8BB09-F02F-4B13-9276-A2869EEDF12C}"/>
    <cellStyle name="Normal 5 2 3 2 2 3 2 2 3" xfId="34428" xr:uid="{7C29CACB-BD14-4968-9345-DF5A9572BD82}"/>
    <cellStyle name="Normal 5 2 3 2 2 3 2 2 4" xfId="25980" xr:uid="{FBA9BA51-1949-4CF4-BE5A-1879A356BAFC}"/>
    <cellStyle name="Normal 5 2 3 2 2 3 2 2 5" xfId="16683" xr:uid="{AEDBB3BF-EC19-495E-990E-35A9E58F7BD4}"/>
    <cellStyle name="Normal 5 2 3 2 2 3 2 3" xfId="38658" xr:uid="{D1E725EB-FA05-4D4E-B859-A2DB7292BE1F}"/>
    <cellStyle name="Normal 5 2 3 2 2 3 2 4" xfId="30210" xr:uid="{23D927B2-18E9-413B-8EAB-FE13D98E450C}"/>
    <cellStyle name="Normal 5 2 3 2 2 3 2 5" xfId="21763" xr:uid="{0087732B-93F4-4919-9766-41179F224D44}"/>
    <cellStyle name="Normal 5 2 3 2 2 3 2 6" xfId="12466" xr:uid="{099C21F8-D6CD-4E86-91EB-B957BC713DB0}"/>
    <cellStyle name="Normal 5 2 3 2 2 3 3" xfId="5212" xr:uid="{00000000-0005-0000-0000-00004D180000}"/>
    <cellStyle name="Normal 5 2 3 2 2 3 3 2" xfId="40730" xr:uid="{BC333AF6-96B5-4178-8E80-D88D6BCD72EC}"/>
    <cellStyle name="Normal 5 2 3 2 2 3 3 3" xfId="32283" xr:uid="{69FA9960-04A8-44E6-996D-48387E60EBCF}"/>
    <cellStyle name="Normal 5 2 3 2 2 3 3 4" xfId="23835" xr:uid="{4D27C41D-A790-424C-B370-C24BC138C2EF}"/>
    <cellStyle name="Normal 5 2 3 2 2 3 3 5" xfId="14538" xr:uid="{B3BCC6CA-8CA5-40B5-BA35-A7ADA624C4A8}"/>
    <cellStyle name="Normal 5 2 3 2 2 3 4" xfId="9358" xr:uid="{5B196E7D-8DD9-4C59-A83C-7626B0E60040}"/>
    <cellStyle name="Normal 5 2 3 2 2 3 4 2" xfId="36513" xr:uid="{3A8A590E-C65C-4801-9D5F-A03DCE612541}"/>
    <cellStyle name="Normal 5 2 3 2 2 3 4 3" xfId="18671" xr:uid="{C18B39E7-32D7-4B27-BE4F-C39F349FDA3A}"/>
    <cellStyle name="Normal 5 2 3 2 2 3 5" xfId="28065" xr:uid="{DA83C0F1-74DB-4B6A-BECD-F3526E72130A}"/>
    <cellStyle name="Normal 5 2 3 2 2 3 6" xfId="19618" xr:uid="{8709A528-FEBE-46DF-A9E1-1D29118E8DCA}"/>
    <cellStyle name="Normal 5 2 3 2 2 3 7" xfId="10321" xr:uid="{59757FC9-18DB-455B-B376-161D6F23F886}"/>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43288" xr:uid="{D422893F-DE54-4369-AB0D-A2BD2B2814FF}"/>
    <cellStyle name="Normal 5 2 3 2 2 4 2 2 3" xfId="34841" xr:uid="{587502DA-9161-4A9A-9AC7-9DCB47040D3C}"/>
    <cellStyle name="Normal 5 2 3 2 2 4 2 2 4" xfId="26393" xr:uid="{C7411428-59EE-4C21-9519-0676739F2036}"/>
    <cellStyle name="Normal 5 2 3 2 2 4 2 2 5" xfId="17096" xr:uid="{46E6B387-EB06-442B-83FF-D81D67B699D4}"/>
    <cellStyle name="Normal 5 2 3 2 2 4 2 3" xfId="39071" xr:uid="{EB79CC6B-A4CB-48B4-AE8A-0572A9CF78B6}"/>
    <cellStyle name="Normal 5 2 3 2 2 4 2 4" xfId="30623" xr:uid="{417D4770-FBD6-4B19-BE35-F0242F87131C}"/>
    <cellStyle name="Normal 5 2 3 2 2 4 2 5" xfId="22176" xr:uid="{8694C8C1-7F86-4508-B4F8-10696EA5C94F}"/>
    <cellStyle name="Normal 5 2 3 2 2 4 2 6" xfId="12879" xr:uid="{69285F40-470E-435C-BCAB-56A4C3358523}"/>
    <cellStyle name="Normal 5 2 3 2 2 4 3" xfId="5625" xr:uid="{00000000-0005-0000-0000-000051180000}"/>
    <cellStyle name="Normal 5 2 3 2 2 4 3 2" xfId="41143" xr:uid="{D2C37451-C11C-4B7E-968D-773FA76CC333}"/>
    <cellStyle name="Normal 5 2 3 2 2 4 3 3" xfId="32696" xr:uid="{C3DD3FA2-AD61-4043-B7EA-17F203F7FD6C}"/>
    <cellStyle name="Normal 5 2 3 2 2 4 3 4" xfId="24248" xr:uid="{83208891-8CED-4F28-9B9C-195997D948EB}"/>
    <cellStyle name="Normal 5 2 3 2 2 4 3 5" xfId="14951" xr:uid="{DBB43B7A-40E3-4C66-BFF0-5DF5DA46EFC0}"/>
    <cellStyle name="Normal 5 2 3 2 2 4 4" xfId="36926" xr:uid="{97CB568C-BA0E-4ACD-96B1-EFFB5B86D614}"/>
    <cellStyle name="Normal 5 2 3 2 2 4 5" xfId="28478" xr:uid="{210032EB-212E-4329-93D8-6993B784EB38}"/>
    <cellStyle name="Normal 5 2 3 2 2 4 6" xfId="20031" xr:uid="{9EEAEDDF-7C82-4CE7-83D2-873A5503D964}"/>
    <cellStyle name="Normal 5 2 3 2 2 4 7" xfId="10734" xr:uid="{98C5DA88-9A2C-4806-844A-76A37BEDB7F3}"/>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43701" xr:uid="{153B9F79-B597-4BF0-A171-AD5188FA27ED}"/>
    <cellStyle name="Normal 5 2 3 2 2 5 2 2 3" xfId="35254" xr:uid="{785AEA65-D1B6-4EF4-92BE-5D032F91F86C}"/>
    <cellStyle name="Normal 5 2 3 2 2 5 2 2 4" xfId="26806" xr:uid="{0A4BA28A-5121-4C5F-BC08-B2754E88C4B0}"/>
    <cellStyle name="Normal 5 2 3 2 2 5 2 2 5" xfId="17509" xr:uid="{17A853CD-4489-47C4-8DF8-A652350090A7}"/>
    <cellStyle name="Normal 5 2 3 2 2 5 2 3" xfId="39484" xr:uid="{14D665B3-6703-40FA-8999-6F418BCF2524}"/>
    <cellStyle name="Normal 5 2 3 2 2 5 2 4" xfId="31036" xr:uid="{7A3335AC-36EC-43D2-B9CA-E7A8EB96FBDC}"/>
    <cellStyle name="Normal 5 2 3 2 2 5 2 5" xfId="22589" xr:uid="{053E0928-80D9-4C55-849C-54A6B50BC5E4}"/>
    <cellStyle name="Normal 5 2 3 2 2 5 2 6" xfId="13292" xr:uid="{C6B93580-CE72-4F7E-A354-0173D3C5EA5F}"/>
    <cellStyle name="Normal 5 2 3 2 2 5 3" xfId="6038" xr:uid="{00000000-0005-0000-0000-000055180000}"/>
    <cellStyle name="Normal 5 2 3 2 2 5 3 2" xfId="41556" xr:uid="{FC385D5C-7B44-495C-90B2-5A866FE0A1C7}"/>
    <cellStyle name="Normal 5 2 3 2 2 5 3 3" xfId="33109" xr:uid="{A031CE6F-F82D-4B9A-B370-91C0DDD957A5}"/>
    <cellStyle name="Normal 5 2 3 2 2 5 3 4" xfId="24661" xr:uid="{F8EC72EE-4B58-4E61-ADE9-A71F0D71E157}"/>
    <cellStyle name="Normal 5 2 3 2 2 5 3 5" xfId="15364" xr:uid="{50348F1B-0667-4B1F-ADF8-097158571841}"/>
    <cellStyle name="Normal 5 2 3 2 2 5 4" xfId="37339" xr:uid="{8E3E44F4-0F02-49EA-883C-FC73B5F9458F}"/>
    <cellStyle name="Normal 5 2 3 2 2 5 5" xfId="28891" xr:uid="{5DC5656A-94FF-4B1D-85CB-89609F09318D}"/>
    <cellStyle name="Normal 5 2 3 2 2 5 6" xfId="20444" xr:uid="{A03A8A8E-2D2F-4073-BE15-82CF28E6C0A2}"/>
    <cellStyle name="Normal 5 2 3 2 2 5 7" xfId="11147" xr:uid="{206ECB9B-519E-4CBE-8582-A4D3F03B2D98}"/>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44114" xr:uid="{D977A508-DA76-434C-BFF9-09FC9C6BFA63}"/>
    <cellStyle name="Normal 5 2 3 2 2 6 2 2 3" xfId="35667" xr:uid="{30AEF8A9-621F-42E1-AFC6-5142C7528864}"/>
    <cellStyle name="Normal 5 2 3 2 2 6 2 2 4" xfId="27219" xr:uid="{ED26C7D5-C3B1-4C9F-B8C8-614B7D96BCB3}"/>
    <cellStyle name="Normal 5 2 3 2 2 6 2 2 5" xfId="17922" xr:uid="{6429C110-3FCE-4A0E-8A56-B6B6E7518154}"/>
    <cellStyle name="Normal 5 2 3 2 2 6 2 3" xfId="39897" xr:uid="{8DD1D186-9180-4974-BA62-764755062DB8}"/>
    <cellStyle name="Normal 5 2 3 2 2 6 2 4" xfId="31449" xr:uid="{92CEF097-ED95-4AF9-BE09-3712AC302854}"/>
    <cellStyle name="Normal 5 2 3 2 2 6 2 5" xfId="23002" xr:uid="{5C4BC1FA-90A7-4B5E-832C-DB49AEC85B78}"/>
    <cellStyle name="Normal 5 2 3 2 2 6 2 6" xfId="13705" xr:uid="{A4173247-D394-4186-899C-647751512C0C}"/>
    <cellStyle name="Normal 5 2 3 2 2 6 3" xfId="6451" xr:uid="{00000000-0005-0000-0000-000059180000}"/>
    <cellStyle name="Normal 5 2 3 2 2 6 3 2" xfId="41969" xr:uid="{E8BBDA48-AC62-4B55-A93C-B3C90D26D0E0}"/>
    <cellStyle name="Normal 5 2 3 2 2 6 3 3" xfId="33522" xr:uid="{0E4ED84A-CC17-449C-A9DB-20B8D2023A85}"/>
    <cellStyle name="Normal 5 2 3 2 2 6 3 4" xfId="25074" xr:uid="{97615F3A-7A69-47FE-B364-D42C8A10DD47}"/>
    <cellStyle name="Normal 5 2 3 2 2 6 3 5" xfId="15777" xr:uid="{BE0A4E67-3BD7-4416-BFD1-6B8F4A575C08}"/>
    <cellStyle name="Normal 5 2 3 2 2 6 4" xfId="37752" xr:uid="{0FD43CB6-D0C6-45B3-8F1C-5665557900B0}"/>
    <cellStyle name="Normal 5 2 3 2 2 6 5" xfId="29304" xr:uid="{C3D9D950-9558-474F-9D84-1926309C610A}"/>
    <cellStyle name="Normal 5 2 3 2 2 6 6" xfId="20857" xr:uid="{433294E7-842A-4BD2-8A17-67466E6B4D11}"/>
    <cellStyle name="Normal 5 2 3 2 2 6 7" xfId="11560" xr:uid="{F50E9935-AD5F-417C-AE03-354CEE05D584}"/>
    <cellStyle name="Normal 5 2 3 2 2 7" xfId="2581" xr:uid="{00000000-0005-0000-0000-00005A180000}"/>
    <cellStyle name="Normal 5 2 3 2 2 7 2" xfId="6864" xr:uid="{00000000-0005-0000-0000-00005B180000}"/>
    <cellStyle name="Normal 5 2 3 2 2 7 2 2" xfId="42382" xr:uid="{59817EB5-D8B3-4F46-9C05-824C69FCDC68}"/>
    <cellStyle name="Normal 5 2 3 2 2 7 2 3" xfId="33935" xr:uid="{B6F44802-AC4E-4C48-9768-888862BC251D}"/>
    <cellStyle name="Normal 5 2 3 2 2 7 2 4" xfId="25487" xr:uid="{D2258EAE-C328-44E2-BBED-7980ADEF2519}"/>
    <cellStyle name="Normal 5 2 3 2 2 7 2 5" xfId="16190" xr:uid="{7F25E791-C52B-48F4-82A1-0A96E474E9F2}"/>
    <cellStyle name="Normal 5 2 3 2 2 7 3" xfId="38165" xr:uid="{6FCFC211-F257-4788-9BF3-F932367DCC5D}"/>
    <cellStyle name="Normal 5 2 3 2 2 7 4" xfId="29717" xr:uid="{A2B9220B-A2ED-4CC4-8C92-B58F4C267B5D}"/>
    <cellStyle name="Normal 5 2 3 2 2 7 5" xfId="21270" xr:uid="{4F517A43-F491-426D-88A6-4D9A2D13B874}"/>
    <cellStyle name="Normal 5 2 3 2 2 7 6" xfId="11973" xr:uid="{9FD6A717-76E0-41A9-8762-52B23A412A42}"/>
    <cellStyle name="Normal 5 2 3 2 2 8" xfId="4799" xr:uid="{00000000-0005-0000-0000-00005C180000}"/>
    <cellStyle name="Normal 5 2 3 2 2 8 2" xfId="40317" xr:uid="{1ED9D019-F4C7-466E-9681-4188865CBBCD}"/>
    <cellStyle name="Normal 5 2 3 2 2 8 3" xfId="31870" xr:uid="{DEA4AD7E-A357-4982-9C62-2D778C8A2D4D}"/>
    <cellStyle name="Normal 5 2 3 2 2 8 4" xfId="23422" xr:uid="{EC56F793-3CF1-47BF-8E7B-FFF6B3CE4099}"/>
    <cellStyle name="Normal 5 2 3 2 2 8 5" xfId="14125" xr:uid="{D4D43DB2-C816-41FB-B69A-B198F0E21480}"/>
    <cellStyle name="Normal 5 2 3 2 2 9" xfId="8933" xr:uid="{2228AC18-CB51-4AF4-A227-403A8409C6C2}"/>
    <cellStyle name="Normal 5 2 3 2 2 9 2" xfId="36100" xr:uid="{D90CAB35-F50D-48FD-9E93-A6138B10F058}"/>
    <cellStyle name="Normal 5 2 3 2 2 9 3" xfId="18256" xr:uid="{DC007EDE-6430-4182-8AC6-E383AC617950}"/>
    <cellStyle name="Normal 5 2 3 2 3" xfId="428" xr:uid="{00000000-0005-0000-0000-00005D180000}"/>
    <cellStyle name="Normal 5 2 3 2 3 10" xfId="19207" xr:uid="{308E910F-3A95-4489-A51B-041FB3089E6F}"/>
    <cellStyle name="Normal 5 2 3 2 3 11" xfId="9910" xr:uid="{89A98781-F999-4F08-BBC6-792E67C88252}"/>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42877" xr:uid="{21686561-62B2-482B-86EC-EBE8123B5DF5}"/>
    <cellStyle name="Normal 5 2 3 2 3 2 2 2 3" xfId="34430" xr:uid="{029504E9-FE7D-4101-9FEB-9533A1F4C844}"/>
    <cellStyle name="Normal 5 2 3 2 3 2 2 2 4" xfId="25982" xr:uid="{DFC074E4-6F47-4965-970A-D32871800FA1}"/>
    <cellStyle name="Normal 5 2 3 2 3 2 2 2 5" xfId="16685" xr:uid="{EF204255-4D08-4871-A7AE-82779AA45D5B}"/>
    <cellStyle name="Normal 5 2 3 2 3 2 2 3" xfId="38660" xr:uid="{9FA46354-ABFC-45AB-8B4D-F0D6EA1D2025}"/>
    <cellStyle name="Normal 5 2 3 2 3 2 2 4" xfId="30212" xr:uid="{3A5CF40F-930B-492B-A2CE-70988BF04494}"/>
    <cellStyle name="Normal 5 2 3 2 3 2 2 5" xfId="21765" xr:uid="{A3342EE8-6E9A-40FD-810D-B48CD5A5EEC2}"/>
    <cellStyle name="Normal 5 2 3 2 3 2 2 6" xfId="12468" xr:uid="{B4566614-B62A-4B82-A71A-3406E2D9C539}"/>
    <cellStyle name="Normal 5 2 3 2 3 2 3" xfId="5214" xr:uid="{00000000-0005-0000-0000-000061180000}"/>
    <cellStyle name="Normal 5 2 3 2 3 2 3 2" xfId="40732" xr:uid="{8F5D465D-787D-4DA3-B3A5-AB39B7577156}"/>
    <cellStyle name="Normal 5 2 3 2 3 2 3 3" xfId="32285" xr:uid="{F4E7DCE4-5C2F-4A93-B49A-281CE2FBBA88}"/>
    <cellStyle name="Normal 5 2 3 2 3 2 3 4" xfId="23837" xr:uid="{36D8AD32-AF0E-4AEE-9909-10F25987FA3C}"/>
    <cellStyle name="Normal 5 2 3 2 3 2 3 5" xfId="14540" xr:uid="{7E89AD8C-3C5E-4DD5-B54E-3868FA35B33A}"/>
    <cellStyle name="Normal 5 2 3 2 3 2 4" xfId="9462" xr:uid="{B4C14F1A-A88A-428F-A7F8-BAFD7E5CD045}"/>
    <cellStyle name="Normal 5 2 3 2 3 2 4 2" xfId="36515" xr:uid="{0CF28353-F9FA-4067-A6B4-B0F63AC7F026}"/>
    <cellStyle name="Normal 5 2 3 2 3 2 4 3" xfId="18775" xr:uid="{974EFF53-D71B-4999-B9EC-717840EA7AB6}"/>
    <cellStyle name="Normal 5 2 3 2 3 2 5" xfId="28067" xr:uid="{322EA491-C1EC-4D21-A6D9-46AEFF652A18}"/>
    <cellStyle name="Normal 5 2 3 2 3 2 6" xfId="19620" xr:uid="{587659A1-7F3E-4E32-8693-3372ED93D691}"/>
    <cellStyle name="Normal 5 2 3 2 3 2 7" xfId="10323" xr:uid="{3D97089A-DA11-4C96-B285-019BFAE54757}"/>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43290" xr:uid="{39755797-A706-4964-A701-4AB4372A0778}"/>
    <cellStyle name="Normal 5 2 3 2 3 3 2 2 3" xfId="34843" xr:uid="{FC5247E5-5B36-4FF5-99EA-AB3A91F23733}"/>
    <cellStyle name="Normal 5 2 3 2 3 3 2 2 4" xfId="26395" xr:uid="{A1D343CE-27B9-4DF6-ABB4-6F83E76DF065}"/>
    <cellStyle name="Normal 5 2 3 2 3 3 2 2 5" xfId="17098" xr:uid="{CF38307E-D2D6-435E-BBDC-F26E0E5B2975}"/>
    <cellStyle name="Normal 5 2 3 2 3 3 2 3" xfId="39073" xr:uid="{12309D8B-3AF7-4D64-8BF7-B910D7B3312A}"/>
    <cellStyle name="Normal 5 2 3 2 3 3 2 4" xfId="30625" xr:uid="{E082B842-A3DE-450A-A86F-469479A30EA7}"/>
    <cellStyle name="Normal 5 2 3 2 3 3 2 5" xfId="22178" xr:uid="{0ECB5E76-2FA1-46E8-AAF9-6E41AD6FE5D4}"/>
    <cellStyle name="Normal 5 2 3 2 3 3 2 6" xfId="12881" xr:uid="{6522F35B-4B2D-49D9-9F89-715AD3282887}"/>
    <cellStyle name="Normal 5 2 3 2 3 3 3" xfId="5627" xr:uid="{00000000-0005-0000-0000-000065180000}"/>
    <cellStyle name="Normal 5 2 3 2 3 3 3 2" xfId="41145" xr:uid="{847F5E9B-A291-4EC7-80D5-6BDDAA6FE21E}"/>
    <cellStyle name="Normal 5 2 3 2 3 3 3 3" xfId="32698" xr:uid="{4BA3029E-4E7A-406C-9FFA-B3AE735F4410}"/>
    <cellStyle name="Normal 5 2 3 2 3 3 3 4" xfId="24250" xr:uid="{91177BD2-B18A-41A5-8343-97FEED08AA0F}"/>
    <cellStyle name="Normal 5 2 3 2 3 3 3 5" xfId="14953" xr:uid="{FA0F7438-28CB-45C4-95DA-E3CE962D5873}"/>
    <cellStyle name="Normal 5 2 3 2 3 3 4" xfId="36928" xr:uid="{C61A2EB8-F6DE-4FA7-B9D8-432F7F225566}"/>
    <cellStyle name="Normal 5 2 3 2 3 3 5" xfId="28480" xr:uid="{A3173718-AC03-4F65-9320-78E6FBCA671B}"/>
    <cellStyle name="Normal 5 2 3 2 3 3 6" xfId="20033" xr:uid="{69665CB4-89BE-4BAA-8C41-D821BB386E46}"/>
    <cellStyle name="Normal 5 2 3 2 3 3 7" xfId="10736" xr:uid="{CD0ECB5A-3AE6-402E-81A7-D73B7CFC3743}"/>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43703" xr:uid="{441A4645-77AA-496E-9E8E-58E2CFE8B6A5}"/>
    <cellStyle name="Normal 5 2 3 2 3 4 2 2 3" xfId="35256" xr:uid="{528774E5-1F60-419F-8E25-09526B2F35B1}"/>
    <cellStyle name="Normal 5 2 3 2 3 4 2 2 4" xfId="26808" xr:uid="{85E7066F-99B1-4CBF-A9FC-E1C917FB4C8C}"/>
    <cellStyle name="Normal 5 2 3 2 3 4 2 2 5" xfId="17511" xr:uid="{58ED6E2D-B783-4372-A819-C0502E5B3CCD}"/>
    <cellStyle name="Normal 5 2 3 2 3 4 2 3" xfId="39486" xr:uid="{717E6FA4-278F-4826-90A8-58FD6CC0C611}"/>
    <cellStyle name="Normal 5 2 3 2 3 4 2 4" xfId="31038" xr:uid="{0D2B8F02-D8CA-4BF4-BC96-09F2FD00941F}"/>
    <cellStyle name="Normal 5 2 3 2 3 4 2 5" xfId="22591" xr:uid="{66919DD4-24FF-4CE0-BA26-2AA7A63CEEEC}"/>
    <cellStyle name="Normal 5 2 3 2 3 4 2 6" xfId="13294" xr:uid="{03D6DB58-F1DE-4BBA-B429-9162AFEFF205}"/>
    <cellStyle name="Normal 5 2 3 2 3 4 3" xfId="6040" xr:uid="{00000000-0005-0000-0000-000069180000}"/>
    <cellStyle name="Normal 5 2 3 2 3 4 3 2" xfId="41558" xr:uid="{44E7074B-AA14-4EF5-975D-59B61A5B371B}"/>
    <cellStyle name="Normal 5 2 3 2 3 4 3 3" xfId="33111" xr:uid="{871B5042-8DC6-45C6-BAEB-F541BE34BDB4}"/>
    <cellStyle name="Normal 5 2 3 2 3 4 3 4" xfId="24663" xr:uid="{79DBCC80-AEA7-4623-9FA9-6EBC37107E02}"/>
    <cellStyle name="Normal 5 2 3 2 3 4 3 5" xfId="15366" xr:uid="{2971DA02-CB6D-4203-BBE8-29038A62EEE2}"/>
    <cellStyle name="Normal 5 2 3 2 3 4 4" xfId="37341" xr:uid="{80B8577D-16A6-48FA-B56F-AE1850458543}"/>
    <cellStyle name="Normal 5 2 3 2 3 4 5" xfId="28893" xr:uid="{DD9EAAB0-E235-4865-9C36-6E07D0FB251D}"/>
    <cellStyle name="Normal 5 2 3 2 3 4 6" xfId="20446" xr:uid="{5E3FA040-3C31-4C13-8A67-66DA82755143}"/>
    <cellStyle name="Normal 5 2 3 2 3 4 7" xfId="11149" xr:uid="{8CB7EE89-D658-40B7-B12E-4FBBA1CB17E5}"/>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44116" xr:uid="{60110B51-9AE8-4597-BDF7-3E6B69041BD4}"/>
    <cellStyle name="Normal 5 2 3 2 3 5 2 2 3" xfId="35669" xr:uid="{E0959B43-7858-4AF7-92A1-101481A511A9}"/>
    <cellStyle name="Normal 5 2 3 2 3 5 2 2 4" xfId="27221" xr:uid="{4CFD8811-50DF-49B0-926C-E712C4A977D0}"/>
    <cellStyle name="Normal 5 2 3 2 3 5 2 2 5" xfId="17924" xr:uid="{24C14963-865B-4AAF-BEBC-82DF08F7E01B}"/>
    <cellStyle name="Normal 5 2 3 2 3 5 2 3" xfId="39899" xr:uid="{E2466913-73C4-4041-B843-4902AB3E8407}"/>
    <cellStyle name="Normal 5 2 3 2 3 5 2 4" xfId="31451" xr:uid="{BE0D5E5C-5F5D-487A-86B7-BC9CF3C6EE0B}"/>
    <cellStyle name="Normal 5 2 3 2 3 5 2 5" xfId="23004" xr:uid="{E3595945-36FD-4342-97D1-CF125094717A}"/>
    <cellStyle name="Normal 5 2 3 2 3 5 2 6" xfId="13707" xr:uid="{FDCE4FA7-80BB-45EF-BDE1-4C19A9130C8E}"/>
    <cellStyle name="Normal 5 2 3 2 3 5 3" xfId="6453" xr:uid="{00000000-0005-0000-0000-00006D180000}"/>
    <cellStyle name="Normal 5 2 3 2 3 5 3 2" xfId="41971" xr:uid="{3F706BC5-64A6-4332-A3C3-9D39F0B7C2DD}"/>
    <cellStyle name="Normal 5 2 3 2 3 5 3 3" xfId="33524" xr:uid="{9E2A3CA9-3CA6-4F2D-B763-92E628881307}"/>
    <cellStyle name="Normal 5 2 3 2 3 5 3 4" xfId="25076" xr:uid="{77A54A8C-8C6E-46EF-B24C-FEE9DA4FA57D}"/>
    <cellStyle name="Normal 5 2 3 2 3 5 3 5" xfId="15779" xr:uid="{DE14E93D-7A56-473F-BCE3-B701B2FEE607}"/>
    <cellStyle name="Normal 5 2 3 2 3 5 4" xfId="37754" xr:uid="{87806294-FFB0-4F31-BBA6-D904ECB6697C}"/>
    <cellStyle name="Normal 5 2 3 2 3 5 5" xfId="29306" xr:uid="{DF1E3B28-497F-42D2-A798-AD67721E5A9C}"/>
    <cellStyle name="Normal 5 2 3 2 3 5 6" xfId="20859" xr:uid="{17E97965-DA99-40EF-9BE7-578919911C8B}"/>
    <cellStyle name="Normal 5 2 3 2 3 5 7" xfId="11562" xr:uid="{992E44B5-0475-41DC-8219-E0DCE9D7B8E0}"/>
    <cellStyle name="Normal 5 2 3 2 3 6" xfId="2583" xr:uid="{00000000-0005-0000-0000-00006E180000}"/>
    <cellStyle name="Normal 5 2 3 2 3 6 2" xfId="6866" xr:uid="{00000000-0005-0000-0000-00006F180000}"/>
    <cellStyle name="Normal 5 2 3 2 3 6 2 2" xfId="42384" xr:uid="{1690B111-83C0-46B5-A3B9-5D79B568D030}"/>
    <cellStyle name="Normal 5 2 3 2 3 6 2 3" xfId="33937" xr:uid="{EADF8098-FE6B-4104-969F-4B388A75A112}"/>
    <cellStyle name="Normal 5 2 3 2 3 6 2 4" xfId="25489" xr:uid="{E1FB0A30-991B-4340-8F0A-0F7A52AD65D8}"/>
    <cellStyle name="Normal 5 2 3 2 3 6 2 5" xfId="16192" xr:uid="{F55D0AC9-2290-448C-94D8-B57401B5646C}"/>
    <cellStyle name="Normal 5 2 3 2 3 6 3" xfId="38167" xr:uid="{CAC2E20E-DC5A-41ED-8710-556F3D542D38}"/>
    <cellStyle name="Normal 5 2 3 2 3 6 4" xfId="29719" xr:uid="{46B888EA-5211-4A5A-84B2-6D9A0F1A8282}"/>
    <cellStyle name="Normal 5 2 3 2 3 6 5" xfId="21272" xr:uid="{0B4C4EC2-7BAB-452E-9870-061340BEB565}"/>
    <cellStyle name="Normal 5 2 3 2 3 6 6" xfId="11975" xr:uid="{1A678BF6-28AD-4369-9AEA-D0A3F9A69E5F}"/>
    <cellStyle name="Normal 5 2 3 2 3 7" xfId="4801" xr:uid="{00000000-0005-0000-0000-000070180000}"/>
    <cellStyle name="Normal 5 2 3 2 3 7 2" xfId="40319" xr:uid="{C8A56AAF-8D86-44F0-800E-0C8EE0FDA249}"/>
    <cellStyle name="Normal 5 2 3 2 3 7 3" xfId="31872" xr:uid="{EC0DA69B-0BE3-4B16-8DC8-D16881F50AB8}"/>
    <cellStyle name="Normal 5 2 3 2 3 7 4" xfId="23424" xr:uid="{70BFC2A7-8A4E-45B0-A3B2-3FB986540BE6}"/>
    <cellStyle name="Normal 5 2 3 2 3 7 5" xfId="14127" xr:uid="{1ED08C0D-39F0-4B6C-9CC6-AC823D774892}"/>
    <cellStyle name="Normal 5 2 3 2 3 8" xfId="9037" xr:uid="{EED46D7F-EFCD-4AC1-931D-AB06B694E7BE}"/>
    <cellStyle name="Normal 5 2 3 2 3 8 2" xfId="36102" xr:uid="{5FD52700-0203-4849-B543-C8D61EA898F5}"/>
    <cellStyle name="Normal 5 2 3 2 3 8 3" xfId="18360" xr:uid="{F77D9B0C-A473-4047-A7BC-AD3301AB7793}"/>
    <cellStyle name="Normal 5 2 3 2 3 9" xfId="27654" xr:uid="{DB087CCB-A743-40E2-8E5A-FA547ACF9AA2}"/>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42874" xr:uid="{BFCE19FC-9A35-4100-885B-DB33253FED09}"/>
    <cellStyle name="Normal 5 2 3 2 4 2 2 3" xfId="34427" xr:uid="{ADCCF8AA-5382-4980-A2A9-968146674910}"/>
    <cellStyle name="Normal 5 2 3 2 4 2 2 4" xfId="25979" xr:uid="{80979492-2F75-4148-9912-A60BD74C8BF2}"/>
    <cellStyle name="Normal 5 2 3 2 4 2 2 5" xfId="16682" xr:uid="{86FD16EE-22A0-4FA6-AFD7-D21853BB1513}"/>
    <cellStyle name="Normal 5 2 3 2 4 2 3" xfId="38657" xr:uid="{D01469EA-A173-4E7A-AAA2-85B456040557}"/>
    <cellStyle name="Normal 5 2 3 2 4 2 4" xfId="30209" xr:uid="{E22BFB0E-633E-4375-B8E7-D7FF2AE330AC}"/>
    <cellStyle name="Normal 5 2 3 2 4 2 5" xfId="21762" xr:uid="{F6D0C00B-E6C7-4806-8654-DA75108E888A}"/>
    <cellStyle name="Normal 5 2 3 2 4 2 6" xfId="12465" xr:uid="{05095E73-0113-4C04-8185-41CD918FB441}"/>
    <cellStyle name="Normal 5 2 3 2 4 3" xfId="5211" xr:uid="{00000000-0005-0000-0000-000074180000}"/>
    <cellStyle name="Normal 5 2 3 2 4 3 2" xfId="40729" xr:uid="{C48E8350-3220-4FC4-9EC5-7688DC056335}"/>
    <cellStyle name="Normal 5 2 3 2 4 3 3" xfId="32282" xr:uid="{E72BC4AE-2F81-465C-9F28-D0F6CE04F8B7}"/>
    <cellStyle name="Normal 5 2 3 2 4 3 4" xfId="23834" xr:uid="{7EEC3319-02F4-49DA-8824-110BBFD7C99C}"/>
    <cellStyle name="Normal 5 2 3 2 4 3 5" xfId="14537" xr:uid="{D5D6092F-2720-4780-A378-30E0F383DC12}"/>
    <cellStyle name="Normal 5 2 3 2 4 4" xfId="9255" xr:uid="{C5A161BB-6C4F-4A9D-BBA7-7500B0B26A70}"/>
    <cellStyle name="Normal 5 2 3 2 4 4 2" xfId="36512" xr:uid="{008C58B4-9F83-4276-9196-3EDBE01F25A6}"/>
    <cellStyle name="Normal 5 2 3 2 4 4 3" xfId="18568" xr:uid="{0BFF6967-6936-4632-A2EF-02D10A06EDB3}"/>
    <cellStyle name="Normal 5 2 3 2 4 5" xfId="28064" xr:uid="{489E2AB9-FB27-4167-875D-8C0EC4019B3B}"/>
    <cellStyle name="Normal 5 2 3 2 4 6" xfId="19617" xr:uid="{CD38A55A-0938-4AAC-8956-EFCA6F797930}"/>
    <cellStyle name="Normal 5 2 3 2 4 7" xfId="10320" xr:uid="{69AD1090-2C9B-432A-AFF6-EE6DF88F5358}"/>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43287" xr:uid="{459EE15A-9505-42B8-9C87-EF88C620A310}"/>
    <cellStyle name="Normal 5 2 3 2 5 2 2 3" xfId="34840" xr:uid="{337FE2DE-F902-46B7-AA6D-ABEBB6AA8723}"/>
    <cellStyle name="Normal 5 2 3 2 5 2 2 4" xfId="26392" xr:uid="{C53C5BE7-004D-4236-B019-EDB05C082547}"/>
    <cellStyle name="Normal 5 2 3 2 5 2 2 5" xfId="17095" xr:uid="{E144EAA6-D779-42F5-8A28-0A46554F04AD}"/>
    <cellStyle name="Normal 5 2 3 2 5 2 3" xfId="39070" xr:uid="{2376770F-8881-46F8-8A65-DB7947DCFAB3}"/>
    <cellStyle name="Normal 5 2 3 2 5 2 4" xfId="30622" xr:uid="{C6A884AF-3E6A-43D7-B59E-1D686A5061F7}"/>
    <cellStyle name="Normal 5 2 3 2 5 2 5" xfId="22175" xr:uid="{939F3E8E-6470-41B5-8BCC-7C78E8D75245}"/>
    <cellStyle name="Normal 5 2 3 2 5 2 6" xfId="12878" xr:uid="{3DF8A2C4-0374-4DDF-AD02-8EFE6991B47C}"/>
    <cellStyle name="Normal 5 2 3 2 5 3" xfId="5624" xr:uid="{00000000-0005-0000-0000-000078180000}"/>
    <cellStyle name="Normal 5 2 3 2 5 3 2" xfId="41142" xr:uid="{A592B03B-3127-4E95-8B41-8F15ED666731}"/>
    <cellStyle name="Normal 5 2 3 2 5 3 3" xfId="32695" xr:uid="{C9604419-ACB6-414F-B402-B268CE0E6358}"/>
    <cellStyle name="Normal 5 2 3 2 5 3 4" xfId="24247" xr:uid="{C411E6A6-2E06-4B20-B906-DFF7C74B34C6}"/>
    <cellStyle name="Normal 5 2 3 2 5 3 5" xfId="14950" xr:uid="{D6A11BD5-DEBB-4F0F-A60B-C208EC784BC5}"/>
    <cellStyle name="Normal 5 2 3 2 5 4" xfId="36925" xr:uid="{EB1F79AE-A0C7-4FFA-92D4-2287DAC818DE}"/>
    <cellStyle name="Normal 5 2 3 2 5 5" xfId="28477" xr:uid="{B6E3D123-61A0-4A9E-A30C-884CFC24DD73}"/>
    <cellStyle name="Normal 5 2 3 2 5 6" xfId="20030" xr:uid="{28CE8673-DE6E-40CB-B228-65FB9D0D5F15}"/>
    <cellStyle name="Normal 5 2 3 2 5 7" xfId="10733" xr:uid="{CF002C88-628E-47A5-BA0E-07AFB5FCBB3B}"/>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43700" xr:uid="{CBF0C884-22CB-4759-B7B9-57946ACF770B}"/>
    <cellStyle name="Normal 5 2 3 2 6 2 2 3" xfId="35253" xr:uid="{8DA71BC0-B2EF-4485-AC6D-A1D8D38CB1C0}"/>
    <cellStyle name="Normal 5 2 3 2 6 2 2 4" xfId="26805" xr:uid="{6957161E-69F3-43E7-B64C-34B3CBE48E7B}"/>
    <cellStyle name="Normal 5 2 3 2 6 2 2 5" xfId="17508" xr:uid="{22CE6C60-968D-4C41-ACB3-ABE2051B4507}"/>
    <cellStyle name="Normal 5 2 3 2 6 2 3" xfId="39483" xr:uid="{DA9FC281-B257-4CD6-AC68-48AB1C904D2F}"/>
    <cellStyle name="Normal 5 2 3 2 6 2 4" xfId="31035" xr:uid="{15708B69-4B1F-4807-893D-0805DE3D6619}"/>
    <cellStyle name="Normal 5 2 3 2 6 2 5" xfId="22588" xr:uid="{51540EC3-0687-4E3F-8BEB-D9B606914352}"/>
    <cellStyle name="Normal 5 2 3 2 6 2 6" xfId="13291" xr:uid="{0F2A4672-ADF0-478E-9963-1826D7EC2B90}"/>
    <cellStyle name="Normal 5 2 3 2 6 3" xfId="6037" xr:uid="{00000000-0005-0000-0000-00007C180000}"/>
    <cellStyle name="Normal 5 2 3 2 6 3 2" xfId="41555" xr:uid="{8A21228D-8971-444D-8A0E-571226BF0174}"/>
    <cellStyle name="Normal 5 2 3 2 6 3 3" xfId="33108" xr:uid="{416C8462-1ED4-438A-8594-9B38E3C53A74}"/>
    <cellStyle name="Normal 5 2 3 2 6 3 4" xfId="24660" xr:uid="{762E15D7-6E89-481A-8137-3C5ABFCA58F1}"/>
    <cellStyle name="Normal 5 2 3 2 6 3 5" xfId="15363" xr:uid="{9B6B0E8B-43B4-4492-B0BC-468BF6DA1221}"/>
    <cellStyle name="Normal 5 2 3 2 6 4" xfId="37338" xr:uid="{15B8532B-6C8D-42B2-97E8-6793803DE422}"/>
    <cellStyle name="Normal 5 2 3 2 6 5" xfId="28890" xr:uid="{2A9451C2-CB0D-47DA-93DD-DA62C22866C4}"/>
    <cellStyle name="Normal 5 2 3 2 6 6" xfId="20443" xr:uid="{10D52B4E-87D0-4E56-89C7-EEE5E63B3A22}"/>
    <cellStyle name="Normal 5 2 3 2 6 7" xfId="11146" xr:uid="{7956CEC0-AEFD-4F25-B367-1CF35365EBCC}"/>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44113" xr:uid="{D734EF85-99E4-4809-8DB0-92D8766226E6}"/>
    <cellStyle name="Normal 5 2 3 2 7 2 2 3" xfId="35666" xr:uid="{680EF7E8-115F-4069-9B04-D6F66B8CC202}"/>
    <cellStyle name="Normal 5 2 3 2 7 2 2 4" xfId="27218" xr:uid="{E553DAB7-386A-4B59-AAF6-0DE0739FE8EA}"/>
    <cellStyle name="Normal 5 2 3 2 7 2 2 5" xfId="17921" xr:uid="{162346F8-74F5-403B-B072-82D9028291D6}"/>
    <cellStyle name="Normal 5 2 3 2 7 2 3" xfId="39896" xr:uid="{CE9ECE2F-3629-4FAB-AB96-3FCBE8C3F7E4}"/>
    <cellStyle name="Normal 5 2 3 2 7 2 4" xfId="31448" xr:uid="{5C5A46D5-9F0C-40DA-B2CD-8CB97F886E1E}"/>
    <cellStyle name="Normal 5 2 3 2 7 2 5" xfId="23001" xr:uid="{8E87A1D8-83A2-4160-BF1C-456DF5935B9F}"/>
    <cellStyle name="Normal 5 2 3 2 7 2 6" xfId="13704" xr:uid="{C784A1F3-3635-40E5-8C54-32A0E6CEEEF5}"/>
    <cellStyle name="Normal 5 2 3 2 7 3" xfId="6450" xr:uid="{00000000-0005-0000-0000-000080180000}"/>
    <cellStyle name="Normal 5 2 3 2 7 3 2" xfId="41968" xr:uid="{A9211373-0153-4F33-A470-B1C136BEA1DB}"/>
    <cellStyle name="Normal 5 2 3 2 7 3 3" xfId="33521" xr:uid="{C24FF723-4342-4566-A223-5F69BA625F86}"/>
    <cellStyle name="Normal 5 2 3 2 7 3 4" xfId="25073" xr:uid="{7FC5EE40-01D4-4CF8-90CB-9248D35E7E6F}"/>
    <cellStyle name="Normal 5 2 3 2 7 3 5" xfId="15776" xr:uid="{2C0C912E-F9FE-40C3-95E0-201E10F56966}"/>
    <cellStyle name="Normal 5 2 3 2 7 4" xfId="37751" xr:uid="{8E762053-D38A-42E0-A3E8-81EDF2E4EA32}"/>
    <cellStyle name="Normal 5 2 3 2 7 5" xfId="29303" xr:uid="{3D55A356-3D1B-47A5-BDC9-968CC3F6E6A6}"/>
    <cellStyle name="Normal 5 2 3 2 7 6" xfId="20856" xr:uid="{2EF1932C-5021-417F-98C7-016B54C84D81}"/>
    <cellStyle name="Normal 5 2 3 2 7 7" xfId="11559" xr:uid="{861567C5-D721-4472-94C2-36966AD84D69}"/>
    <cellStyle name="Normal 5 2 3 2 8" xfId="2580" xr:uid="{00000000-0005-0000-0000-000081180000}"/>
    <cellStyle name="Normal 5 2 3 2 8 2" xfId="6863" xr:uid="{00000000-0005-0000-0000-000082180000}"/>
    <cellStyle name="Normal 5 2 3 2 8 2 2" xfId="42381" xr:uid="{8633B65B-4A4C-4D9A-ADA7-1849CA217D67}"/>
    <cellStyle name="Normal 5 2 3 2 8 2 3" xfId="33934" xr:uid="{AA6423F2-62D8-4DBE-A9D0-9249739D9682}"/>
    <cellStyle name="Normal 5 2 3 2 8 2 4" xfId="25486" xr:uid="{2AEFD0BA-2B44-4B0C-AAA9-62B06418B3FF}"/>
    <cellStyle name="Normal 5 2 3 2 8 2 5" xfId="16189" xr:uid="{0FEB3C5D-805A-42AA-BAA7-83F82278F0F5}"/>
    <cellStyle name="Normal 5 2 3 2 8 3" xfId="38164" xr:uid="{1295015A-80E1-4101-934E-A26100AA8BDA}"/>
    <cellStyle name="Normal 5 2 3 2 8 4" xfId="29716" xr:uid="{166D3AD3-A7CC-46E0-A139-F213EA7AD5A3}"/>
    <cellStyle name="Normal 5 2 3 2 8 5" xfId="21269" xr:uid="{216A0C50-4884-4178-BCDF-C7BC4A3119B9}"/>
    <cellStyle name="Normal 5 2 3 2 8 6" xfId="11972" xr:uid="{7A256147-9F39-44AD-BF40-5D745D55BD6A}"/>
    <cellStyle name="Normal 5 2 3 2 9" xfId="4798" xr:uid="{00000000-0005-0000-0000-000083180000}"/>
    <cellStyle name="Normal 5 2 3 2 9 2" xfId="40316" xr:uid="{DE29FC64-23E5-465E-BAF1-3E0251764A61}"/>
    <cellStyle name="Normal 5 2 3 2 9 3" xfId="31869" xr:uid="{FDEE9201-9729-4040-9371-CE01AC84A521}"/>
    <cellStyle name="Normal 5 2 3 2 9 4" xfId="23421" xr:uid="{95D8A3AF-E848-4F6D-890D-3841D5B0AE85}"/>
    <cellStyle name="Normal 5 2 3 2 9 5" xfId="14124" xr:uid="{A20AF88A-1655-44E9-B5B4-9F933CA1F6CB}"/>
    <cellStyle name="Normal 5 2 3 3" xfId="429" xr:uid="{00000000-0005-0000-0000-000084180000}"/>
    <cellStyle name="Normal 5 2 3 3 10" xfId="27655" xr:uid="{1243648C-EE11-40AF-B8F9-E2325FA41E82}"/>
    <cellStyle name="Normal 5 2 3 3 11" xfId="19208" xr:uid="{029169A5-72BF-43EA-9910-157886136BC0}"/>
    <cellStyle name="Normal 5 2 3 3 12" xfId="9911" xr:uid="{1CCA1A66-B5CE-42CD-A231-117DB9B2A297}"/>
    <cellStyle name="Normal 5 2 3 3 2" xfId="430" xr:uid="{00000000-0005-0000-0000-000085180000}"/>
    <cellStyle name="Normal 5 2 3 3 2 10" xfId="19209" xr:uid="{A1B3A36B-AC7C-42D7-8D38-CF4B6105F42E}"/>
    <cellStyle name="Normal 5 2 3 3 2 11" xfId="9912" xr:uid="{E14FB80E-DD7C-4CC6-BF7B-A67A6AEB6712}"/>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42879" xr:uid="{D17CA1C0-B080-47F5-B384-A4A6D30529F1}"/>
    <cellStyle name="Normal 5 2 3 3 2 2 2 2 3" xfId="34432" xr:uid="{3000E786-3DD7-4449-B745-D449998588C4}"/>
    <cellStyle name="Normal 5 2 3 3 2 2 2 2 4" xfId="25984" xr:uid="{8B3B3A0B-2CB4-4B16-AAEC-91A5D0F49742}"/>
    <cellStyle name="Normal 5 2 3 3 2 2 2 2 5" xfId="16687" xr:uid="{A6C2D899-8BE5-427E-95F6-5FAB055EC8DA}"/>
    <cellStyle name="Normal 5 2 3 3 2 2 2 3" xfId="38662" xr:uid="{92773F9C-14E6-420F-84D7-3D3D14C0A8C4}"/>
    <cellStyle name="Normal 5 2 3 3 2 2 2 4" xfId="30214" xr:uid="{4D2429FE-32B5-4283-8029-A8EE84DC55C2}"/>
    <cellStyle name="Normal 5 2 3 3 2 2 2 5" xfId="21767" xr:uid="{17F2A288-4D74-4A4D-9758-E654B38653AC}"/>
    <cellStyle name="Normal 5 2 3 3 2 2 2 6" xfId="12470" xr:uid="{D5D793B1-DC31-4FE6-9F3E-AEAE159ECC14}"/>
    <cellStyle name="Normal 5 2 3 3 2 2 3" xfId="5216" xr:uid="{00000000-0005-0000-0000-000089180000}"/>
    <cellStyle name="Normal 5 2 3 3 2 2 3 2" xfId="40734" xr:uid="{056A6B26-9FB6-4B4C-96A2-E4FBA288DE2A}"/>
    <cellStyle name="Normal 5 2 3 3 2 2 3 3" xfId="32287" xr:uid="{204B63AB-AE3D-4F57-99D8-7FAA0AE5D946}"/>
    <cellStyle name="Normal 5 2 3 3 2 2 3 4" xfId="23839" xr:uid="{4C8398CD-92A9-4559-8792-DCAB9148E2C7}"/>
    <cellStyle name="Normal 5 2 3 3 2 2 3 5" xfId="14542" xr:uid="{C8899E32-8ED9-4871-B258-41D23AF35A39}"/>
    <cellStyle name="Normal 5 2 3 3 2 2 4" xfId="9511" xr:uid="{75EF02F8-0397-4B30-A858-343ADCA7C08D}"/>
    <cellStyle name="Normal 5 2 3 3 2 2 4 2" xfId="36517" xr:uid="{3BA0AC97-FFB5-4F4B-BC0C-22CC60B450E3}"/>
    <cellStyle name="Normal 5 2 3 3 2 2 4 3" xfId="18824" xr:uid="{EFB61A39-637B-420E-9D85-65A15287B25F}"/>
    <cellStyle name="Normal 5 2 3 3 2 2 5" xfId="28069" xr:uid="{17E3BD03-1E0B-4E69-BB4E-F60D149D9988}"/>
    <cellStyle name="Normal 5 2 3 3 2 2 6" xfId="19622" xr:uid="{1406838E-8948-437B-9F99-E07C8715D780}"/>
    <cellStyle name="Normal 5 2 3 3 2 2 7" xfId="10325" xr:uid="{7BAC53EE-6565-47AD-832E-95AC08DB8E94}"/>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43292" xr:uid="{5FAB189C-69AB-4C5C-A606-A72F362401AE}"/>
    <cellStyle name="Normal 5 2 3 3 2 3 2 2 3" xfId="34845" xr:uid="{B1D44895-89B0-4608-900C-E40B2984C2F0}"/>
    <cellStyle name="Normal 5 2 3 3 2 3 2 2 4" xfId="26397" xr:uid="{C9E086EF-F844-4233-A9C9-65CE101E3907}"/>
    <cellStyle name="Normal 5 2 3 3 2 3 2 2 5" xfId="17100" xr:uid="{FB8DADE1-7CAD-4B3E-A058-D2A72B73D2B8}"/>
    <cellStyle name="Normal 5 2 3 3 2 3 2 3" xfId="39075" xr:uid="{F3AE3389-0872-484E-A8BB-3050894D7C24}"/>
    <cellStyle name="Normal 5 2 3 3 2 3 2 4" xfId="30627" xr:uid="{3A0BC601-F3FA-4150-B12B-AB20A24DE62F}"/>
    <cellStyle name="Normal 5 2 3 3 2 3 2 5" xfId="22180" xr:uid="{86FC9AE6-74A7-4A59-AB98-3399CC0C91A8}"/>
    <cellStyle name="Normal 5 2 3 3 2 3 2 6" xfId="12883" xr:uid="{1D98424A-60EB-435B-8DB6-195F0CDAB45B}"/>
    <cellStyle name="Normal 5 2 3 3 2 3 3" xfId="5629" xr:uid="{00000000-0005-0000-0000-00008D180000}"/>
    <cellStyle name="Normal 5 2 3 3 2 3 3 2" xfId="41147" xr:uid="{538F09F4-CBCD-4782-AC85-B1B92E2CA879}"/>
    <cellStyle name="Normal 5 2 3 3 2 3 3 3" xfId="32700" xr:uid="{C62BF521-07BF-429D-9766-DCC26726B7C4}"/>
    <cellStyle name="Normal 5 2 3 3 2 3 3 4" xfId="24252" xr:uid="{C67D1DBF-12F7-48A4-8AEC-B407FDBBE32B}"/>
    <cellStyle name="Normal 5 2 3 3 2 3 3 5" xfId="14955" xr:uid="{02F02644-E84A-44B3-9367-4613425A334E}"/>
    <cellStyle name="Normal 5 2 3 3 2 3 4" xfId="36930" xr:uid="{49BBD398-CDDA-48FB-B755-E40E369FCCB8}"/>
    <cellStyle name="Normal 5 2 3 3 2 3 5" xfId="28482" xr:uid="{6EEA972B-F19E-44EE-94AE-FA410325607A}"/>
    <cellStyle name="Normal 5 2 3 3 2 3 6" xfId="20035" xr:uid="{BF74852D-FF5A-41BD-AE05-FFB13A9E17AE}"/>
    <cellStyle name="Normal 5 2 3 3 2 3 7" xfId="10738" xr:uid="{1E0E180F-E946-4E51-BB50-96D1D66C1184}"/>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43705" xr:uid="{0FF5CEAC-E14F-4626-9667-6614FB40F65F}"/>
    <cellStyle name="Normal 5 2 3 3 2 4 2 2 3" xfId="35258" xr:uid="{2FC74B9C-807A-4EB6-98DF-0840055C91E2}"/>
    <cellStyle name="Normal 5 2 3 3 2 4 2 2 4" xfId="26810" xr:uid="{867E1D26-2F6E-44E4-8A6A-430618409FA4}"/>
    <cellStyle name="Normal 5 2 3 3 2 4 2 2 5" xfId="17513" xr:uid="{87FC58DD-4E99-46DC-A4CE-148EA3C9ECDA}"/>
    <cellStyle name="Normal 5 2 3 3 2 4 2 3" xfId="39488" xr:uid="{0DFB734A-5020-4F9F-899E-A1842D24D766}"/>
    <cellStyle name="Normal 5 2 3 3 2 4 2 4" xfId="31040" xr:uid="{A3C8913B-B246-4202-B50A-DEB6B08BA223}"/>
    <cellStyle name="Normal 5 2 3 3 2 4 2 5" xfId="22593" xr:uid="{D8349E2B-0A08-48F0-BBAA-B0E670A654C0}"/>
    <cellStyle name="Normal 5 2 3 3 2 4 2 6" xfId="13296" xr:uid="{AB970643-D238-4109-BA88-5E94A51A346B}"/>
    <cellStyle name="Normal 5 2 3 3 2 4 3" xfId="6042" xr:uid="{00000000-0005-0000-0000-000091180000}"/>
    <cellStyle name="Normal 5 2 3 3 2 4 3 2" xfId="41560" xr:uid="{7C8FB74C-ED4A-40B0-8EEB-7A9041DE55E9}"/>
    <cellStyle name="Normal 5 2 3 3 2 4 3 3" xfId="33113" xr:uid="{22EE5DC3-C431-4A98-A455-E552F131367D}"/>
    <cellStyle name="Normal 5 2 3 3 2 4 3 4" xfId="24665" xr:uid="{364BAE93-1DEB-4104-AA80-5290AC1E7039}"/>
    <cellStyle name="Normal 5 2 3 3 2 4 3 5" xfId="15368" xr:uid="{22BFE74F-1FCF-4EB8-9DE4-C815E98412D8}"/>
    <cellStyle name="Normal 5 2 3 3 2 4 4" xfId="37343" xr:uid="{D29EA078-CCED-4E97-B398-3C54C1A8EC14}"/>
    <cellStyle name="Normal 5 2 3 3 2 4 5" xfId="28895" xr:uid="{3A4ACCF9-BE5E-461F-B891-7DAA2CC88135}"/>
    <cellStyle name="Normal 5 2 3 3 2 4 6" xfId="20448" xr:uid="{CB1DA974-64D7-405C-810C-F4509FAF317C}"/>
    <cellStyle name="Normal 5 2 3 3 2 4 7" xfId="11151" xr:uid="{42949569-E1D7-4F6C-B7C3-0FCDC4541109}"/>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44118" xr:uid="{8853480C-5F84-4DEB-ADC6-69D67240BB85}"/>
    <cellStyle name="Normal 5 2 3 3 2 5 2 2 3" xfId="35671" xr:uid="{EE8A56DD-9039-4B82-B8E0-01AC776D0E0A}"/>
    <cellStyle name="Normal 5 2 3 3 2 5 2 2 4" xfId="27223" xr:uid="{9CA6888E-3B99-4954-BB3D-A91250162228}"/>
    <cellStyle name="Normal 5 2 3 3 2 5 2 2 5" xfId="17926" xr:uid="{4E183712-091F-4C88-A03B-A95758BF0E5D}"/>
    <cellStyle name="Normal 5 2 3 3 2 5 2 3" xfId="39901" xr:uid="{D1CECA50-F6B3-4084-8B33-81BAA1116179}"/>
    <cellStyle name="Normal 5 2 3 3 2 5 2 4" xfId="31453" xr:uid="{987587DA-E782-417C-9CFD-EE1B00F4B472}"/>
    <cellStyle name="Normal 5 2 3 3 2 5 2 5" xfId="23006" xr:uid="{9020B3F3-E2B5-41AE-9BA7-6856049FC3FB}"/>
    <cellStyle name="Normal 5 2 3 3 2 5 2 6" xfId="13709" xr:uid="{9B71337B-E997-4409-AD9B-C29B4C886218}"/>
    <cellStyle name="Normal 5 2 3 3 2 5 3" xfId="6455" xr:uid="{00000000-0005-0000-0000-000095180000}"/>
    <cellStyle name="Normal 5 2 3 3 2 5 3 2" xfId="41973" xr:uid="{7C8D4275-C2D6-4A03-A639-366B082E44F6}"/>
    <cellStyle name="Normal 5 2 3 3 2 5 3 3" xfId="33526" xr:uid="{B4CE5DC8-4B80-4E4C-9338-432ACEB8D889}"/>
    <cellStyle name="Normal 5 2 3 3 2 5 3 4" xfId="25078" xr:uid="{4C2A6A79-1C83-46A7-B0A2-FB38F5EEEB41}"/>
    <cellStyle name="Normal 5 2 3 3 2 5 3 5" xfId="15781" xr:uid="{FDE85936-EFB1-4FDC-BF52-707E590AF12B}"/>
    <cellStyle name="Normal 5 2 3 3 2 5 4" xfId="37756" xr:uid="{CBF168B2-DC98-4295-ACC3-AE1610580080}"/>
    <cellStyle name="Normal 5 2 3 3 2 5 5" xfId="29308" xr:uid="{D2322A2F-DB5A-4430-A41F-0D712332E020}"/>
    <cellStyle name="Normal 5 2 3 3 2 5 6" xfId="20861" xr:uid="{5E5E5D02-26F3-4D1F-A3CF-8529ABAD9DDA}"/>
    <cellStyle name="Normal 5 2 3 3 2 5 7" xfId="11564" xr:uid="{E802E8EB-DBB9-4918-995A-B7BA15C890BE}"/>
    <cellStyle name="Normal 5 2 3 3 2 6" xfId="2585" xr:uid="{00000000-0005-0000-0000-000096180000}"/>
    <cellStyle name="Normal 5 2 3 3 2 6 2" xfId="6868" xr:uid="{00000000-0005-0000-0000-000097180000}"/>
    <cellStyle name="Normal 5 2 3 3 2 6 2 2" xfId="42386" xr:uid="{EAFA1320-B368-48F9-A4DD-A079334C6B3C}"/>
    <cellStyle name="Normal 5 2 3 3 2 6 2 3" xfId="33939" xr:uid="{A23D9DC3-AABD-419E-BD40-451A9B4A1F2F}"/>
    <cellStyle name="Normal 5 2 3 3 2 6 2 4" xfId="25491" xr:uid="{D376E91E-67A7-4B22-8ED0-1A36BA3D05B6}"/>
    <cellStyle name="Normal 5 2 3 3 2 6 2 5" xfId="16194" xr:uid="{4672A564-CFDE-4C0A-93D5-E325535070FE}"/>
    <cellStyle name="Normal 5 2 3 3 2 6 3" xfId="38169" xr:uid="{A710F1B0-FAAA-49F4-8E4B-FA36C505017A}"/>
    <cellStyle name="Normal 5 2 3 3 2 6 4" xfId="29721" xr:uid="{BE84F7A2-CC6D-4FD0-BCE4-CEB8B884F66C}"/>
    <cellStyle name="Normal 5 2 3 3 2 6 5" xfId="21274" xr:uid="{5080BC7B-4E20-4593-B1FB-7DD86BF21EAB}"/>
    <cellStyle name="Normal 5 2 3 3 2 6 6" xfId="11977" xr:uid="{3C8A43D1-2AC8-4705-874D-883E74BF82E7}"/>
    <cellStyle name="Normal 5 2 3 3 2 7" xfId="4803" xr:uid="{00000000-0005-0000-0000-000098180000}"/>
    <cellStyle name="Normal 5 2 3 3 2 7 2" xfId="40321" xr:uid="{168C3391-36C4-4DE2-8B3F-3A9041B68B26}"/>
    <cellStyle name="Normal 5 2 3 3 2 7 3" xfId="31874" xr:uid="{7E5AFD87-CC23-4D2A-A40F-689333702B73}"/>
    <cellStyle name="Normal 5 2 3 3 2 7 4" xfId="23426" xr:uid="{9478BD27-95F9-40C5-94FB-E4917241ABAE}"/>
    <cellStyle name="Normal 5 2 3 3 2 7 5" xfId="14129" xr:uid="{EA9601B3-88EB-4DEF-B2DB-FB7C232DAEDD}"/>
    <cellStyle name="Normal 5 2 3 3 2 8" xfId="9086" xr:uid="{442E5F61-F00C-4774-822F-4985AB3E1CB7}"/>
    <cellStyle name="Normal 5 2 3 3 2 8 2" xfId="36104" xr:uid="{03FF07AA-E594-4973-AE85-596FFDF50001}"/>
    <cellStyle name="Normal 5 2 3 3 2 8 3" xfId="18409" xr:uid="{A35DF016-8FDB-49A8-A44C-537D21F41714}"/>
    <cellStyle name="Normal 5 2 3 3 2 9" xfId="27656" xr:uid="{34DE2D7C-206D-43B9-A3D5-A1EA92404DAE}"/>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42878" xr:uid="{A73BFAF6-EDD0-4560-B517-BE338A4A6AFF}"/>
    <cellStyle name="Normal 5 2 3 3 3 2 2 3" xfId="34431" xr:uid="{3A78BC8F-5A85-4B48-89E7-869B5FFC60DF}"/>
    <cellStyle name="Normal 5 2 3 3 3 2 2 4" xfId="25983" xr:uid="{A1F18BE9-D52F-481F-B5A4-FBD54DEC5AD5}"/>
    <cellStyle name="Normal 5 2 3 3 3 2 2 5" xfId="16686" xr:uid="{FC52641A-1B2B-4C99-8101-A3EE5D2D2FCA}"/>
    <cellStyle name="Normal 5 2 3 3 3 2 3" xfId="38661" xr:uid="{D3B81E08-1489-4A7E-8C9B-FA8CAA651A5A}"/>
    <cellStyle name="Normal 5 2 3 3 3 2 4" xfId="30213" xr:uid="{F34DEE6E-4994-4598-A13F-D2188D69DA88}"/>
    <cellStyle name="Normal 5 2 3 3 3 2 5" xfId="21766" xr:uid="{330A719E-6A3A-4193-BFBD-F2A8BCC74C61}"/>
    <cellStyle name="Normal 5 2 3 3 3 2 6" xfId="12469" xr:uid="{272B37AD-29E6-4224-B4E3-A8E8561852E8}"/>
    <cellStyle name="Normal 5 2 3 3 3 3" xfId="5215" xr:uid="{00000000-0005-0000-0000-00009C180000}"/>
    <cellStyle name="Normal 5 2 3 3 3 3 2" xfId="40733" xr:uid="{3CF05884-17F7-49D1-8159-6B38D7B80020}"/>
    <cellStyle name="Normal 5 2 3 3 3 3 3" xfId="32286" xr:uid="{11B4264B-46F1-4ADC-A26D-1368F2ABF99D}"/>
    <cellStyle name="Normal 5 2 3 3 3 3 4" xfId="23838" xr:uid="{00B20F41-8738-4868-949A-4A1F8C74E777}"/>
    <cellStyle name="Normal 5 2 3 3 3 3 5" xfId="14541" xr:uid="{7A18F867-D4C4-42EF-B84E-A06882CD9D51}"/>
    <cellStyle name="Normal 5 2 3 3 3 4" xfId="9304" xr:uid="{2C783A77-F32A-4E64-807E-062B95DB0310}"/>
    <cellStyle name="Normal 5 2 3 3 3 4 2" xfId="36516" xr:uid="{384E71F7-8C93-4DF5-9724-B25806ADF752}"/>
    <cellStyle name="Normal 5 2 3 3 3 4 3" xfId="18617" xr:uid="{8EA43B21-991B-46DF-A5F6-D21D6FCF862B}"/>
    <cellStyle name="Normal 5 2 3 3 3 5" xfId="28068" xr:uid="{BF712F6C-D830-4D2B-970D-B38B024F361E}"/>
    <cellStyle name="Normal 5 2 3 3 3 6" xfId="19621" xr:uid="{0605DC28-DD99-4D74-951C-BB01E3BF6457}"/>
    <cellStyle name="Normal 5 2 3 3 3 7" xfId="10324" xr:uid="{B971ADE6-B90F-4C8B-A29B-74EB77D86BFE}"/>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43291" xr:uid="{F732BBCF-E552-4B37-ABB8-E69E45578E72}"/>
    <cellStyle name="Normal 5 2 3 3 4 2 2 3" xfId="34844" xr:uid="{79CC1159-0158-48A5-B46A-F9FAFCCFCEED}"/>
    <cellStyle name="Normal 5 2 3 3 4 2 2 4" xfId="26396" xr:uid="{5FBA8A9C-EC0A-4386-8AE0-798538E1ED58}"/>
    <cellStyle name="Normal 5 2 3 3 4 2 2 5" xfId="17099" xr:uid="{BAAC25D9-595F-4095-A3D7-2483AB48350C}"/>
    <cellStyle name="Normal 5 2 3 3 4 2 3" xfId="39074" xr:uid="{D28E38D8-D9D8-405C-9791-5496D1A69A47}"/>
    <cellStyle name="Normal 5 2 3 3 4 2 4" xfId="30626" xr:uid="{02560A47-E31A-4247-90B3-EBA0F1E7522D}"/>
    <cellStyle name="Normal 5 2 3 3 4 2 5" xfId="22179" xr:uid="{148C06BA-7184-4019-84C8-9C8791D30D37}"/>
    <cellStyle name="Normal 5 2 3 3 4 2 6" xfId="12882" xr:uid="{A616BC94-9919-4D2C-9559-163186830587}"/>
    <cellStyle name="Normal 5 2 3 3 4 3" xfId="5628" xr:uid="{00000000-0005-0000-0000-0000A0180000}"/>
    <cellStyle name="Normal 5 2 3 3 4 3 2" xfId="41146" xr:uid="{9FF0B7A5-096C-4564-8A59-D2D304068845}"/>
    <cellStyle name="Normal 5 2 3 3 4 3 3" xfId="32699" xr:uid="{6197D4AE-0224-4B4D-A109-3B81798D0C1F}"/>
    <cellStyle name="Normal 5 2 3 3 4 3 4" xfId="24251" xr:uid="{528C2159-5B67-4AD2-91B5-968FD3846968}"/>
    <cellStyle name="Normal 5 2 3 3 4 3 5" xfId="14954" xr:uid="{731F7197-BA73-4C56-909A-171A4B3699EB}"/>
    <cellStyle name="Normal 5 2 3 3 4 4" xfId="36929" xr:uid="{02877C28-A962-43B3-8420-BD97977C6245}"/>
    <cellStyle name="Normal 5 2 3 3 4 5" xfId="28481" xr:uid="{A87827EE-5AF4-453C-B663-DF295949D5C6}"/>
    <cellStyle name="Normal 5 2 3 3 4 6" xfId="20034" xr:uid="{E66BCB01-347B-461C-8E2F-9D55574BE74A}"/>
    <cellStyle name="Normal 5 2 3 3 4 7" xfId="10737" xr:uid="{43FEC6BC-FCF2-494F-8BB3-F2E4310F04C2}"/>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43704" xr:uid="{B22E9545-DEDA-4788-BC0B-122E41E54940}"/>
    <cellStyle name="Normal 5 2 3 3 5 2 2 3" xfId="35257" xr:uid="{B2D73F33-EAC9-432B-8C46-F9E2B2AED4E0}"/>
    <cellStyle name="Normal 5 2 3 3 5 2 2 4" xfId="26809" xr:uid="{BF247F4F-7BFE-457E-8580-42507B6F8156}"/>
    <cellStyle name="Normal 5 2 3 3 5 2 2 5" xfId="17512" xr:uid="{C020C677-A64F-4154-AD95-D6480883FFF2}"/>
    <cellStyle name="Normal 5 2 3 3 5 2 3" xfId="39487" xr:uid="{AA8CF16A-7644-43AE-9F1D-FC369B972A46}"/>
    <cellStyle name="Normal 5 2 3 3 5 2 4" xfId="31039" xr:uid="{515B4E99-F4CB-4EB7-BE2B-0EF80FE53F62}"/>
    <cellStyle name="Normal 5 2 3 3 5 2 5" xfId="22592" xr:uid="{1270775A-2151-4A2A-B6F8-4CA76744A806}"/>
    <cellStyle name="Normal 5 2 3 3 5 2 6" xfId="13295" xr:uid="{F1E2128B-560C-4626-B44C-970BFE12485D}"/>
    <cellStyle name="Normal 5 2 3 3 5 3" xfId="6041" xr:uid="{00000000-0005-0000-0000-0000A4180000}"/>
    <cellStyle name="Normal 5 2 3 3 5 3 2" xfId="41559" xr:uid="{2D2B3141-E02B-4535-A882-4019CC5A9795}"/>
    <cellStyle name="Normal 5 2 3 3 5 3 3" xfId="33112" xr:uid="{0DC58CCE-7931-4BF6-A234-B06A623C7F3D}"/>
    <cellStyle name="Normal 5 2 3 3 5 3 4" xfId="24664" xr:uid="{E8BC4289-D48F-4A2C-AB42-307CF535E6CD}"/>
    <cellStyle name="Normal 5 2 3 3 5 3 5" xfId="15367" xr:uid="{47A77FC2-7F9B-46B3-A1EF-384ABD4CA3CD}"/>
    <cellStyle name="Normal 5 2 3 3 5 4" xfId="37342" xr:uid="{2CDD25F9-0B85-478B-BA64-150DD1AB7320}"/>
    <cellStyle name="Normal 5 2 3 3 5 5" xfId="28894" xr:uid="{9F09FFB5-978C-4D03-82A6-F7202E51314B}"/>
    <cellStyle name="Normal 5 2 3 3 5 6" xfId="20447" xr:uid="{95E13E8D-F1BE-43A6-8E70-C827553EE402}"/>
    <cellStyle name="Normal 5 2 3 3 5 7" xfId="11150" xr:uid="{137E8D34-A66F-42A4-8307-1288D2C64844}"/>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44117" xr:uid="{AC9BAA29-83E7-4739-82FB-14905B859CA9}"/>
    <cellStyle name="Normal 5 2 3 3 6 2 2 3" xfId="35670" xr:uid="{F39BEA43-6FB1-4953-8FD9-0369372A343E}"/>
    <cellStyle name="Normal 5 2 3 3 6 2 2 4" xfId="27222" xr:uid="{1FAFE5F2-7BEF-466E-B111-27B7627F0A51}"/>
    <cellStyle name="Normal 5 2 3 3 6 2 2 5" xfId="17925" xr:uid="{2BEAD177-A050-429D-9DB0-C37A73958DD3}"/>
    <cellStyle name="Normal 5 2 3 3 6 2 3" xfId="39900" xr:uid="{F6E4892A-48DC-4D93-AB7E-F9F1F7E10B60}"/>
    <cellStyle name="Normal 5 2 3 3 6 2 4" xfId="31452" xr:uid="{E1FEB8E2-6A1E-4819-9416-1B9BA3933BAA}"/>
    <cellStyle name="Normal 5 2 3 3 6 2 5" xfId="23005" xr:uid="{2D93EAC2-478F-4CCE-8E72-8898EAB0FA0A}"/>
    <cellStyle name="Normal 5 2 3 3 6 2 6" xfId="13708" xr:uid="{C0E661B9-37AF-49FD-9B8A-E14AE2F6AB6D}"/>
    <cellStyle name="Normal 5 2 3 3 6 3" xfId="6454" xr:uid="{00000000-0005-0000-0000-0000A8180000}"/>
    <cellStyle name="Normal 5 2 3 3 6 3 2" xfId="41972" xr:uid="{D9ABB916-EAA4-4546-ACC1-111F80ED28CD}"/>
    <cellStyle name="Normal 5 2 3 3 6 3 3" xfId="33525" xr:uid="{F68B467A-3C93-4E51-9759-03D54924EF53}"/>
    <cellStyle name="Normal 5 2 3 3 6 3 4" xfId="25077" xr:uid="{896AD3EA-0072-4E8C-8E38-80B109853C1E}"/>
    <cellStyle name="Normal 5 2 3 3 6 3 5" xfId="15780" xr:uid="{8D84E997-D821-4D2C-8ABF-BAAC14F1C349}"/>
    <cellStyle name="Normal 5 2 3 3 6 4" xfId="37755" xr:uid="{076F76B5-3377-4AAA-A446-5EECFE4FF604}"/>
    <cellStyle name="Normal 5 2 3 3 6 5" xfId="29307" xr:uid="{C16C2490-9DFB-487F-9498-AD37122AA922}"/>
    <cellStyle name="Normal 5 2 3 3 6 6" xfId="20860" xr:uid="{3F84A9EF-7158-4B78-8554-8FFDF6F6CC01}"/>
    <cellStyle name="Normal 5 2 3 3 6 7" xfId="11563" xr:uid="{FCEEF906-5BCE-4DC2-9AE5-11BC89D3694F}"/>
    <cellStyle name="Normal 5 2 3 3 7" xfId="2584" xr:uid="{00000000-0005-0000-0000-0000A9180000}"/>
    <cellStyle name="Normal 5 2 3 3 7 2" xfId="6867" xr:uid="{00000000-0005-0000-0000-0000AA180000}"/>
    <cellStyle name="Normal 5 2 3 3 7 2 2" xfId="42385" xr:uid="{D5E1E0DC-FC79-4CD3-BCEC-859B9C7DA375}"/>
    <cellStyle name="Normal 5 2 3 3 7 2 3" xfId="33938" xr:uid="{A6545081-8913-4E3B-86ED-CFD872BF8765}"/>
    <cellStyle name="Normal 5 2 3 3 7 2 4" xfId="25490" xr:uid="{E242AFD9-2AF7-47B5-8C33-209B47852E02}"/>
    <cellStyle name="Normal 5 2 3 3 7 2 5" xfId="16193" xr:uid="{039DA25B-9CB7-49B2-AE46-4A677DD82D60}"/>
    <cellStyle name="Normal 5 2 3 3 7 3" xfId="38168" xr:uid="{7809FC08-1B5F-41FD-A7BB-ED4053BF9BF6}"/>
    <cellStyle name="Normal 5 2 3 3 7 4" xfId="29720" xr:uid="{F370CD57-A530-41A6-B814-5F0DFB0D2DB7}"/>
    <cellStyle name="Normal 5 2 3 3 7 5" xfId="21273" xr:uid="{F2A8DF33-4279-49F1-A279-8D33AB72E4BC}"/>
    <cellStyle name="Normal 5 2 3 3 7 6" xfId="11976" xr:uid="{6728C39D-5CEA-4183-A961-76FEA44FD96B}"/>
    <cellStyle name="Normal 5 2 3 3 8" xfId="4802" xr:uid="{00000000-0005-0000-0000-0000AB180000}"/>
    <cellStyle name="Normal 5 2 3 3 8 2" xfId="40320" xr:uid="{43F8E1D1-F692-43C1-BEDD-4385637E4155}"/>
    <cellStyle name="Normal 5 2 3 3 8 3" xfId="31873" xr:uid="{7C1C6C5E-A8D0-4E0D-BA46-36101E8F3C24}"/>
    <cellStyle name="Normal 5 2 3 3 8 4" xfId="23425" xr:uid="{841F7921-AA06-4EEA-B85D-49E084ED0246}"/>
    <cellStyle name="Normal 5 2 3 3 8 5" xfId="14128" xr:uid="{4C22D250-D5DC-4801-8B93-C9A5BC9157C0}"/>
    <cellStyle name="Normal 5 2 3 3 9" xfId="8879" xr:uid="{F521005C-E3E0-4B64-9C0A-0C510FB9AAB2}"/>
    <cellStyle name="Normal 5 2 3 3 9 2" xfId="36103" xr:uid="{CA67A33E-6743-46E6-B52F-96B9D764FBEB}"/>
    <cellStyle name="Normal 5 2 3 3 9 3" xfId="18202" xr:uid="{63F1EDF7-9C8F-4563-9EA0-0FE461BBEE0A}"/>
    <cellStyle name="Normal 5 2 3 4" xfId="431" xr:uid="{00000000-0005-0000-0000-0000AC180000}"/>
    <cellStyle name="Normal 5 2 3 4 10" xfId="19210" xr:uid="{881677A7-9571-4AF7-83B9-D6C6F82E7900}"/>
    <cellStyle name="Normal 5 2 3 4 11" xfId="9913" xr:uid="{287BA5E2-A341-4332-AE10-DED40AE74FD5}"/>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42880" xr:uid="{477A43FF-AF8C-4886-99CE-E24180AD6EC8}"/>
    <cellStyle name="Normal 5 2 3 4 2 2 2 3" xfId="34433" xr:uid="{4B5333DC-A896-4381-B62C-5112A671A841}"/>
    <cellStyle name="Normal 5 2 3 4 2 2 2 4" xfId="25985" xr:uid="{140A55E2-AC97-46D0-91CD-C4D17279AD86}"/>
    <cellStyle name="Normal 5 2 3 4 2 2 2 5" xfId="16688" xr:uid="{DF2F7F80-5DCA-4385-A8AD-0F8FCB4CBBC1}"/>
    <cellStyle name="Normal 5 2 3 4 2 2 3" xfId="38663" xr:uid="{30CDE1A6-CFA7-45C5-8532-80F74AEF898A}"/>
    <cellStyle name="Normal 5 2 3 4 2 2 4" xfId="30215" xr:uid="{FCEF1171-D267-4E99-8492-5CD98C99D93D}"/>
    <cellStyle name="Normal 5 2 3 4 2 2 5" xfId="21768" xr:uid="{3DBE82A5-DA1B-4A0E-A9FD-DA7E5160917C}"/>
    <cellStyle name="Normal 5 2 3 4 2 2 6" xfId="12471" xr:uid="{FBF0C7BB-7E6F-4C87-8E7D-00FF1FAD92E1}"/>
    <cellStyle name="Normal 5 2 3 4 2 3" xfId="5217" xr:uid="{00000000-0005-0000-0000-0000B0180000}"/>
    <cellStyle name="Normal 5 2 3 4 2 3 2" xfId="40735" xr:uid="{83462124-E8E9-46B0-9D19-9C0730CB9157}"/>
    <cellStyle name="Normal 5 2 3 4 2 3 3" xfId="32288" xr:uid="{9A68496E-AE59-4E50-85B5-C5824FF1BE4D}"/>
    <cellStyle name="Normal 5 2 3 4 2 3 4" xfId="23840" xr:uid="{C00BFFEE-D934-4CEA-9913-B8BFD9ADAEC6}"/>
    <cellStyle name="Normal 5 2 3 4 2 3 5" xfId="14543" xr:uid="{4EC9BB80-CE7B-46A1-8D7F-EBA42FC53653}"/>
    <cellStyle name="Normal 5 2 3 4 2 4" xfId="9408" xr:uid="{3B6F9C6F-3D7C-45F8-99FE-451C0F8CED36}"/>
    <cellStyle name="Normal 5 2 3 4 2 4 2" xfId="36518" xr:uid="{E08691F2-D602-45BA-82FE-D16A1EAE60EF}"/>
    <cellStyle name="Normal 5 2 3 4 2 4 3" xfId="18721" xr:uid="{23434C44-4A36-4009-BA56-6E061C9F3640}"/>
    <cellStyle name="Normal 5 2 3 4 2 5" xfId="28070" xr:uid="{354BC8EF-F914-4F0D-9F1A-8FFB065BBF2E}"/>
    <cellStyle name="Normal 5 2 3 4 2 6" xfId="19623" xr:uid="{9DD104D8-BF55-4C5B-B953-A80FF173C9E8}"/>
    <cellStyle name="Normal 5 2 3 4 2 7" xfId="10326" xr:uid="{30B6691F-B728-4132-96AA-95A6505A98B5}"/>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43293" xr:uid="{BC98D92E-5FF6-4E18-8AA0-99437B6CFC8F}"/>
    <cellStyle name="Normal 5 2 3 4 3 2 2 3" xfId="34846" xr:uid="{6CDC285E-B1F3-4CCA-8642-5755EEEAF8DE}"/>
    <cellStyle name="Normal 5 2 3 4 3 2 2 4" xfId="26398" xr:uid="{BBD7E766-0ED9-423F-951B-6F232FB95096}"/>
    <cellStyle name="Normal 5 2 3 4 3 2 2 5" xfId="17101" xr:uid="{BDBEFA7A-1B91-4462-89B4-DBAE233D91D4}"/>
    <cellStyle name="Normal 5 2 3 4 3 2 3" xfId="39076" xr:uid="{E4037D90-28B9-4E27-B3A2-485265BA8AF5}"/>
    <cellStyle name="Normal 5 2 3 4 3 2 4" xfId="30628" xr:uid="{FD6CC568-E8A7-46AD-B531-F099D9A68AF0}"/>
    <cellStyle name="Normal 5 2 3 4 3 2 5" xfId="22181" xr:uid="{79B745A1-6F6E-4013-809C-009CA2A39713}"/>
    <cellStyle name="Normal 5 2 3 4 3 2 6" xfId="12884" xr:uid="{856CBAA1-6AD6-4955-ADD2-D3AE0FF14408}"/>
    <cellStyle name="Normal 5 2 3 4 3 3" xfId="5630" xr:uid="{00000000-0005-0000-0000-0000B4180000}"/>
    <cellStyle name="Normal 5 2 3 4 3 3 2" xfId="41148" xr:uid="{CFDE564E-9565-4B3B-A5F1-0074EE5F0899}"/>
    <cellStyle name="Normal 5 2 3 4 3 3 3" xfId="32701" xr:uid="{952362DD-C8B3-463A-A374-1574E07AA0F3}"/>
    <cellStyle name="Normal 5 2 3 4 3 3 4" xfId="24253" xr:uid="{CDD8F1F3-0674-4A77-8A3E-E517BE3E0B94}"/>
    <cellStyle name="Normal 5 2 3 4 3 3 5" xfId="14956" xr:uid="{F62815E2-BE86-4519-9638-D6E31F2B4D66}"/>
    <cellStyle name="Normal 5 2 3 4 3 4" xfId="36931" xr:uid="{22CBC648-CECB-4642-B0AE-0C45F0094C0C}"/>
    <cellStyle name="Normal 5 2 3 4 3 5" xfId="28483" xr:uid="{0737D0D1-8B5E-43D1-BD19-0CA7D0CBF39C}"/>
    <cellStyle name="Normal 5 2 3 4 3 6" xfId="20036" xr:uid="{296C9EAA-14C3-420A-B77A-6918FE6809F9}"/>
    <cellStyle name="Normal 5 2 3 4 3 7" xfId="10739" xr:uid="{2D4D9DAE-595D-44DF-B62D-87DCD235EF38}"/>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43706" xr:uid="{C545C02D-8DF1-43BF-BCDD-E7765E48EA23}"/>
    <cellStyle name="Normal 5 2 3 4 4 2 2 3" xfId="35259" xr:uid="{FCAE8032-B5F5-495C-B434-B1FE9ECFF9BD}"/>
    <cellStyle name="Normal 5 2 3 4 4 2 2 4" xfId="26811" xr:uid="{F951D2D3-EB02-408A-ADDD-76185F0FCFA3}"/>
    <cellStyle name="Normal 5 2 3 4 4 2 2 5" xfId="17514" xr:uid="{39340657-CCE8-4E3E-AF1F-DA85AB6D84AE}"/>
    <cellStyle name="Normal 5 2 3 4 4 2 3" xfId="39489" xr:uid="{07BA316C-0EF8-4BD0-B1B2-61377FF48FF5}"/>
    <cellStyle name="Normal 5 2 3 4 4 2 4" xfId="31041" xr:uid="{99B87684-7834-4995-B7C1-12AF93F9E0C2}"/>
    <cellStyle name="Normal 5 2 3 4 4 2 5" xfId="22594" xr:uid="{1F7B3BE8-9E62-4BAB-B3A5-B7852B1DDDBA}"/>
    <cellStyle name="Normal 5 2 3 4 4 2 6" xfId="13297" xr:uid="{A816CFFB-D70F-4016-B69B-0C73090022FB}"/>
    <cellStyle name="Normal 5 2 3 4 4 3" xfId="6043" xr:uid="{00000000-0005-0000-0000-0000B8180000}"/>
    <cellStyle name="Normal 5 2 3 4 4 3 2" xfId="41561" xr:uid="{06C7AF99-D307-4309-9F89-D3F6E7D3CA7F}"/>
    <cellStyle name="Normal 5 2 3 4 4 3 3" xfId="33114" xr:uid="{BE5887F2-7C04-4C8A-B575-77B8B3BE2C18}"/>
    <cellStyle name="Normal 5 2 3 4 4 3 4" xfId="24666" xr:uid="{CBB30903-6785-4CD2-AD24-BA0ED3C10F7B}"/>
    <cellStyle name="Normal 5 2 3 4 4 3 5" xfId="15369" xr:uid="{70E61A7E-E8C9-46F7-8BCF-41EDD6391B3E}"/>
    <cellStyle name="Normal 5 2 3 4 4 4" xfId="37344" xr:uid="{AF18A1E7-1E8D-4351-AD2B-6F0763B51C47}"/>
    <cellStyle name="Normal 5 2 3 4 4 5" xfId="28896" xr:uid="{3D3470D5-B2D4-4F4B-B165-DDB9408D12A6}"/>
    <cellStyle name="Normal 5 2 3 4 4 6" xfId="20449" xr:uid="{2E2D12B5-344E-4294-9319-2E40FEF0E57B}"/>
    <cellStyle name="Normal 5 2 3 4 4 7" xfId="11152" xr:uid="{0BB0FB14-14F4-454B-835A-729D8A0FCD92}"/>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44119" xr:uid="{5E16C081-6025-490C-97BF-E2217C29EBD3}"/>
    <cellStyle name="Normal 5 2 3 4 5 2 2 3" xfId="35672" xr:uid="{30DD50B1-140C-4C88-88A0-38F5EE13C0A8}"/>
    <cellStyle name="Normal 5 2 3 4 5 2 2 4" xfId="27224" xr:uid="{15BB55F8-4A46-49C1-BD3A-CB850B9DA580}"/>
    <cellStyle name="Normal 5 2 3 4 5 2 2 5" xfId="17927" xr:uid="{4EA5C3F4-FDA5-4ADE-855A-63B7103ADC2F}"/>
    <cellStyle name="Normal 5 2 3 4 5 2 3" xfId="39902" xr:uid="{717C1329-F80E-401D-8099-95B6A40E31E2}"/>
    <cellStyle name="Normal 5 2 3 4 5 2 4" xfId="31454" xr:uid="{F50E7D04-F7F3-44AC-9964-9EE7C313E72F}"/>
    <cellStyle name="Normal 5 2 3 4 5 2 5" xfId="23007" xr:uid="{121302B6-5588-4E8F-BDE1-0B1F841A202E}"/>
    <cellStyle name="Normal 5 2 3 4 5 2 6" xfId="13710" xr:uid="{F3EE3840-2B8E-4791-836C-327C373056F3}"/>
    <cellStyle name="Normal 5 2 3 4 5 3" xfId="6456" xr:uid="{00000000-0005-0000-0000-0000BC180000}"/>
    <cellStyle name="Normal 5 2 3 4 5 3 2" xfId="41974" xr:uid="{2B8A4078-5888-405B-B40A-CDA48AF22541}"/>
    <cellStyle name="Normal 5 2 3 4 5 3 3" xfId="33527" xr:uid="{740E9542-3CAD-4AFF-BA02-B91DBD719B31}"/>
    <cellStyle name="Normal 5 2 3 4 5 3 4" xfId="25079" xr:uid="{E578510C-6BEF-4855-BC9D-28222864FB2E}"/>
    <cellStyle name="Normal 5 2 3 4 5 3 5" xfId="15782" xr:uid="{FA6348BD-30D7-4FD1-99F0-2561A3D99A85}"/>
    <cellStyle name="Normal 5 2 3 4 5 4" xfId="37757" xr:uid="{72D1F4B2-0F95-44BE-B503-430B1339427B}"/>
    <cellStyle name="Normal 5 2 3 4 5 5" xfId="29309" xr:uid="{F146BFAC-6E14-4209-80EA-03FF12769F02}"/>
    <cellStyle name="Normal 5 2 3 4 5 6" xfId="20862" xr:uid="{97A58D4D-8311-461E-B36B-62549E53CCA6}"/>
    <cellStyle name="Normal 5 2 3 4 5 7" xfId="11565" xr:uid="{9F4DF91B-0BCA-4C48-BDA0-8D4E2F9154AD}"/>
    <cellStyle name="Normal 5 2 3 4 6" xfId="2586" xr:uid="{00000000-0005-0000-0000-0000BD180000}"/>
    <cellStyle name="Normal 5 2 3 4 6 2" xfId="6869" xr:uid="{00000000-0005-0000-0000-0000BE180000}"/>
    <cellStyle name="Normal 5 2 3 4 6 2 2" xfId="42387" xr:uid="{8BFD3F37-7A5F-4DE7-9FA1-0423E9F45F77}"/>
    <cellStyle name="Normal 5 2 3 4 6 2 3" xfId="33940" xr:uid="{DEABDEED-6A3A-40C5-ABE6-EFB480433A0D}"/>
    <cellStyle name="Normal 5 2 3 4 6 2 4" xfId="25492" xr:uid="{30A72CCA-FD77-4E93-9BDF-9102AAD7BC4B}"/>
    <cellStyle name="Normal 5 2 3 4 6 2 5" xfId="16195" xr:uid="{C7FEAE68-2D3F-453A-BE7D-AEBC4E3FF162}"/>
    <cellStyle name="Normal 5 2 3 4 6 3" xfId="38170" xr:uid="{2BDCE5DC-3256-4A89-A132-4A571F65E050}"/>
    <cellStyle name="Normal 5 2 3 4 6 4" xfId="29722" xr:uid="{66D76FAB-7875-4F6A-A4E8-164D1A5B7956}"/>
    <cellStyle name="Normal 5 2 3 4 6 5" xfId="21275" xr:uid="{F9A6EBED-12EC-43CA-BB2A-83B907EBC57F}"/>
    <cellStyle name="Normal 5 2 3 4 6 6" xfId="11978" xr:uid="{52A6F6B2-21E1-4B0B-B18F-5B1F77475885}"/>
    <cellStyle name="Normal 5 2 3 4 7" xfId="4804" xr:uid="{00000000-0005-0000-0000-0000BF180000}"/>
    <cellStyle name="Normal 5 2 3 4 7 2" xfId="40322" xr:uid="{1E462381-2E7A-4896-ABC1-BEEAB9F94FBD}"/>
    <cellStyle name="Normal 5 2 3 4 7 3" xfId="31875" xr:uid="{CF2C3097-9812-42B0-AE4F-C384D54B047B}"/>
    <cellStyle name="Normal 5 2 3 4 7 4" xfId="23427" xr:uid="{AF2F3592-648E-4B32-9B1C-37588CB512E6}"/>
    <cellStyle name="Normal 5 2 3 4 7 5" xfId="14130" xr:uid="{0F163368-5B7A-4ACE-A9FB-F23B8BE1C386}"/>
    <cellStyle name="Normal 5 2 3 4 8" xfId="8983" xr:uid="{07388FCC-03DE-4CE8-89CB-9C92F8174E24}"/>
    <cellStyle name="Normal 5 2 3 4 8 2" xfId="36105" xr:uid="{877EED34-D127-4597-AEE7-E5FE1C78DBC2}"/>
    <cellStyle name="Normal 5 2 3 4 8 3" xfId="18306" xr:uid="{D9E17900-F0E1-4CA2-BC53-37689AADD95C}"/>
    <cellStyle name="Normal 5 2 3 4 9" xfId="27657" xr:uid="{8D001094-E30E-4389-9C44-528ACD1AF724}"/>
    <cellStyle name="Normal 5 2 3 5" xfId="898" xr:uid="{00000000-0005-0000-0000-0000C0180000}"/>
    <cellStyle name="Normal 5 2 3 5 2" xfId="3133" xr:uid="{00000000-0005-0000-0000-0000C1180000}"/>
    <cellStyle name="Normal 5 2 3 5 2 2" xfId="7355" xr:uid="{00000000-0005-0000-0000-0000C2180000}"/>
    <cellStyle name="Normal 5 2 3 5 2 2 2" xfId="42873" xr:uid="{2774E051-7165-405C-BD7D-2A5A8500643C}"/>
    <cellStyle name="Normal 5 2 3 5 2 2 3" xfId="34426" xr:uid="{5EE27C66-3150-4574-8292-C1B222C7AC69}"/>
    <cellStyle name="Normal 5 2 3 5 2 2 4" xfId="25978" xr:uid="{0DB710C0-AC03-4460-BB4B-A04508611132}"/>
    <cellStyle name="Normal 5 2 3 5 2 2 5" xfId="16681" xr:uid="{50515594-0DA6-4472-8B20-741FB74FEF90}"/>
    <cellStyle name="Normal 5 2 3 5 2 3" xfId="38656" xr:uid="{82DE4739-1D4C-4E98-AD6E-C15F802CC72E}"/>
    <cellStyle name="Normal 5 2 3 5 2 4" xfId="30208" xr:uid="{88AC717D-6716-4624-8421-59616FAA32CB}"/>
    <cellStyle name="Normal 5 2 3 5 2 5" xfId="21761" xr:uid="{02762D29-8818-46C8-88A1-50F38A82ACE0}"/>
    <cellStyle name="Normal 5 2 3 5 2 6" xfId="12464" xr:uid="{9EA63739-759B-4E92-9DFE-F505926C18D9}"/>
    <cellStyle name="Normal 5 2 3 5 3" xfId="5210" xr:uid="{00000000-0005-0000-0000-0000C3180000}"/>
    <cellStyle name="Normal 5 2 3 5 3 2" xfId="40728" xr:uid="{7299FE1C-3C3E-470F-A6B1-2FF2F53EAFA1}"/>
    <cellStyle name="Normal 5 2 3 5 3 3" xfId="32281" xr:uid="{C8B6896E-5712-4009-8433-E33DFBCED0F6}"/>
    <cellStyle name="Normal 5 2 3 5 3 4" xfId="23833" xr:uid="{D4E92F76-60AF-44CB-8194-30F95EDCE57E}"/>
    <cellStyle name="Normal 5 2 3 5 3 5" xfId="14536" xr:uid="{BB69B89F-F6DD-45F4-B93E-25A2E0C9710A}"/>
    <cellStyle name="Normal 5 2 3 5 4" xfId="9200" xr:uid="{13DE827A-4007-427A-9869-ADBBE6B70993}"/>
    <cellStyle name="Normal 5 2 3 5 4 2" xfId="36511" xr:uid="{8E5108DE-7536-41CE-B50C-8B89B49C2C0D}"/>
    <cellStyle name="Normal 5 2 3 5 4 3" xfId="18514" xr:uid="{9A924E92-CA71-44B1-93B7-9B70D4F66446}"/>
    <cellStyle name="Normal 5 2 3 5 5" xfId="28063" xr:uid="{0011FCDD-A79A-4E83-97D1-1C5EB2C072B4}"/>
    <cellStyle name="Normal 5 2 3 5 6" xfId="19616" xr:uid="{6196988D-9994-4D7D-83F0-59D82E540288}"/>
    <cellStyle name="Normal 5 2 3 5 7" xfId="10319" xr:uid="{699EC98D-CF91-42F3-A930-3F850690406D}"/>
    <cellStyle name="Normal 5 2 3 6" xfId="1316" xr:uid="{00000000-0005-0000-0000-0000C4180000}"/>
    <cellStyle name="Normal 5 2 3 6 2" xfId="3546" xr:uid="{00000000-0005-0000-0000-0000C5180000}"/>
    <cellStyle name="Normal 5 2 3 6 2 2" xfId="7768" xr:uid="{00000000-0005-0000-0000-0000C6180000}"/>
    <cellStyle name="Normal 5 2 3 6 2 2 2" xfId="43286" xr:uid="{38FF3898-743D-403C-BDDB-56F423BDD74F}"/>
    <cellStyle name="Normal 5 2 3 6 2 2 3" xfId="34839" xr:uid="{7B45CF1F-D6E0-4B09-AD30-70BDE53A9BE3}"/>
    <cellStyle name="Normal 5 2 3 6 2 2 4" xfId="26391" xr:uid="{3E7C3F9D-4DBE-4EF1-94EB-4A1A6411AA2B}"/>
    <cellStyle name="Normal 5 2 3 6 2 2 5" xfId="17094" xr:uid="{D03271A1-45F4-40EE-8F7D-9D25AF54A72D}"/>
    <cellStyle name="Normal 5 2 3 6 2 3" xfId="39069" xr:uid="{80A35EAD-0861-4732-BC2B-2714A6237276}"/>
    <cellStyle name="Normal 5 2 3 6 2 4" xfId="30621" xr:uid="{B7D79FC9-5DC2-4FB5-9748-767EDD5DA9FF}"/>
    <cellStyle name="Normal 5 2 3 6 2 5" xfId="22174" xr:uid="{6A2B8601-AD76-4B15-BB71-CFF5B4B097BC}"/>
    <cellStyle name="Normal 5 2 3 6 2 6" xfId="12877" xr:uid="{FB966A30-E0D7-48F9-9F5F-34389F0582B7}"/>
    <cellStyle name="Normal 5 2 3 6 3" xfId="5623" xr:uid="{00000000-0005-0000-0000-0000C7180000}"/>
    <cellStyle name="Normal 5 2 3 6 3 2" xfId="41141" xr:uid="{402F9E8B-14D5-466F-8B74-CE69867B1EE1}"/>
    <cellStyle name="Normal 5 2 3 6 3 3" xfId="32694" xr:uid="{F41E3F9B-16D7-435B-A1F7-D80638D5C247}"/>
    <cellStyle name="Normal 5 2 3 6 3 4" xfId="24246" xr:uid="{9670B02C-1FE1-452C-822B-73D116CA235C}"/>
    <cellStyle name="Normal 5 2 3 6 3 5" xfId="14949" xr:uid="{10D6E804-783C-488D-9DB3-5FB2036B61BA}"/>
    <cellStyle name="Normal 5 2 3 6 4" xfId="36924" xr:uid="{8938D31D-9B4A-4B9F-A81D-2EA87AFF900E}"/>
    <cellStyle name="Normal 5 2 3 6 5" xfId="28476" xr:uid="{C567CB4D-5F90-4FB5-B5C3-C3E2149579DD}"/>
    <cellStyle name="Normal 5 2 3 6 6" xfId="20029" xr:uid="{1FA274B2-BCF5-428F-A31E-E521ADFBA06C}"/>
    <cellStyle name="Normal 5 2 3 6 7" xfId="10732" xr:uid="{6AA4723B-A66C-467F-B65E-0D950C7BA9F3}"/>
    <cellStyle name="Normal 5 2 3 7" xfId="1729" xr:uid="{00000000-0005-0000-0000-0000C8180000}"/>
    <cellStyle name="Normal 5 2 3 7 2" xfId="3959" xr:uid="{00000000-0005-0000-0000-0000C9180000}"/>
    <cellStyle name="Normal 5 2 3 7 2 2" xfId="8181" xr:uid="{00000000-0005-0000-0000-0000CA180000}"/>
    <cellStyle name="Normal 5 2 3 7 2 2 2" xfId="43699" xr:uid="{F56A5EF6-0811-4D74-805B-BCC3AA2F1574}"/>
    <cellStyle name="Normal 5 2 3 7 2 2 3" xfId="35252" xr:uid="{280B657B-A0A9-47D4-8C2B-D1372EE5A648}"/>
    <cellStyle name="Normal 5 2 3 7 2 2 4" xfId="26804" xr:uid="{D98DF681-AC5C-463C-A228-C773960AE5D8}"/>
    <cellStyle name="Normal 5 2 3 7 2 2 5" xfId="17507" xr:uid="{9CB0BC79-FB05-495F-A414-CFFCD6790881}"/>
    <cellStyle name="Normal 5 2 3 7 2 3" xfId="39482" xr:uid="{C4DA5DA9-100C-4DBB-8EC2-4260D06E1518}"/>
    <cellStyle name="Normal 5 2 3 7 2 4" xfId="31034" xr:uid="{991F1DAC-63CA-455B-A232-D95C55D278F6}"/>
    <cellStyle name="Normal 5 2 3 7 2 5" xfId="22587" xr:uid="{4FECCC03-C35E-4A18-8749-BCDFACFCC99A}"/>
    <cellStyle name="Normal 5 2 3 7 2 6" xfId="13290" xr:uid="{94DC1FC3-A9BF-45E0-AC99-DCD834688596}"/>
    <cellStyle name="Normal 5 2 3 7 3" xfId="6036" xr:uid="{00000000-0005-0000-0000-0000CB180000}"/>
    <cellStyle name="Normal 5 2 3 7 3 2" xfId="41554" xr:uid="{27143ED1-25DC-4DF8-B2E3-2BD5E963D577}"/>
    <cellStyle name="Normal 5 2 3 7 3 3" xfId="33107" xr:uid="{664FD0A7-678D-4404-9A16-E9D20570AF33}"/>
    <cellStyle name="Normal 5 2 3 7 3 4" xfId="24659" xr:uid="{6C35B743-87F2-4D19-8983-5D8F49461CD3}"/>
    <cellStyle name="Normal 5 2 3 7 3 5" xfId="15362" xr:uid="{E32CD061-16C6-4CB8-8BCD-9F23FA4C1D0D}"/>
    <cellStyle name="Normal 5 2 3 7 4" xfId="37337" xr:uid="{69D37AFB-638B-4830-A68A-C506A45B3BA0}"/>
    <cellStyle name="Normal 5 2 3 7 5" xfId="28889" xr:uid="{E93EC2F4-1136-4CDF-81D2-D176E2A33AEE}"/>
    <cellStyle name="Normal 5 2 3 7 6" xfId="20442" xr:uid="{09E8F4C9-A061-4AE4-8D88-4A19C34BD5A6}"/>
    <cellStyle name="Normal 5 2 3 7 7" xfId="11145" xr:uid="{9EA5197E-2506-486D-9AB6-09C2DF2A5B56}"/>
    <cellStyle name="Normal 5 2 3 8" xfId="2143" xr:uid="{00000000-0005-0000-0000-0000CC180000}"/>
    <cellStyle name="Normal 5 2 3 8 2" xfId="4372" xr:uid="{00000000-0005-0000-0000-0000CD180000}"/>
    <cellStyle name="Normal 5 2 3 8 2 2" xfId="8594" xr:uid="{00000000-0005-0000-0000-0000CE180000}"/>
    <cellStyle name="Normal 5 2 3 8 2 2 2" xfId="44112" xr:uid="{22D56D10-9355-4DFA-9394-B1BFA3406104}"/>
    <cellStyle name="Normal 5 2 3 8 2 2 3" xfId="35665" xr:uid="{5C37580E-50F3-4D9B-A515-4B720ACF114D}"/>
    <cellStyle name="Normal 5 2 3 8 2 2 4" xfId="27217" xr:uid="{CD3F21ED-64A2-4B66-B381-BA61C8A21241}"/>
    <cellStyle name="Normal 5 2 3 8 2 2 5" xfId="17920" xr:uid="{CB07394A-A78B-42E0-A8AC-D128527CAB63}"/>
    <cellStyle name="Normal 5 2 3 8 2 3" xfId="39895" xr:uid="{717D1DC8-62F6-4D32-AE16-1462EF383A1E}"/>
    <cellStyle name="Normal 5 2 3 8 2 4" xfId="31447" xr:uid="{DBB8D029-CB20-4C35-85C4-A47D048B87FF}"/>
    <cellStyle name="Normal 5 2 3 8 2 5" xfId="23000" xr:uid="{20DBEEA1-C3FD-4855-9140-0D5A427B41EE}"/>
    <cellStyle name="Normal 5 2 3 8 2 6" xfId="13703" xr:uid="{76781F25-547A-44C9-974D-9777AF68CF6D}"/>
    <cellStyle name="Normal 5 2 3 8 3" xfId="6449" xr:uid="{00000000-0005-0000-0000-0000CF180000}"/>
    <cellStyle name="Normal 5 2 3 8 3 2" xfId="41967" xr:uid="{3AD75A2E-92C0-4D3D-B213-FA9A083128B5}"/>
    <cellStyle name="Normal 5 2 3 8 3 3" xfId="33520" xr:uid="{27A9920E-1AD7-4B4E-863E-D380A211EE53}"/>
    <cellStyle name="Normal 5 2 3 8 3 4" xfId="25072" xr:uid="{E1A062DF-A3B2-42B5-AFDC-293749D09CE7}"/>
    <cellStyle name="Normal 5 2 3 8 3 5" xfId="15775" xr:uid="{FD2D5315-65F7-464E-B6D5-59A90599190F}"/>
    <cellStyle name="Normal 5 2 3 8 4" xfId="37750" xr:uid="{5A2F8307-EC85-4363-81DD-BEAB892C21C0}"/>
    <cellStyle name="Normal 5 2 3 8 5" xfId="29302" xr:uid="{D1EA845E-C1B5-4DCE-A89D-2D63C94DCDDC}"/>
    <cellStyle name="Normal 5 2 3 8 6" xfId="20855" xr:uid="{607BFA84-F54B-4613-A02F-18BF31841CC7}"/>
    <cellStyle name="Normal 5 2 3 8 7" xfId="11558" xr:uid="{1FC46DF9-DA4E-4EBD-BD9A-4B3073CFE6C3}"/>
    <cellStyle name="Normal 5 2 3 9" xfId="2579" xr:uid="{00000000-0005-0000-0000-0000D0180000}"/>
    <cellStyle name="Normal 5 2 3 9 2" xfId="6862" xr:uid="{00000000-0005-0000-0000-0000D1180000}"/>
    <cellStyle name="Normal 5 2 3 9 2 2" xfId="42380" xr:uid="{3B9E42E1-6240-45C7-A721-40CD2F18FBE2}"/>
    <cellStyle name="Normal 5 2 3 9 2 3" xfId="33933" xr:uid="{2B798B8A-AB89-4E1B-A0E8-A0ED2B8A36DF}"/>
    <cellStyle name="Normal 5 2 3 9 2 4" xfId="25485" xr:uid="{6A5F638E-E45B-4C65-94EC-73E55A304720}"/>
    <cellStyle name="Normal 5 2 3 9 2 5" xfId="16188" xr:uid="{D2CE46F4-1AB6-4FA0-8B56-25244EA8E0D6}"/>
    <cellStyle name="Normal 5 2 3 9 3" xfId="38163" xr:uid="{31B43020-F21E-497B-B314-704380120CE7}"/>
    <cellStyle name="Normal 5 2 3 9 4" xfId="29715" xr:uid="{4AF4832F-3FA6-4D10-8B41-D4687CADA667}"/>
    <cellStyle name="Normal 5 2 3 9 5" xfId="21268" xr:uid="{6704C4A6-E561-4DFA-9611-E40FF8911F6C}"/>
    <cellStyle name="Normal 5 2 3 9 6" xfId="11971" xr:uid="{A938E0CD-596B-4343-9322-0F22B4CE44D5}"/>
    <cellStyle name="Normal 5 2 4" xfId="432" xr:uid="{00000000-0005-0000-0000-0000D2180000}"/>
    <cellStyle name="Normal 5 2 4 10" xfId="8827" xr:uid="{1EC4F605-F0BA-487E-A3C0-2CBAE7C22D8A}"/>
    <cellStyle name="Normal 5 2 4 10 2" xfId="36106" xr:uid="{CDFF9BAB-75F6-4391-9F87-35612057D622}"/>
    <cellStyle name="Normal 5 2 4 10 3" xfId="18150" xr:uid="{EABDAB2A-B041-4CBF-BE02-2AB7837D9FA9}"/>
    <cellStyle name="Normal 5 2 4 11" xfId="27658" xr:uid="{52E70328-A840-40CB-A57E-076E07A37A39}"/>
    <cellStyle name="Normal 5 2 4 12" xfId="19211" xr:uid="{67C680EB-7877-411D-9A77-39FB15797BCF}"/>
    <cellStyle name="Normal 5 2 4 13" xfId="9914" xr:uid="{868F45A0-96EF-4AF1-8762-C8A05C6D1EA1}"/>
    <cellStyle name="Normal 5 2 4 2" xfId="433" xr:uid="{00000000-0005-0000-0000-0000D3180000}"/>
    <cellStyle name="Normal 5 2 4 2 10" xfId="27659" xr:uid="{05E674FD-1385-4315-99CA-7BF339EDC3BE}"/>
    <cellStyle name="Normal 5 2 4 2 11" xfId="19212" xr:uid="{B3387B41-5DB9-4718-82EE-F631B533310E}"/>
    <cellStyle name="Normal 5 2 4 2 12" xfId="9915" xr:uid="{8EB2CF41-93CD-470A-805E-597E4EA882EC}"/>
    <cellStyle name="Normal 5 2 4 2 2" xfId="434" xr:uid="{00000000-0005-0000-0000-0000D4180000}"/>
    <cellStyle name="Normal 5 2 4 2 2 10" xfId="19213" xr:uid="{E5BFA6D1-47A5-4F15-A0C8-D3D81B44F389}"/>
    <cellStyle name="Normal 5 2 4 2 2 11" xfId="9916" xr:uid="{6E817F22-ADDB-463E-B651-755F48A0EA1F}"/>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42883" xr:uid="{521C0CE6-86CA-4803-8480-CEFB97D8819B}"/>
    <cellStyle name="Normal 5 2 4 2 2 2 2 2 3" xfId="34436" xr:uid="{B4F7918D-4A76-4F5A-A9BD-F852A1B3A14B}"/>
    <cellStyle name="Normal 5 2 4 2 2 2 2 2 4" xfId="25988" xr:uid="{824CE94A-4297-4671-8926-D617BFE9B0B2}"/>
    <cellStyle name="Normal 5 2 4 2 2 2 2 2 5" xfId="16691" xr:uid="{5E010779-FA36-4459-971B-E6F4597D92D9}"/>
    <cellStyle name="Normal 5 2 4 2 2 2 2 3" xfId="38666" xr:uid="{BA86DFAF-808C-473A-B2F8-463F8FB347DB}"/>
    <cellStyle name="Normal 5 2 4 2 2 2 2 4" xfId="30218" xr:uid="{B5E1F156-145D-4C0C-8EDC-A4BF75E96D27}"/>
    <cellStyle name="Normal 5 2 4 2 2 2 2 5" xfId="21771" xr:uid="{96BD7E40-B1CF-4058-986F-29AF9F82BE15}"/>
    <cellStyle name="Normal 5 2 4 2 2 2 2 6" xfId="12474" xr:uid="{615FDEA9-85A6-4DF4-913B-EC27AF6BB2D7}"/>
    <cellStyle name="Normal 5 2 4 2 2 2 3" xfId="5220" xr:uid="{00000000-0005-0000-0000-0000D8180000}"/>
    <cellStyle name="Normal 5 2 4 2 2 2 3 2" xfId="40738" xr:uid="{F5BA9334-46E9-4E01-B95D-4D6728F00E3D}"/>
    <cellStyle name="Normal 5 2 4 2 2 2 3 3" xfId="32291" xr:uid="{104BBCDE-6C2C-4256-85D6-9262A093F679}"/>
    <cellStyle name="Normal 5 2 4 2 2 2 3 4" xfId="23843" xr:uid="{332EDE05-7D53-4C65-8993-EDF6D7E26B2E}"/>
    <cellStyle name="Normal 5 2 4 2 2 2 3 5" xfId="14546" xr:uid="{A6C2D2DF-A3FB-4EBF-8172-26A9BF231793}"/>
    <cellStyle name="Normal 5 2 4 2 2 2 4" xfId="9562" xr:uid="{5E243FB4-F3B1-4B34-B377-1444454AD19E}"/>
    <cellStyle name="Normal 5 2 4 2 2 2 4 2" xfId="36521" xr:uid="{CEF07842-58A5-4225-9627-A31761905730}"/>
    <cellStyle name="Normal 5 2 4 2 2 2 4 3" xfId="18875" xr:uid="{15A3F346-9599-4730-AD42-1EBCD0E7D975}"/>
    <cellStyle name="Normal 5 2 4 2 2 2 5" xfId="28073" xr:uid="{2632337F-9B83-4DD8-80BF-DE47E7B89E8E}"/>
    <cellStyle name="Normal 5 2 4 2 2 2 6" xfId="19626" xr:uid="{1AA77F04-D7AC-40B5-92A3-1449AE1C61E2}"/>
    <cellStyle name="Normal 5 2 4 2 2 2 7" xfId="10329" xr:uid="{DE17C76F-B7C7-4681-9D2F-A4436A54ADD5}"/>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43296" xr:uid="{740289C2-54F5-4082-ABC1-0BDFFDF6028E}"/>
    <cellStyle name="Normal 5 2 4 2 2 3 2 2 3" xfId="34849" xr:uid="{6007BDE0-B48A-48B9-BB14-F42E9E5D5CDB}"/>
    <cellStyle name="Normal 5 2 4 2 2 3 2 2 4" xfId="26401" xr:uid="{3DD05771-1E65-4DF1-B631-A5286141BD51}"/>
    <cellStyle name="Normal 5 2 4 2 2 3 2 2 5" xfId="17104" xr:uid="{D3F3EE2E-0552-49DA-A4C2-0787E4FF7116}"/>
    <cellStyle name="Normal 5 2 4 2 2 3 2 3" xfId="39079" xr:uid="{55641EFF-1575-4F7A-9E69-905D0D26D147}"/>
    <cellStyle name="Normal 5 2 4 2 2 3 2 4" xfId="30631" xr:uid="{2C443B28-9A9D-4092-88ED-D25F8F3B2F6F}"/>
    <cellStyle name="Normal 5 2 4 2 2 3 2 5" xfId="22184" xr:uid="{A2BB2AA7-6E96-4D47-9D23-8FD5C6BFAC09}"/>
    <cellStyle name="Normal 5 2 4 2 2 3 2 6" xfId="12887" xr:uid="{8022B6E3-29C2-4A67-BE36-8D96DC767400}"/>
    <cellStyle name="Normal 5 2 4 2 2 3 3" xfId="5633" xr:uid="{00000000-0005-0000-0000-0000DC180000}"/>
    <cellStyle name="Normal 5 2 4 2 2 3 3 2" xfId="41151" xr:uid="{01E9F505-446B-491D-BC52-CDDD35456532}"/>
    <cellStyle name="Normal 5 2 4 2 2 3 3 3" xfId="32704" xr:uid="{F759243F-D0A2-4ABE-BDFE-D95BD2F3CA55}"/>
    <cellStyle name="Normal 5 2 4 2 2 3 3 4" xfId="24256" xr:uid="{CCFEF811-0690-4402-8F98-2798B0006E73}"/>
    <cellStyle name="Normal 5 2 4 2 2 3 3 5" xfId="14959" xr:uid="{7B7A02A3-D1A8-4E8A-A174-DB72EDB25E65}"/>
    <cellStyle name="Normal 5 2 4 2 2 3 4" xfId="36934" xr:uid="{39EB77EB-CCB9-425E-B3B9-98F460FFF1CA}"/>
    <cellStyle name="Normal 5 2 4 2 2 3 5" xfId="28486" xr:uid="{CA76376E-5D1D-40CD-BDA2-E235CE6F0510}"/>
    <cellStyle name="Normal 5 2 4 2 2 3 6" xfId="20039" xr:uid="{ADBA5E21-B324-4B69-96CD-B312B6B61BB0}"/>
    <cellStyle name="Normal 5 2 4 2 2 3 7" xfId="10742" xr:uid="{59004668-3131-437A-89C6-3AF4ADCE3FA7}"/>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43709" xr:uid="{A081535C-20DF-4EB6-B8CB-B5639B970646}"/>
    <cellStyle name="Normal 5 2 4 2 2 4 2 2 3" xfId="35262" xr:uid="{B6E0E8AB-6AA3-4CD5-948E-DF3334562232}"/>
    <cellStyle name="Normal 5 2 4 2 2 4 2 2 4" xfId="26814" xr:uid="{6280592C-B0C9-4024-83FE-E2E53ACBE95C}"/>
    <cellStyle name="Normal 5 2 4 2 2 4 2 2 5" xfId="17517" xr:uid="{3D65D222-2D6A-47A7-9307-8478D274A4A6}"/>
    <cellStyle name="Normal 5 2 4 2 2 4 2 3" xfId="39492" xr:uid="{0326087A-63D4-45FC-863E-D574AEFC7151}"/>
    <cellStyle name="Normal 5 2 4 2 2 4 2 4" xfId="31044" xr:uid="{082C611E-E343-4BB6-A27A-65E8A52CFE79}"/>
    <cellStyle name="Normal 5 2 4 2 2 4 2 5" xfId="22597" xr:uid="{EB18DAFF-2455-4602-9AF4-68456D2EB7DC}"/>
    <cellStyle name="Normal 5 2 4 2 2 4 2 6" xfId="13300" xr:uid="{6388FF1E-D3AD-4F9D-B34A-1A2EBF672402}"/>
    <cellStyle name="Normal 5 2 4 2 2 4 3" xfId="6046" xr:uid="{00000000-0005-0000-0000-0000E0180000}"/>
    <cellStyle name="Normal 5 2 4 2 2 4 3 2" xfId="41564" xr:uid="{548BA1A5-3B54-4CD4-98EE-79CE86427AF6}"/>
    <cellStyle name="Normal 5 2 4 2 2 4 3 3" xfId="33117" xr:uid="{B89EE08B-E9B8-4437-8FD4-9473C102AE54}"/>
    <cellStyle name="Normal 5 2 4 2 2 4 3 4" xfId="24669" xr:uid="{E878054C-32BA-4EAE-AEA2-4C0E11FF4AA4}"/>
    <cellStyle name="Normal 5 2 4 2 2 4 3 5" xfId="15372" xr:uid="{6CDB041A-F4F0-4C89-8A54-F30E5ACB4D95}"/>
    <cellStyle name="Normal 5 2 4 2 2 4 4" xfId="37347" xr:uid="{B4A61F4C-241B-40FC-BD9D-20E174268461}"/>
    <cellStyle name="Normal 5 2 4 2 2 4 5" xfId="28899" xr:uid="{EAB878D3-5317-4433-A153-C13056E890D6}"/>
    <cellStyle name="Normal 5 2 4 2 2 4 6" xfId="20452" xr:uid="{52F01622-27B6-4BC0-80DA-A9C0C985EAB9}"/>
    <cellStyle name="Normal 5 2 4 2 2 4 7" xfId="11155" xr:uid="{125F23C1-3886-43C7-B58D-EE0D5CD15FE7}"/>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44122" xr:uid="{09989546-65F0-4457-9ECC-62E1995594FA}"/>
    <cellStyle name="Normal 5 2 4 2 2 5 2 2 3" xfId="35675" xr:uid="{BF451D6C-C2E7-475C-BA1E-019991894BA0}"/>
    <cellStyle name="Normal 5 2 4 2 2 5 2 2 4" xfId="27227" xr:uid="{C4BF6B1D-F627-41F9-A894-8E61B9CBA086}"/>
    <cellStyle name="Normal 5 2 4 2 2 5 2 2 5" xfId="17930" xr:uid="{2D6E8AE5-1F04-4161-A408-2ACEE6C37617}"/>
    <cellStyle name="Normal 5 2 4 2 2 5 2 3" xfId="39905" xr:uid="{A012F5F6-25BF-4CC7-B796-B33DB456D130}"/>
    <cellStyle name="Normal 5 2 4 2 2 5 2 4" xfId="31457" xr:uid="{EDBFC7DA-84AF-41A6-B06E-EABD7EBE42BB}"/>
    <cellStyle name="Normal 5 2 4 2 2 5 2 5" xfId="23010" xr:uid="{2F8ADD3A-7E8C-466A-88FE-74035EB41E35}"/>
    <cellStyle name="Normal 5 2 4 2 2 5 2 6" xfId="13713" xr:uid="{C80F00BE-AC1C-4F97-8B9D-128021FD172A}"/>
    <cellStyle name="Normal 5 2 4 2 2 5 3" xfId="6459" xr:uid="{00000000-0005-0000-0000-0000E4180000}"/>
    <cellStyle name="Normal 5 2 4 2 2 5 3 2" xfId="41977" xr:uid="{37242F60-C622-4816-94E7-19D8C8B985C1}"/>
    <cellStyle name="Normal 5 2 4 2 2 5 3 3" xfId="33530" xr:uid="{C5FBAB3C-7144-48AD-BC50-157BD5F6F040}"/>
    <cellStyle name="Normal 5 2 4 2 2 5 3 4" xfId="25082" xr:uid="{69947792-15D8-47F4-9449-C2034DD53E4D}"/>
    <cellStyle name="Normal 5 2 4 2 2 5 3 5" xfId="15785" xr:uid="{33DA74E2-5025-4096-AAF4-FCE254525E4B}"/>
    <cellStyle name="Normal 5 2 4 2 2 5 4" xfId="37760" xr:uid="{6DB4C35D-D4AB-4E90-ABBC-BA26926C2648}"/>
    <cellStyle name="Normal 5 2 4 2 2 5 5" xfId="29312" xr:uid="{08C06059-B623-434A-85B3-01192153E0FA}"/>
    <cellStyle name="Normal 5 2 4 2 2 5 6" xfId="20865" xr:uid="{AA07C3DB-E9A6-42B3-8E4C-C413168D7B8A}"/>
    <cellStyle name="Normal 5 2 4 2 2 5 7" xfId="11568" xr:uid="{04061A3E-31ED-4E59-9C55-87860C039836}"/>
    <cellStyle name="Normal 5 2 4 2 2 6" xfId="2589" xr:uid="{00000000-0005-0000-0000-0000E5180000}"/>
    <cellStyle name="Normal 5 2 4 2 2 6 2" xfId="6872" xr:uid="{00000000-0005-0000-0000-0000E6180000}"/>
    <cellStyle name="Normal 5 2 4 2 2 6 2 2" xfId="42390" xr:uid="{DF682F15-4ECB-48CD-88A1-BB8A8CFC43A5}"/>
    <cellStyle name="Normal 5 2 4 2 2 6 2 3" xfId="33943" xr:uid="{1BEF3600-8982-4587-A12B-1C4AC4FE2820}"/>
    <cellStyle name="Normal 5 2 4 2 2 6 2 4" xfId="25495" xr:uid="{56E1F53D-DB8C-4654-AD20-AAB28E9418C4}"/>
    <cellStyle name="Normal 5 2 4 2 2 6 2 5" xfId="16198" xr:uid="{85977E56-CEC2-452B-976A-92508CB50C8E}"/>
    <cellStyle name="Normal 5 2 4 2 2 6 3" xfId="38173" xr:uid="{9FECDA0C-B948-43C7-B6B1-7CBC11268113}"/>
    <cellStyle name="Normal 5 2 4 2 2 6 4" xfId="29725" xr:uid="{3AA4187F-6998-462F-AB62-B57B14880E5D}"/>
    <cellStyle name="Normal 5 2 4 2 2 6 5" xfId="21278" xr:uid="{49F6DC1D-CB3F-46D0-8C24-A003FD9F5455}"/>
    <cellStyle name="Normal 5 2 4 2 2 6 6" xfId="11981" xr:uid="{02D8439F-1D19-4084-9F2D-53F6BA69FF78}"/>
    <cellStyle name="Normal 5 2 4 2 2 7" xfId="4807" xr:uid="{00000000-0005-0000-0000-0000E7180000}"/>
    <cellStyle name="Normal 5 2 4 2 2 7 2" xfId="40325" xr:uid="{EEEE2103-CE43-4793-9A00-33BEC28C941C}"/>
    <cellStyle name="Normal 5 2 4 2 2 7 3" xfId="31878" xr:uid="{B97C1B2F-8399-4850-A65B-335F6A8B08C9}"/>
    <cellStyle name="Normal 5 2 4 2 2 7 4" xfId="23430" xr:uid="{4AD9E542-B0F4-435F-9D3A-F668454C4283}"/>
    <cellStyle name="Normal 5 2 4 2 2 7 5" xfId="14133" xr:uid="{777FBF7F-0229-4224-838E-ED0DBAF68BBD}"/>
    <cellStyle name="Normal 5 2 4 2 2 8" xfId="9137" xr:uid="{C80E4B27-40CA-4953-ABB8-99E2C575F775}"/>
    <cellStyle name="Normal 5 2 4 2 2 8 2" xfId="36108" xr:uid="{E60AE382-EBC4-466C-BF30-73EDBAC1AA33}"/>
    <cellStyle name="Normal 5 2 4 2 2 8 3" xfId="18460" xr:uid="{37BEEE3B-1A64-46F5-B12F-8AD1EB33FFF9}"/>
    <cellStyle name="Normal 5 2 4 2 2 9" xfId="27660" xr:uid="{A0A92C04-6894-4AD5-AE96-8D2C84FF65B8}"/>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42882" xr:uid="{9DA7F983-068B-4904-9D4B-CFD206EE4FF0}"/>
    <cellStyle name="Normal 5 2 4 2 3 2 2 3" xfId="34435" xr:uid="{C0A04410-388E-4247-A393-4E921B385FFA}"/>
    <cellStyle name="Normal 5 2 4 2 3 2 2 4" xfId="25987" xr:uid="{5725FF24-B4A2-47E1-BFAB-50F2A7BC2BAC}"/>
    <cellStyle name="Normal 5 2 4 2 3 2 2 5" xfId="16690" xr:uid="{8BFFF784-6DBA-41D7-A3A9-40475DD50BBF}"/>
    <cellStyle name="Normal 5 2 4 2 3 2 3" xfId="38665" xr:uid="{D1EB38D7-2FB1-4D93-97AE-B5700585587B}"/>
    <cellStyle name="Normal 5 2 4 2 3 2 4" xfId="30217" xr:uid="{F5A76C3F-6B41-4CD1-8DDA-E24DE079E1CE}"/>
    <cellStyle name="Normal 5 2 4 2 3 2 5" xfId="21770" xr:uid="{C63A16B9-EE5F-433C-90A0-7B6B5EA7400F}"/>
    <cellStyle name="Normal 5 2 4 2 3 2 6" xfId="12473" xr:uid="{CBF8F1D6-91E5-46F5-BE9B-5D2596587CD4}"/>
    <cellStyle name="Normal 5 2 4 2 3 3" xfId="5219" xr:uid="{00000000-0005-0000-0000-0000EB180000}"/>
    <cellStyle name="Normal 5 2 4 2 3 3 2" xfId="40737" xr:uid="{585BA77B-5F4A-4CFB-995A-B64E27F4FBD2}"/>
    <cellStyle name="Normal 5 2 4 2 3 3 3" xfId="32290" xr:uid="{A5D305D8-3FFA-4205-A2CC-A6D0D3FD3FCB}"/>
    <cellStyle name="Normal 5 2 4 2 3 3 4" xfId="23842" xr:uid="{5B31B36D-A18D-4B46-AA94-C717BBEEF373}"/>
    <cellStyle name="Normal 5 2 4 2 3 3 5" xfId="14545" xr:uid="{AE203B9E-870D-46AB-B383-1909BF5EC6B5}"/>
    <cellStyle name="Normal 5 2 4 2 3 4" xfId="9355" xr:uid="{9D38A6AA-2F63-4275-9FB8-F86A15F6A4D3}"/>
    <cellStyle name="Normal 5 2 4 2 3 4 2" xfId="36520" xr:uid="{6EBB8C3E-13A2-45FA-BC74-E28FADD5D142}"/>
    <cellStyle name="Normal 5 2 4 2 3 4 3" xfId="18668" xr:uid="{CF755FC4-6FE1-40FB-AD4F-C04DE7826535}"/>
    <cellStyle name="Normal 5 2 4 2 3 5" xfId="28072" xr:uid="{F65A8692-2AA0-4A2C-A0DE-11D072CF27AF}"/>
    <cellStyle name="Normal 5 2 4 2 3 6" xfId="19625" xr:uid="{786947D4-9B02-47B7-96D9-34CDAE3E3806}"/>
    <cellStyle name="Normal 5 2 4 2 3 7" xfId="10328" xr:uid="{1C54D028-562A-46A0-95BE-4397035EDD95}"/>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43295" xr:uid="{6270519D-ACDC-4E98-829A-EED4A4945E07}"/>
    <cellStyle name="Normal 5 2 4 2 4 2 2 3" xfId="34848" xr:uid="{81FE89AD-CE5A-438B-9DBB-0C4AEE926332}"/>
    <cellStyle name="Normal 5 2 4 2 4 2 2 4" xfId="26400" xr:uid="{4EAEAEE0-B95D-4F77-AE89-6AE2F0335902}"/>
    <cellStyle name="Normal 5 2 4 2 4 2 2 5" xfId="17103" xr:uid="{2EE55188-2B0D-4BA0-A3B0-CDC67D25AA7D}"/>
    <cellStyle name="Normal 5 2 4 2 4 2 3" xfId="39078" xr:uid="{92B9853B-C338-4FCC-AFC2-E0E9E873055A}"/>
    <cellStyle name="Normal 5 2 4 2 4 2 4" xfId="30630" xr:uid="{F0166CAB-97E5-49A4-8227-C8CE34478907}"/>
    <cellStyle name="Normal 5 2 4 2 4 2 5" xfId="22183" xr:uid="{01858333-2960-461D-AA47-B803F7BDB984}"/>
    <cellStyle name="Normal 5 2 4 2 4 2 6" xfId="12886" xr:uid="{318460B9-D79E-4615-A7C0-0B2DDF070E84}"/>
    <cellStyle name="Normal 5 2 4 2 4 3" xfId="5632" xr:uid="{00000000-0005-0000-0000-0000EF180000}"/>
    <cellStyle name="Normal 5 2 4 2 4 3 2" xfId="41150" xr:uid="{877DA019-E1AC-45CD-A16B-853D5703F494}"/>
    <cellStyle name="Normal 5 2 4 2 4 3 3" xfId="32703" xr:uid="{CFF31E93-C6C6-4EB3-8AF6-AD5DBF6FF057}"/>
    <cellStyle name="Normal 5 2 4 2 4 3 4" xfId="24255" xr:uid="{1F1AB2CC-7163-4282-A694-EC3B9A45D129}"/>
    <cellStyle name="Normal 5 2 4 2 4 3 5" xfId="14958" xr:uid="{326620F9-8554-41F3-914F-748445735100}"/>
    <cellStyle name="Normal 5 2 4 2 4 4" xfId="36933" xr:uid="{443B478B-93BD-4E7C-B783-2F80D366CFC4}"/>
    <cellStyle name="Normal 5 2 4 2 4 5" xfId="28485" xr:uid="{EB78EBD8-37A1-40C4-B411-0790C7444566}"/>
    <cellStyle name="Normal 5 2 4 2 4 6" xfId="20038" xr:uid="{838DFED6-EC40-4516-B90E-B1AB52C756AA}"/>
    <cellStyle name="Normal 5 2 4 2 4 7" xfId="10741" xr:uid="{8B4BE0C8-EFD2-40EA-AC93-CE05891791FF}"/>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43708" xr:uid="{DDD56316-B39D-4BB5-94DC-E5F74A331D56}"/>
    <cellStyle name="Normal 5 2 4 2 5 2 2 3" xfId="35261" xr:uid="{A9EEE4CA-7745-4FF2-827D-F0846662D06F}"/>
    <cellStyle name="Normal 5 2 4 2 5 2 2 4" xfId="26813" xr:uid="{AA105232-45EC-48D7-839E-D06213E9CBB7}"/>
    <cellStyle name="Normal 5 2 4 2 5 2 2 5" xfId="17516" xr:uid="{63E2662D-B3C6-459E-A792-5FEF3DA44839}"/>
    <cellStyle name="Normal 5 2 4 2 5 2 3" xfId="39491" xr:uid="{59F24B46-703E-4D86-BCEF-85322EF612EE}"/>
    <cellStyle name="Normal 5 2 4 2 5 2 4" xfId="31043" xr:uid="{4AD96B4F-BF0C-47DB-B1FC-22C64AAA268D}"/>
    <cellStyle name="Normal 5 2 4 2 5 2 5" xfId="22596" xr:uid="{60BFA541-B952-4907-BF82-6ACDE2AB5316}"/>
    <cellStyle name="Normal 5 2 4 2 5 2 6" xfId="13299" xr:uid="{FACCEC8A-EB26-4039-A687-0F6AB1A3FC1B}"/>
    <cellStyle name="Normal 5 2 4 2 5 3" xfId="6045" xr:uid="{00000000-0005-0000-0000-0000F3180000}"/>
    <cellStyle name="Normal 5 2 4 2 5 3 2" xfId="41563" xr:uid="{DC2B3534-381D-45F7-AFF4-75A8F7B61258}"/>
    <cellStyle name="Normal 5 2 4 2 5 3 3" xfId="33116" xr:uid="{9FF875CD-BDC3-4007-91D6-8B5A544208D9}"/>
    <cellStyle name="Normal 5 2 4 2 5 3 4" xfId="24668" xr:uid="{DA1AE5EB-06AA-4000-88A8-FEDE12E82EB9}"/>
    <cellStyle name="Normal 5 2 4 2 5 3 5" xfId="15371" xr:uid="{BEBF4E52-7F60-41F8-B36F-0D4B07B708D5}"/>
    <cellStyle name="Normal 5 2 4 2 5 4" xfId="37346" xr:uid="{23F932C8-140C-4CDE-A136-01B3F7D4047D}"/>
    <cellStyle name="Normal 5 2 4 2 5 5" xfId="28898" xr:uid="{41125386-F3F9-42FF-8950-DA1C995F8785}"/>
    <cellStyle name="Normal 5 2 4 2 5 6" xfId="20451" xr:uid="{FE8F2EF2-A25A-4347-9607-9E833FB81482}"/>
    <cellStyle name="Normal 5 2 4 2 5 7" xfId="11154" xr:uid="{73EDDFD8-02E2-4C1F-B193-FB7388BD034B}"/>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44121" xr:uid="{74437075-BF4C-4A80-B0C2-DD3D3AB9A6BA}"/>
    <cellStyle name="Normal 5 2 4 2 6 2 2 3" xfId="35674" xr:uid="{D247E403-0C76-4FF5-9E5F-389E20A12491}"/>
    <cellStyle name="Normal 5 2 4 2 6 2 2 4" xfId="27226" xr:uid="{F82216F6-F48D-493F-BA94-9382E3461376}"/>
    <cellStyle name="Normal 5 2 4 2 6 2 2 5" xfId="17929" xr:uid="{38C6C798-69F4-43FC-87C4-7E22973C0C0C}"/>
    <cellStyle name="Normal 5 2 4 2 6 2 3" xfId="39904" xr:uid="{4A632C61-7110-4444-A67F-035FF1219FD4}"/>
    <cellStyle name="Normal 5 2 4 2 6 2 4" xfId="31456" xr:uid="{DB2D2721-A5B2-415B-9E3D-90BB67CBB277}"/>
    <cellStyle name="Normal 5 2 4 2 6 2 5" xfId="23009" xr:uid="{F4A430BB-74C4-440D-BD5A-3976FD83B440}"/>
    <cellStyle name="Normal 5 2 4 2 6 2 6" xfId="13712" xr:uid="{A9513046-D313-4C39-A47E-0656D4DC6177}"/>
    <cellStyle name="Normal 5 2 4 2 6 3" xfId="6458" xr:uid="{00000000-0005-0000-0000-0000F7180000}"/>
    <cellStyle name="Normal 5 2 4 2 6 3 2" xfId="41976" xr:uid="{F643D950-F6AC-43E7-8DBC-69674F2605D3}"/>
    <cellStyle name="Normal 5 2 4 2 6 3 3" xfId="33529" xr:uid="{D4300F89-186F-4A8B-B5FE-FD4E63A02BA1}"/>
    <cellStyle name="Normal 5 2 4 2 6 3 4" xfId="25081" xr:uid="{07502D35-C1B2-44CE-A977-C9C0A8D7B4C8}"/>
    <cellStyle name="Normal 5 2 4 2 6 3 5" xfId="15784" xr:uid="{CFD9C40E-B9CC-47A5-9421-EF2AFDFF9C82}"/>
    <cellStyle name="Normal 5 2 4 2 6 4" xfId="37759" xr:uid="{9AADD763-0947-42D8-8DA0-3B0AB31B9336}"/>
    <cellStyle name="Normal 5 2 4 2 6 5" xfId="29311" xr:uid="{A5959455-464F-43A7-831B-FE4C4BACCFF1}"/>
    <cellStyle name="Normal 5 2 4 2 6 6" xfId="20864" xr:uid="{FA7D92D8-67DA-4C0E-ACBC-1DDBBFF0F47F}"/>
    <cellStyle name="Normal 5 2 4 2 6 7" xfId="11567" xr:uid="{503ADC19-2612-49A0-83A5-FE7ED9D4E1AD}"/>
    <cellStyle name="Normal 5 2 4 2 7" xfId="2588" xr:uid="{00000000-0005-0000-0000-0000F8180000}"/>
    <cellStyle name="Normal 5 2 4 2 7 2" xfId="6871" xr:uid="{00000000-0005-0000-0000-0000F9180000}"/>
    <cellStyle name="Normal 5 2 4 2 7 2 2" xfId="42389" xr:uid="{A1DD8D67-7328-4063-86C8-99760216D40C}"/>
    <cellStyle name="Normal 5 2 4 2 7 2 3" xfId="33942" xr:uid="{FECE998E-F4C5-401A-B698-7043F98AB0D4}"/>
    <cellStyle name="Normal 5 2 4 2 7 2 4" xfId="25494" xr:uid="{18091AB2-14B1-4DD0-8D36-218123BEA058}"/>
    <cellStyle name="Normal 5 2 4 2 7 2 5" xfId="16197" xr:uid="{ED86F3A2-24B9-4C89-88DD-D2E639AEB5AA}"/>
    <cellStyle name="Normal 5 2 4 2 7 3" xfId="38172" xr:uid="{3345F105-50F3-4F08-9A11-00F391C61C0E}"/>
    <cellStyle name="Normal 5 2 4 2 7 4" xfId="29724" xr:uid="{25CFE700-18EA-4B85-A550-EE2EC46518F5}"/>
    <cellStyle name="Normal 5 2 4 2 7 5" xfId="21277" xr:uid="{CA4D5C7C-82DA-47E0-B389-AA1F9ECED148}"/>
    <cellStyle name="Normal 5 2 4 2 7 6" xfId="11980" xr:uid="{477ED0F5-8D53-4344-8D28-1EB6A224A62C}"/>
    <cellStyle name="Normal 5 2 4 2 8" xfId="4806" xr:uid="{00000000-0005-0000-0000-0000FA180000}"/>
    <cellStyle name="Normal 5 2 4 2 8 2" xfId="40324" xr:uid="{18121D22-6086-4634-9F45-E9852038401F}"/>
    <cellStyle name="Normal 5 2 4 2 8 3" xfId="31877" xr:uid="{513E188D-38C4-4210-BF54-5F5E5AAB5219}"/>
    <cellStyle name="Normal 5 2 4 2 8 4" xfId="23429" xr:uid="{28ED60C3-FE12-425C-AFB8-3F2987427027}"/>
    <cellStyle name="Normal 5 2 4 2 8 5" xfId="14132" xr:uid="{C0D64D4B-A906-4C37-873D-395D20AD24C9}"/>
    <cellStyle name="Normal 5 2 4 2 9" xfId="8930" xr:uid="{66B84ABA-CAF3-4BBE-9026-E7A47CB6006F}"/>
    <cellStyle name="Normal 5 2 4 2 9 2" xfId="36107" xr:uid="{87246369-0659-4B10-8DEE-7804B2EA356E}"/>
    <cellStyle name="Normal 5 2 4 2 9 3" xfId="18253" xr:uid="{31FE087A-735B-4013-877E-6F1DA2A9F318}"/>
    <cellStyle name="Normal 5 2 4 3" xfId="435" xr:uid="{00000000-0005-0000-0000-0000FB180000}"/>
    <cellStyle name="Normal 5 2 4 3 10" xfId="19214" xr:uid="{07E62BE3-F35E-49FD-A412-2D5E385A01DC}"/>
    <cellStyle name="Normal 5 2 4 3 11" xfId="9917" xr:uid="{97B4E0C8-A3F3-433F-897B-5E72E3110CFE}"/>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42884" xr:uid="{58D3F53A-091A-4D4C-8BD2-EE6C214CEFF6}"/>
    <cellStyle name="Normal 5 2 4 3 2 2 2 3" xfId="34437" xr:uid="{FA9736E2-ACF7-482A-BA40-EB50F284A3E8}"/>
    <cellStyle name="Normal 5 2 4 3 2 2 2 4" xfId="25989" xr:uid="{250C2A04-5729-429A-9E90-4C9F17C3DCD1}"/>
    <cellStyle name="Normal 5 2 4 3 2 2 2 5" xfId="16692" xr:uid="{FCF18D19-8A4F-44DF-AF21-B2C003CE646F}"/>
    <cellStyle name="Normal 5 2 4 3 2 2 3" xfId="38667" xr:uid="{C835D925-0A92-4F7B-A7D2-CED0F1675642}"/>
    <cellStyle name="Normal 5 2 4 3 2 2 4" xfId="30219" xr:uid="{C52C34A2-8C7E-4990-9884-164E35CE34E4}"/>
    <cellStyle name="Normal 5 2 4 3 2 2 5" xfId="21772" xr:uid="{7C00C2D7-CF00-4464-9646-0092004639A4}"/>
    <cellStyle name="Normal 5 2 4 3 2 2 6" xfId="12475" xr:uid="{CB3DAA70-DF7A-45EA-945F-69DEF058F488}"/>
    <cellStyle name="Normal 5 2 4 3 2 3" xfId="5221" xr:uid="{00000000-0005-0000-0000-0000FF180000}"/>
    <cellStyle name="Normal 5 2 4 3 2 3 2" xfId="40739" xr:uid="{8AE07011-E3D3-4F56-BC79-3368FA7C4703}"/>
    <cellStyle name="Normal 5 2 4 3 2 3 3" xfId="32292" xr:uid="{B5B34324-B1D8-4B9E-ABF6-7E70F7AA7605}"/>
    <cellStyle name="Normal 5 2 4 3 2 3 4" xfId="23844" xr:uid="{1E22C803-CB3A-45FE-A532-802671BA4865}"/>
    <cellStyle name="Normal 5 2 4 3 2 3 5" xfId="14547" xr:uid="{CF0944CA-C1EF-49AA-B110-2A59C6BCC068}"/>
    <cellStyle name="Normal 5 2 4 3 2 4" xfId="9459" xr:uid="{ED2A936E-5624-4B26-A175-3FCE68E1BF5A}"/>
    <cellStyle name="Normal 5 2 4 3 2 4 2" xfId="36522" xr:uid="{6BC68371-BA7D-4705-9A95-0DCD43037C46}"/>
    <cellStyle name="Normal 5 2 4 3 2 4 3" xfId="18772" xr:uid="{6B9024CB-7F57-49C0-A25F-8269F9C3B10D}"/>
    <cellStyle name="Normal 5 2 4 3 2 5" xfId="28074" xr:uid="{FE888B2C-CB47-4121-A18F-E36FCCB4EC6B}"/>
    <cellStyle name="Normal 5 2 4 3 2 6" xfId="19627" xr:uid="{7DB6748B-D471-4D38-A710-DA1659AF1022}"/>
    <cellStyle name="Normal 5 2 4 3 2 7" xfId="10330" xr:uid="{B0939A14-E654-4D42-BFC5-BC3CD804BB03}"/>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43297" xr:uid="{8087C019-C11A-40DD-855C-B1D8B18E3554}"/>
    <cellStyle name="Normal 5 2 4 3 3 2 2 3" xfId="34850" xr:uid="{EFE465B2-F323-4E07-85A2-97EFD77CBE39}"/>
    <cellStyle name="Normal 5 2 4 3 3 2 2 4" xfId="26402" xr:uid="{E91FFFE5-07F2-483A-B74C-4C1DA0A34CE0}"/>
    <cellStyle name="Normal 5 2 4 3 3 2 2 5" xfId="17105" xr:uid="{D8A896E1-6C06-4724-B92F-5C8CE49DF49B}"/>
    <cellStyle name="Normal 5 2 4 3 3 2 3" xfId="39080" xr:uid="{78A5CE2C-8187-4F0E-9B35-C1A559822E0F}"/>
    <cellStyle name="Normal 5 2 4 3 3 2 4" xfId="30632" xr:uid="{5F285590-BDB9-443E-BCBA-A421CD7B4616}"/>
    <cellStyle name="Normal 5 2 4 3 3 2 5" xfId="22185" xr:uid="{CB5B171E-6AAB-4655-8D47-D095D17B1988}"/>
    <cellStyle name="Normal 5 2 4 3 3 2 6" xfId="12888" xr:uid="{16514257-A105-44A3-92FD-B34B011C309A}"/>
    <cellStyle name="Normal 5 2 4 3 3 3" xfId="5634" xr:uid="{00000000-0005-0000-0000-000003190000}"/>
    <cellStyle name="Normal 5 2 4 3 3 3 2" xfId="41152" xr:uid="{6182C38D-F74D-4C2F-B5A9-78F69B124980}"/>
    <cellStyle name="Normal 5 2 4 3 3 3 3" xfId="32705" xr:uid="{821805FE-7147-4368-8E3D-AAF506E1FCA5}"/>
    <cellStyle name="Normal 5 2 4 3 3 3 4" xfId="24257" xr:uid="{85B06001-818F-4838-B6A1-1A40FCA5DC03}"/>
    <cellStyle name="Normal 5 2 4 3 3 3 5" xfId="14960" xr:uid="{25B59F3E-07D3-4714-99F9-4BB1B6F92126}"/>
    <cellStyle name="Normal 5 2 4 3 3 4" xfId="36935" xr:uid="{9FBF172B-E7DD-4341-ABC8-98E5290ED098}"/>
    <cellStyle name="Normal 5 2 4 3 3 5" xfId="28487" xr:uid="{19156C45-36FA-419C-BC0E-BE5C10FE7824}"/>
    <cellStyle name="Normal 5 2 4 3 3 6" xfId="20040" xr:uid="{37481279-5F59-45AB-B833-D36E33161EC5}"/>
    <cellStyle name="Normal 5 2 4 3 3 7" xfId="10743" xr:uid="{3B4F8FEE-ABA2-4C06-8AF3-FF4880C9066C}"/>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43710" xr:uid="{DC7D5CDB-2E92-4BBA-A20E-93DFBC0C08CA}"/>
    <cellStyle name="Normal 5 2 4 3 4 2 2 3" xfId="35263" xr:uid="{1B3852B2-8137-4D5C-B945-41EDC2EA038A}"/>
    <cellStyle name="Normal 5 2 4 3 4 2 2 4" xfId="26815" xr:uid="{497D95B0-5DDA-4D1B-8F90-7336764718DF}"/>
    <cellStyle name="Normal 5 2 4 3 4 2 2 5" xfId="17518" xr:uid="{1962A8C4-288C-4A3C-9F45-11FC4F4EBD66}"/>
    <cellStyle name="Normal 5 2 4 3 4 2 3" xfId="39493" xr:uid="{6C11DF47-4D92-460D-B968-7094AA87FABC}"/>
    <cellStyle name="Normal 5 2 4 3 4 2 4" xfId="31045" xr:uid="{F3B463B5-885B-4E14-B582-A3CC3A4A5405}"/>
    <cellStyle name="Normal 5 2 4 3 4 2 5" xfId="22598" xr:uid="{0A9CB3FE-5BB7-498C-97F8-C4D16628111C}"/>
    <cellStyle name="Normal 5 2 4 3 4 2 6" xfId="13301" xr:uid="{A342A84D-28E7-4A06-A59A-7AF647F1A3DB}"/>
    <cellStyle name="Normal 5 2 4 3 4 3" xfId="6047" xr:uid="{00000000-0005-0000-0000-000007190000}"/>
    <cellStyle name="Normal 5 2 4 3 4 3 2" xfId="41565" xr:uid="{F9B7DDE4-E47E-4FE0-B2FB-4572F71E51FC}"/>
    <cellStyle name="Normal 5 2 4 3 4 3 3" xfId="33118" xr:uid="{CC593C7E-4EB8-422D-8912-11751D6BFAA5}"/>
    <cellStyle name="Normal 5 2 4 3 4 3 4" xfId="24670" xr:uid="{FE9EBF50-9FCB-420F-B0ED-1D701570C971}"/>
    <cellStyle name="Normal 5 2 4 3 4 3 5" xfId="15373" xr:uid="{8393C325-D377-4561-9783-1DFBACECCCFA}"/>
    <cellStyle name="Normal 5 2 4 3 4 4" xfId="37348" xr:uid="{BF2FD41A-1553-4C51-A2DB-C62917BEB32A}"/>
    <cellStyle name="Normal 5 2 4 3 4 5" xfId="28900" xr:uid="{5FE99E74-3DED-4428-AC82-0B41DB65A47B}"/>
    <cellStyle name="Normal 5 2 4 3 4 6" xfId="20453" xr:uid="{DB5B99EB-3C35-4561-A2E7-6FC5B9563987}"/>
    <cellStyle name="Normal 5 2 4 3 4 7" xfId="11156" xr:uid="{C8AA2466-1D63-43F6-A353-425ADA65846F}"/>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44123" xr:uid="{EAB72577-F12D-4FA3-9472-E284DE09E845}"/>
    <cellStyle name="Normal 5 2 4 3 5 2 2 3" xfId="35676" xr:uid="{3BBB05BC-C5BC-460E-A2FF-6F1218B3908D}"/>
    <cellStyle name="Normal 5 2 4 3 5 2 2 4" xfId="27228" xr:uid="{3EC00F75-A523-40F3-9DB7-7ABE6BD7F88E}"/>
    <cellStyle name="Normal 5 2 4 3 5 2 2 5" xfId="17931" xr:uid="{3631FCAD-EE51-4125-AF99-A471931802CA}"/>
    <cellStyle name="Normal 5 2 4 3 5 2 3" xfId="39906" xr:uid="{658263C1-35D5-4783-9420-966253E344E7}"/>
    <cellStyle name="Normal 5 2 4 3 5 2 4" xfId="31458" xr:uid="{CB3755A0-741C-4860-ADE8-0EBD5AE9BB97}"/>
    <cellStyle name="Normal 5 2 4 3 5 2 5" xfId="23011" xr:uid="{F12B9CD0-79C7-47C3-B2F5-EDD6EA57367A}"/>
    <cellStyle name="Normal 5 2 4 3 5 2 6" xfId="13714" xr:uid="{BE8EB154-9863-4AFB-810C-462888AEF7E9}"/>
    <cellStyle name="Normal 5 2 4 3 5 3" xfId="6460" xr:uid="{00000000-0005-0000-0000-00000B190000}"/>
    <cellStyle name="Normal 5 2 4 3 5 3 2" xfId="41978" xr:uid="{ED9073F3-ED62-4552-BCCC-62FFC20EAB0B}"/>
    <cellStyle name="Normal 5 2 4 3 5 3 3" xfId="33531" xr:uid="{ADB688D4-8FBD-46F8-9402-8E5ED4A861C5}"/>
    <cellStyle name="Normal 5 2 4 3 5 3 4" xfId="25083" xr:uid="{6C2ADED9-D0D6-45E8-9B31-CA616FC3D26F}"/>
    <cellStyle name="Normal 5 2 4 3 5 3 5" xfId="15786" xr:uid="{84B8CF9F-26C2-46FD-ADEA-757820150D0F}"/>
    <cellStyle name="Normal 5 2 4 3 5 4" xfId="37761" xr:uid="{B7B78096-0839-41BB-9DEC-C9EE72F85822}"/>
    <cellStyle name="Normal 5 2 4 3 5 5" xfId="29313" xr:uid="{5525AC1A-25DF-494A-B0F4-DC1ED2111813}"/>
    <cellStyle name="Normal 5 2 4 3 5 6" xfId="20866" xr:uid="{EE73F273-EE57-424C-BC6C-3DDAC697492C}"/>
    <cellStyle name="Normal 5 2 4 3 5 7" xfId="11569" xr:uid="{262EE3EB-E24D-4817-AF7A-C3360F0C073B}"/>
    <cellStyle name="Normal 5 2 4 3 6" xfId="2590" xr:uid="{00000000-0005-0000-0000-00000C190000}"/>
    <cellStyle name="Normal 5 2 4 3 6 2" xfId="6873" xr:uid="{00000000-0005-0000-0000-00000D190000}"/>
    <cellStyle name="Normal 5 2 4 3 6 2 2" xfId="42391" xr:uid="{D9FE8755-5CD1-4AAD-B7B5-024174F90575}"/>
    <cellStyle name="Normal 5 2 4 3 6 2 3" xfId="33944" xr:uid="{40946DE9-71DD-4988-AE39-AC4262C0E84E}"/>
    <cellStyle name="Normal 5 2 4 3 6 2 4" xfId="25496" xr:uid="{2EC7D460-CAE9-4A10-A046-97A8193A0C89}"/>
    <cellStyle name="Normal 5 2 4 3 6 2 5" xfId="16199" xr:uid="{6BAF1D3A-38D9-446D-92AC-584B41A2F454}"/>
    <cellStyle name="Normal 5 2 4 3 6 3" xfId="38174" xr:uid="{87D2CE54-B191-4047-AE49-3BCCE787AB10}"/>
    <cellStyle name="Normal 5 2 4 3 6 4" xfId="29726" xr:uid="{718F86BE-D900-42D2-9A9F-51B913A07D23}"/>
    <cellStyle name="Normal 5 2 4 3 6 5" xfId="21279" xr:uid="{76562343-0FBD-4867-9AF9-CB58C98A41ED}"/>
    <cellStyle name="Normal 5 2 4 3 6 6" xfId="11982" xr:uid="{0BB1A660-FA9E-44C4-BE29-C510D974F34E}"/>
    <cellStyle name="Normal 5 2 4 3 7" xfId="4808" xr:uid="{00000000-0005-0000-0000-00000E190000}"/>
    <cellStyle name="Normal 5 2 4 3 7 2" xfId="40326" xr:uid="{41F87D5C-4060-4A4F-8075-21D4E85A0A63}"/>
    <cellStyle name="Normal 5 2 4 3 7 3" xfId="31879" xr:uid="{06F4A333-52C2-4E19-9FA9-628E3D6BA54A}"/>
    <cellStyle name="Normal 5 2 4 3 7 4" xfId="23431" xr:uid="{319B8B68-41BB-4419-97C4-8B9F3D0658C9}"/>
    <cellStyle name="Normal 5 2 4 3 7 5" xfId="14134" xr:uid="{C8920C70-4874-482B-8C94-4C1722B4C80B}"/>
    <cellStyle name="Normal 5 2 4 3 8" xfId="9034" xr:uid="{82D3DE5B-E868-4CF9-BA07-6E197DA4FAA5}"/>
    <cellStyle name="Normal 5 2 4 3 8 2" xfId="36109" xr:uid="{591D4CAC-2FB6-4F6E-B155-C70EE086D637}"/>
    <cellStyle name="Normal 5 2 4 3 8 3" xfId="18357" xr:uid="{EA7E49A9-15C7-439F-92AB-BE45EC0F6D66}"/>
    <cellStyle name="Normal 5 2 4 3 9" xfId="27661" xr:uid="{A325CEE0-A3E6-4A6A-AA4E-7523832ADE81}"/>
    <cellStyle name="Normal 5 2 4 4" xfId="906" xr:uid="{00000000-0005-0000-0000-00000F190000}"/>
    <cellStyle name="Normal 5 2 4 4 2" xfId="3141" xr:uid="{00000000-0005-0000-0000-000010190000}"/>
    <cellStyle name="Normal 5 2 4 4 2 2" xfId="7363" xr:uid="{00000000-0005-0000-0000-000011190000}"/>
    <cellStyle name="Normal 5 2 4 4 2 2 2" xfId="42881" xr:uid="{67962E93-9368-450C-851F-8C9CDA77C15C}"/>
    <cellStyle name="Normal 5 2 4 4 2 2 3" xfId="34434" xr:uid="{A58FD1E9-B64F-4365-9476-56C52DE9E7FE}"/>
    <cellStyle name="Normal 5 2 4 4 2 2 4" xfId="25986" xr:uid="{862125A0-B506-4E72-9FB3-C8730D8687A2}"/>
    <cellStyle name="Normal 5 2 4 4 2 2 5" xfId="16689" xr:uid="{FDF0193C-69F9-464A-94F0-570B863D6048}"/>
    <cellStyle name="Normal 5 2 4 4 2 3" xfId="38664" xr:uid="{E6B8ECFA-6297-4E44-8B46-C36002FCBF79}"/>
    <cellStyle name="Normal 5 2 4 4 2 4" xfId="30216" xr:uid="{E1D00650-6A8A-40C1-9ACF-183908C016D1}"/>
    <cellStyle name="Normal 5 2 4 4 2 5" xfId="21769" xr:uid="{C00903F8-65B4-4F2D-A3A2-18163CF59C28}"/>
    <cellStyle name="Normal 5 2 4 4 2 6" xfId="12472" xr:uid="{A9A73CAC-91C9-473A-BF4E-F9882187C626}"/>
    <cellStyle name="Normal 5 2 4 4 3" xfId="5218" xr:uid="{00000000-0005-0000-0000-000012190000}"/>
    <cellStyle name="Normal 5 2 4 4 3 2" xfId="40736" xr:uid="{4FE1F1F4-94D5-48B7-A23B-CE51D76A49D4}"/>
    <cellStyle name="Normal 5 2 4 4 3 3" xfId="32289" xr:uid="{CB0201D5-4FCE-43D7-AE96-000AD81C4428}"/>
    <cellStyle name="Normal 5 2 4 4 3 4" xfId="23841" xr:uid="{08B99C94-BA3A-48CC-AF95-C5394F03ADB6}"/>
    <cellStyle name="Normal 5 2 4 4 3 5" xfId="14544" xr:uid="{8E349C1F-9CAF-430E-A7B0-45D16B480555}"/>
    <cellStyle name="Normal 5 2 4 4 4" xfId="9252" xr:uid="{1D1A8EC4-7286-46A1-B40C-E987F273E760}"/>
    <cellStyle name="Normal 5 2 4 4 4 2" xfId="36519" xr:uid="{E8210EA3-32A6-4393-A15F-C0B27773BE90}"/>
    <cellStyle name="Normal 5 2 4 4 4 3" xfId="18565" xr:uid="{122815B0-3FAE-4EDC-8434-9D152CC0FB1C}"/>
    <cellStyle name="Normal 5 2 4 4 5" xfId="28071" xr:uid="{B6FB74F5-6194-4771-948B-D2A97AD58F62}"/>
    <cellStyle name="Normal 5 2 4 4 6" xfId="19624" xr:uid="{947066E4-1F26-4993-AA99-D19CB5625D1F}"/>
    <cellStyle name="Normal 5 2 4 4 7" xfId="10327" xr:uid="{44723080-CC45-487B-AAEA-A31C39D29792}"/>
    <cellStyle name="Normal 5 2 4 5" xfId="1324" xr:uid="{00000000-0005-0000-0000-000013190000}"/>
    <cellStyle name="Normal 5 2 4 5 2" xfId="3554" xr:uid="{00000000-0005-0000-0000-000014190000}"/>
    <cellStyle name="Normal 5 2 4 5 2 2" xfId="7776" xr:uid="{00000000-0005-0000-0000-000015190000}"/>
    <cellStyle name="Normal 5 2 4 5 2 2 2" xfId="43294" xr:uid="{4E039FF4-D104-4D8C-9466-2F4A94F9AAA7}"/>
    <cellStyle name="Normal 5 2 4 5 2 2 3" xfId="34847" xr:uid="{55CE2866-0D49-46B4-9836-7C41BE1DDD21}"/>
    <cellStyle name="Normal 5 2 4 5 2 2 4" xfId="26399" xr:uid="{263AE026-E031-4021-99D6-9A5302588734}"/>
    <cellStyle name="Normal 5 2 4 5 2 2 5" xfId="17102" xr:uid="{950BFEDC-EFE2-4EF1-8AC7-006E43AE29E3}"/>
    <cellStyle name="Normal 5 2 4 5 2 3" xfId="39077" xr:uid="{1000EDC5-8D8C-4F0E-9E5A-2C0B368EAB30}"/>
    <cellStyle name="Normal 5 2 4 5 2 4" xfId="30629" xr:uid="{E0E25F91-CDB5-45D9-B152-60C718BFE670}"/>
    <cellStyle name="Normal 5 2 4 5 2 5" xfId="22182" xr:uid="{C5C982AF-EBBA-4B85-A133-4F62AA97BCC7}"/>
    <cellStyle name="Normal 5 2 4 5 2 6" xfId="12885" xr:uid="{D7B457E4-BB01-45F5-A0DC-61B55BB72349}"/>
    <cellStyle name="Normal 5 2 4 5 3" xfId="5631" xr:uid="{00000000-0005-0000-0000-000016190000}"/>
    <cellStyle name="Normal 5 2 4 5 3 2" xfId="41149" xr:uid="{D4467B2D-EE30-43C8-874F-FC7B6BD58B54}"/>
    <cellStyle name="Normal 5 2 4 5 3 3" xfId="32702" xr:uid="{124D8BF6-4711-44D9-9578-7DEB38DE43CF}"/>
    <cellStyle name="Normal 5 2 4 5 3 4" xfId="24254" xr:uid="{1FA3E6DF-6A96-490E-85B6-D13F99428326}"/>
    <cellStyle name="Normal 5 2 4 5 3 5" xfId="14957" xr:uid="{3F25EE1D-0FAB-4D18-9638-0292B82C74C7}"/>
    <cellStyle name="Normal 5 2 4 5 4" xfId="36932" xr:uid="{574E144B-F35A-4583-ACCE-128B20CADB6A}"/>
    <cellStyle name="Normal 5 2 4 5 5" xfId="28484" xr:uid="{31573B88-33EF-4B50-BA7B-04AE62F950C4}"/>
    <cellStyle name="Normal 5 2 4 5 6" xfId="20037" xr:uid="{3447C487-6F82-40BD-91A9-77EC57AF17C5}"/>
    <cellStyle name="Normal 5 2 4 5 7" xfId="10740" xr:uid="{83208CF6-657D-4F98-BCDE-DE0E5FEBAF3F}"/>
    <cellStyle name="Normal 5 2 4 6" xfId="1737" xr:uid="{00000000-0005-0000-0000-000017190000}"/>
    <cellStyle name="Normal 5 2 4 6 2" xfId="3967" xr:uid="{00000000-0005-0000-0000-000018190000}"/>
    <cellStyle name="Normal 5 2 4 6 2 2" xfId="8189" xr:uid="{00000000-0005-0000-0000-000019190000}"/>
    <cellStyle name="Normal 5 2 4 6 2 2 2" xfId="43707" xr:uid="{6DEF7238-DFB3-4D56-838C-F332BB871FB5}"/>
    <cellStyle name="Normal 5 2 4 6 2 2 3" xfId="35260" xr:uid="{CA7607AC-ACE5-4682-80DA-E6869C561007}"/>
    <cellStyle name="Normal 5 2 4 6 2 2 4" xfId="26812" xr:uid="{A9D084F3-8738-4971-99BA-0ECD2B7B43C5}"/>
    <cellStyle name="Normal 5 2 4 6 2 2 5" xfId="17515" xr:uid="{2E58D072-F837-4428-99FA-F1D8EBD8984A}"/>
    <cellStyle name="Normal 5 2 4 6 2 3" xfId="39490" xr:uid="{42E3E3FB-28B6-4EA5-A810-A3F598B6DACF}"/>
    <cellStyle name="Normal 5 2 4 6 2 4" xfId="31042" xr:uid="{1B4B3E5F-F47F-4980-9ED4-C7222ACD02C7}"/>
    <cellStyle name="Normal 5 2 4 6 2 5" xfId="22595" xr:uid="{0621ADA6-958C-4064-9475-3DA238AC0DD1}"/>
    <cellStyle name="Normal 5 2 4 6 2 6" xfId="13298" xr:uid="{41D43CF4-BE2A-45DF-A292-658A29276AD5}"/>
    <cellStyle name="Normal 5 2 4 6 3" xfId="6044" xr:uid="{00000000-0005-0000-0000-00001A190000}"/>
    <cellStyle name="Normal 5 2 4 6 3 2" xfId="41562" xr:uid="{8DDEA27B-4C41-4723-8C26-54E6884FEC16}"/>
    <cellStyle name="Normal 5 2 4 6 3 3" xfId="33115" xr:uid="{23FE7340-6D7A-4131-A1F1-A07D94E9566D}"/>
    <cellStyle name="Normal 5 2 4 6 3 4" xfId="24667" xr:uid="{2E44142B-8529-4B1F-965B-60516180F306}"/>
    <cellStyle name="Normal 5 2 4 6 3 5" xfId="15370" xr:uid="{6486C4DD-9EC6-4A07-83EE-3B8E45CBE48C}"/>
    <cellStyle name="Normal 5 2 4 6 4" xfId="37345" xr:uid="{0FBF6AE9-6D0C-4834-A12E-4C4B6D068A56}"/>
    <cellStyle name="Normal 5 2 4 6 5" xfId="28897" xr:uid="{66440D37-B80C-4840-AA72-4387F1BFEFB3}"/>
    <cellStyle name="Normal 5 2 4 6 6" xfId="20450" xr:uid="{F0EFAC94-6FFE-467B-9361-6238C726DE98}"/>
    <cellStyle name="Normal 5 2 4 6 7" xfId="11153" xr:uid="{F8B93EA8-CAE6-4214-A624-CE0AF77CA23E}"/>
    <cellStyle name="Normal 5 2 4 7" xfId="2151" xr:uid="{00000000-0005-0000-0000-00001B190000}"/>
    <cellStyle name="Normal 5 2 4 7 2" xfId="4380" xr:uid="{00000000-0005-0000-0000-00001C190000}"/>
    <cellStyle name="Normal 5 2 4 7 2 2" xfId="8602" xr:uid="{00000000-0005-0000-0000-00001D190000}"/>
    <cellStyle name="Normal 5 2 4 7 2 2 2" xfId="44120" xr:uid="{296FC1E1-75D9-41E7-AF45-E35D0AC21474}"/>
    <cellStyle name="Normal 5 2 4 7 2 2 3" xfId="35673" xr:uid="{EB88DF99-67E3-4874-B8E0-0929F9B1B303}"/>
    <cellStyle name="Normal 5 2 4 7 2 2 4" xfId="27225" xr:uid="{7C02A69B-5C6F-43DD-AF7F-0D048F03EBCD}"/>
    <cellStyle name="Normal 5 2 4 7 2 2 5" xfId="17928" xr:uid="{011D08AF-A511-40E2-98C6-70F770645FEB}"/>
    <cellStyle name="Normal 5 2 4 7 2 3" xfId="39903" xr:uid="{18F1BF1C-51A4-4FF5-A5F0-9BDE0CAB9A5C}"/>
    <cellStyle name="Normal 5 2 4 7 2 4" xfId="31455" xr:uid="{89AF0902-F15C-4B26-AB56-61EE05CCF0B4}"/>
    <cellStyle name="Normal 5 2 4 7 2 5" xfId="23008" xr:uid="{79304C25-3E5E-4887-8BA3-379F49315975}"/>
    <cellStyle name="Normal 5 2 4 7 2 6" xfId="13711" xr:uid="{52A4FEF0-048E-4797-8358-C13369A268E7}"/>
    <cellStyle name="Normal 5 2 4 7 3" xfId="6457" xr:uid="{00000000-0005-0000-0000-00001E190000}"/>
    <cellStyle name="Normal 5 2 4 7 3 2" xfId="41975" xr:uid="{66CB3A96-4423-44C9-8FEB-24DA3E5D0665}"/>
    <cellStyle name="Normal 5 2 4 7 3 3" xfId="33528" xr:uid="{52AC0BBA-8EF4-4533-8003-D5DB2B640E15}"/>
    <cellStyle name="Normal 5 2 4 7 3 4" xfId="25080" xr:uid="{B2025A76-C343-4CE4-9BB7-1680302D0091}"/>
    <cellStyle name="Normal 5 2 4 7 3 5" xfId="15783" xr:uid="{8C13CE53-CAA4-499B-9533-D52DBDD1E66D}"/>
    <cellStyle name="Normal 5 2 4 7 4" xfId="37758" xr:uid="{984828EE-56DC-4A1C-AD62-E20D9470C332}"/>
    <cellStyle name="Normal 5 2 4 7 5" xfId="29310" xr:uid="{4D55D56C-4F95-4AFF-9B88-6E619E5932C4}"/>
    <cellStyle name="Normal 5 2 4 7 6" xfId="20863" xr:uid="{A83FB155-DF7D-46A6-A730-3AD65BA8C381}"/>
    <cellStyle name="Normal 5 2 4 7 7" xfId="11566" xr:uid="{EAC5A127-B13C-46BF-B624-8F10CFFA1FDA}"/>
    <cellStyle name="Normal 5 2 4 8" xfId="2587" xr:uid="{00000000-0005-0000-0000-00001F190000}"/>
    <cellStyle name="Normal 5 2 4 8 2" xfId="6870" xr:uid="{00000000-0005-0000-0000-000020190000}"/>
    <cellStyle name="Normal 5 2 4 8 2 2" xfId="42388" xr:uid="{39BA33D7-2DE8-4BFE-B65C-7CBEFE72DCD6}"/>
    <cellStyle name="Normal 5 2 4 8 2 3" xfId="33941" xr:uid="{D13F8112-2BFB-4949-AEE5-7D3DB1473806}"/>
    <cellStyle name="Normal 5 2 4 8 2 4" xfId="25493" xr:uid="{D4A7C621-975D-407D-B917-4640B7912BBC}"/>
    <cellStyle name="Normal 5 2 4 8 2 5" xfId="16196" xr:uid="{7895C3D9-E5D2-4538-860D-8150B8C2C443}"/>
    <cellStyle name="Normal 5 2 4 8 3" xfId="38171" xr:uid="{C1EB43D0-B3A2-44AF-9D35-5AAC8506EA46}"/>
    <cellStyle name="Normal 5 2 4 8 4" xfId="29723" xr:uid="{47BEEED5-2F3D-46CD-ABB4-C7D0CF839948}"/>
    <cellStyle name="Normal 5 2 4 8 5" xfId="21276" xr:uid="{AA2E3A48-2C15-4983-9512-610C481FE41E}"/>
    <cellStyle name="Normal 5 2 4 8 6" xfId="11979" xr:uid="{BAAE795E-BFD1-48D1-8F25-6CCAA2B958D1}"/>
    <cellStyle name="Normal 5 2 4 9" xfId="4805" xr:uid="{00000000-0005-0000-0000-000021190000}"/>
    <cellStyle name="Normal 5 2 4 9 2" xfId="40323" xr:uid="{EDB6C3A1-FFD8-4C16-B026-021967D1480D}"/>
    <cellStyle name="Normal 5 2 4 9 3" xfId="31876" xr:uid="{0172DD42-2496-4077-AEBB-4C2834A3FAE0}"/>
    <cellStyle name="Normal 5 2 4 9 4" xfId="23428" xr:uid="{E4D5F0C1-0899-4032-8E7B-EAE4D38603BA}"/>
    <cellStyle name="Normal 5 2 4 9 5" xfId="14131" xr:uid="{89408032-842D-45C9-A489-3E3C0B594532}"/>
    <cellStyle name="Normal 5 2 5" xfId="436" xr:uid="{00000000-0005-0000-0000-000022190000}"/>
    <cellStyle name="Normal 5 2 5 10" xfId="27662" xr:uid="{31973BD5-1259-4BD4-A9FA-56B105219538}"/>
    <cellStyle name="Normal 5 2 5 11" xfId="19215" xr:uid="{300D4145-48CE-4F12-8CC4-6BC08F92F5D3}"/>
    <cellStyle name="Normal 5 2 5 12" xfId="9918" xr:uid="{32AE2DF3-A977-44A8-B652-FF61288A1056}"/>
    <cellStyle name="Normal 5 2 5 2" xfId="437" xr:uid="{00000000-0005-0000-0000-000023190000}"/>
    <cellStyle name="Normal 5 2 5 2 10" xfId="19216" xr:uid="{C56E0378-E6D7-4880-9747-0FF80D7EBBC7}"/>
    <cellStyle name="Normal 5 2 5 2 11" xfId="9919" xr:uid="{DEB155EC-0A07-43BE-A30D-FD586573D11B}"/>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42886" xr:uid="{8C6AA9BB-F5B6-40DE-8781-02FEC86EE5A6}"/>
    <cellStyle name="Normal 5 2 5 2 2 2 2 3" xfId="34439" xr:uid="{5C235523-0279-485F-9431-6760B4F1447B}"/>
    <cellStyle name="Normal 5 2 5 2 2 2 2 4" xfId="25991" xr:uid="{9A6408E4-2151-4F11-9F58-85B1CEE999C7}"/>
    <cellStyle name="Normal 5 2 5 2 2 2 2 5" xfId="16694" xr:uid="{C9067FBC-5471-4E82-A9A0-578C155C35D2}"/>
    <cellStyle name="Normal 5 2 5 2 2 2 3" xfId="38669" xr:uid="{4D26E4C8-5D09-4ABE-8548-755E8E9557EB}"/>
    <cellStyle name="Normal 5 2 5 2 2 2 4" xfId="30221" xr:uid="{6CD13E8A-76C1-48A8-B22D-45869328A9FF}"/>
    <cellStyle name="Normal 5 2 5 2 2 2 5" xfId="21774" xr:uid="{4CBAF5D7-8CB4-4D43-A14C-E0EA18974BD0}"/>
    <cellStyle name="Normal 5 2 5 2 2 2 6" xfId="12477" xr:uid="{5230FE65-944F-4AC0-B51A-75500E5DD5D2}"/>
    <cellStyle name="Normal 5 2 5 2 2 3" xfId="5223" xr:uid="{00000000-0005-0000-0000-000027190000}"/>
    <cellStyle name="Normal 5 2 5 2 2 3 2" xfId="40741" xr:uid="{70D7C6C6-1940-4700-B321-8DBD2A2D05DE}"/>
    <cellStyle name="Normal 5 2 5 2 2 3 3" xfId="32294" xr:uid="{8A2E36A1-6B13-483B-93EF-957F84D37011}"/>
    <cellStyle name="Normal 5 2 5 2 2 3 4" xfId="23846" xr:uid="{F9DA1196-A8DC-4A5C-99CA-DC788811AD6C}"/>
    <cellStyle name="Normal 5 2 5 2 2 3 5" xfId="14549" xr:uid="{3D29E4A6-BCA9-4452-933F-BC09A51755C6}"/>
    <cellStyle name="Normal 5 2 5 2 2 4" xfId="9479" xr:uid="{0DDFFFD4-5D62-4038-B6D4-9E9BD7CBA380}"/>
    <cellStyle name="Normal 5 2 5 2 2 4 2" xfId="36524" xr:uid="{B13831E6-63CC-48C2-BB4D-049E6C9ADCEF}"/>
    <cellStyle name="Normal 5 2 5 2 2 4 3" xfId="18792" xr:uid="{A090592B-BC49-47D0-B50C-FEE27CEA7F75}"/>
    <cellStyle name="Normal 5 2 5 2 2 5" xfId="28076" xr:uid="{66204CA5-B71D-468A-8A1B-5ACBC83CC258}"/>
    <cellStyle name="Normal 5 2 5 2 2 6" xfId="19629" xr:uid="{FEB98471-D8CF-4733-A1FD-1BC9B00E2A8E}"/>
    <cellStyle name="Normal 5 2 5 2 2 7" xfId="10332" xr:uid="{6D8ACCEF-B5CB-41E7-ABE5-E56AE6E09129}"/>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43299" xr:uid="{6AF5033A-FA4C-43FC-9683-9173DEA69F18}"/>
    <cellStyle name="Normal 5 2 5 2 3 2 2 3" xfId="34852" xr:uid="{8EFFD70B-6DB5-4A31-BA79-E65B48DCF5C1}"/>
    <cellStyle name="Normal 5 2 5 2 3 2 2 4" xfId="26404" xr:uid="{9AE88FB9-0B01-468E-9D97-4579F6472846}"/>
    <cellStyle name="Normal 5 2 5 2 3 2 2 5" xfId="17107" xr:uid="{9D8F253E-4465-4840-8123-BDC111EA66AD}"/>
    <cellStyle name="Normal 5 2 5 2 3 2 3" xfId="39082" xr:uid="{E852B73B-56D1-4762-A744-AD3431480CC1}"/>
    <cellStyle name="Normal 5 2 5 2 3 2 4" xfId="30634" xr:uid="{1E3529A5-A37F-4503-9880-D7E07715A5AB}"/>
    <cellStyle name="Normal 5 2 5 2 3 2 5" xfId="22187" xr:uid="{B1ACAFA9-EB59-4CA1-B56D-C0358BA7A93A}"/>
    <cellStyle name="Normal 5 2 5 2 3 2 6" xfId="12890" xr:uid="{32692ED2-3A88-40EC-86A0-7DC23D48FF14}"/>
    <cellStyle name="Normal 5 2 5 2 3 3" xfId="5636" xr:uid="{00000000-0005-0000-0000-00002B190000}"/>
    <cellStyle name="Normal 5 2 5 2 3 3 2" xfId="41154" xr:uid="{E125F92A-1E2F-413A-AA8A-52284DBAD618}"/>
    <cellStyle name="Normal 5 2 5 2 3 3 3" xfId="32707" xr:uid="{83EA050D-F26A-4313-BCAE-C93CAD3AAA8C}"/>
    <cellStyle name="Normal 5 2 5 2 3 3 4" xfId="24259" xr:uid="{9C71D6BB-21C6-4825-A60D-4E65538CF90E}"/>
    <cellStyle name="Normal 5 2 5 2 3 3 5" xfId="14962" xr:uid="{764A35E5-C7D6-47CF-AAB4-E9179187449F}"/>
    <cellStyle name="Normal 5 2 5 2 3 4" xfId="36937" xr:uid="{90918D9D-FBA1-4A5F-95C5-2DE3A9EE2A20}"/>
    <cellStyle name="Normal 5 2 5 2 3 5" xfId="28489" xr:uid="{6B15EB48-241B-4669-B8CC-8E3D54820D15}"/>
    <cellStyle name="Normal 5 2 5 2 3 6" xfId="20042" xr:uid="{0F1802BD-0AC0-4603-8380-206A99C6ECF1}"/>
    <cellStyle name="Normal 5 2 5 2 3 7" xfId="10745" xr:uid="{7BEA203E-BC5D-45A5-8E3C-B70F271A7FD3}"/>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43712" xr:uid="{32B54BB0-5BAD-406A-A5FD-2434954A8446}"/>
    <cellStyle name="Normal 5 2 5 2 4 2 2 3" xfId="35265" xr:uid="{E62927B3-7ECB-4978-BEF0-82F490C70F80}"/>
    <cellStyle name="Normal 5 2 5 2 4 2 2 4" xfId="26817" xr:uid="{9014F1AE-7D2E-4111-9479-F4398D3A3E46}"/>
    <cellStyle name="Normal 5 2 5 2 4 2 2 5" xfId="17520" xr:uid="{C4E486CC-E07A-4BBB-A2E5-084DC9BD951E}"/>
    <cellStyle name="Normal 5 2 5 2 4 2 3" xfId="39495" xr:uid="{032D634E-2A4F-48F0-BABE-30B7F1C8E57E}"/>
    <cellStyle name="Normal 5 2 5 2 4 2 4" xfId="31047" xr:uid="{37476A98-9DA0-4AD8-9573-93C158C4A3B9}"/>
    <cellStyle name="Normal 5 2 5 2 4 2 5" xfId="22600" xr:uid="{5307391B-21C2-4F4E-943E-5C8E807C5881}"/>
    <cellStyle name="Normal 5 2 5 2 4 2 6" xfId="13303" xr:uid="{A74C1430-CF09-44D0-BF01-47A6452ED8FF}"/>
    <cellStyle name="Normal 5 2 5 2 4 3" xfId="6049" xr:uid="{00000000-0005-0000-0000-00002F190000}"/>
    <cellStyle name="Normal 5 2 5 2 4 3 2" xfId="41567" xr:uid="{CA595642-2E95-4668-9864-82B59603FAF2}"/>
    <cellStyle name="Normal 5 2 5 2 4 3 3" xfId="33120" xr:uid="{4E7727A0-2799-491B-81A1-F682BB5686AB}"/>
    <cellStyle name="Normal 5 2 5 2 4 3 4" xfId="24672" xr:uid="{7192F96E-FB30-4A98-94E2-9AA7245D9BA5}"/>
    <cellStyle name="Normal 5 2 5 2 4 3 5" xfId="15375" xr:uid="{D317DA1C-B3D4-4024-A9B4-0BCFED9EE481}"/>
    <cellStyle name="Normal 5 2 5 2 4 4" xfId="37350" xr:uid="{74561238-9593-4D44-B26C-0CC6CE88C928}"/>
    <cellStyle name="Normal 5 2 5 2 4 5" xfId="28902" xr:uid="{4F73CBC8-3D3A-42D3-BFB0-E66281730B38}"/>
    <cellStyle name="Normal 5 2 5 2 4 6" xfId="20455" xr:uid="{BFEAEC5A-485F-42C1-BC2E-F543FD352B0B}"/>
    <cellStyle name="Normal 5 2 5 2 4 7" xfId="11158" xr:uid="{04022928-CFBD-4D93-B989-480866CE8421}"/>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44125" xr:uid="{82300B7A-0564-438A-BD61-00EDB41B2DEB}"/>
    <cellStyle name="Normal 5 2 5 2 5 2 2 3" xfId="35678" xr:uid="{EE699C74-C92F-4BCF-9E77-954AB37199D4}"/>
    <cellStyle name="Normal 5 2 5 2 5 2 2 4" xfId="27230" xr:uid="{28D7DAA7-F481-429C-8507-BD7272B2CA88}"/>
    <cellStyle name="Normal 5 2 5 2 5 2 2 5" xfId="17933" xr:uid="{39E8354E-6B7C-4BBA-A71C-BE6F6CC27B7C}"/>
    <cellStyle name="Normal 5 2 5 2 5 2 3" xfId="39908" xr:uid="{2CFA9767-D1D4-4F03-B032-F77EABFE563C}"/>
    <cellStyle name="Normal 5 2 5 2 5 2 4" xfId="31460" xr:uid="{F9AF993B-CAE7-4233-9381-6F08F6AC3FFA}"/>
    <cellStyle name="Normal 5 2 5 2 5 2 5" xfId="23013" xr:uid="{F0DDC9E5-7712-47D4-841E-E9F947E0D3F9}"/>
    <cellStyle name="Normal 5 2 5 2 5 2 6" xfId="13716" xr:uid="{C08D366E-BBFE-4B7A-B29E-43F7B5F0A527}"/>
    <cellStyle name="Normal 5 2 5 2 5 3" xfId="6462" xr:uid="{00000000-0005-0000-0000-000033190000}"/>
    <cellStyle name="Normal 5 2 5 2 5 3 2" xfId="41980" xr:uid="{8E226DD7-B78C-4002-8ABC-569FE8E32333}"/>
    <cellStyle name="Normal 5 2 5 2 5 3 3" xfId="33533" xr:uid="{2E1F5B65-8475-4494-8D5A-F34F1C168267}"/>
    <cellStyle name="Normal 5 2 5 2 5 3 4" xfId="25085" xr:uid="{92C47ABF-73AB-42E2-9F91-CF2E759F4171}"/>
    <cellStyle name="Normal 5 2 5 2 5 3 5" xfId="15788" xr:uid="{1515CD6C-2213-4D6E-9E97-504D8A094BAC}"/>
    <cellStyle name="Normal 5 2 5 2 5 4" xfId="37763" xr:uid="{0E280FA0-3988-4797-AE06-3C9C32A9A111}"/>
    <cellStyle name="Normal 5 2 5 2 5 5" xfId="29315" xr:uid="{8E31B49C-1566-43E1-AE63-D3035793FB12}"/>
    <cellStyle name="Normal 5 2 5 2 5 6" xfId="20868" xr:uid="{57C2DD6F-2EBB-418F-B850-3245A8439C28}"/>
    <cellStyle name="Normal 5 2 5 2 5 7" xfId="11571" xr:uid="{331656A2-60E8-4CCB-B70D-99FDF3CB2C5A}"/>
    <cellStyle name="Normal 5 2 5 2 6" xfId="2592" xr:uid="{00000000-0005-0000-0000-000034190000}"/>
    <cellStyle name="Normal 5 2 5 2 6 2" xfId="6875" xr:uid="{00000000-0005-0000-0000-000035190000}"/>
    <cellStyle name="Normal 5 2 5 2 6 2 2" xfId="42393" xr:uid="{AD93BA50-7BDD-44C6-9159-C35011319BCB}"/>
    <cellStyle name="Normal 5 2 5 2 6 2 3" xfId="33946" xr:uid="{74A0FF86-DEDB-43EF-B534-258518F41E86}"/>
    <cellStyle name="Normal 5 2 5 2 6 2 4" xfId="25498" xr:uid="{CF16528F-8B52-4D88-A56C-F1B0ADC98A39}"/>
    <cellStyle name="Normal 5 2 5 2 6 2 5" xfId="16201" xr:uid="{1ACC16F0-3809-4089-BD54-7C536296ED7A}"/>
    <cellStyle name="Normal 5 2 5 2 6 3" xfId="38176" xr:uid="{54500EF5-058D-4E6D-98EF-7519CCD6BBE5}"/>
    <cellStyle name="Normal 5 2 5 2 6 4" xfId="29728" xr:uid="{AF4B791D-1745-4E3A-80AB-F557C85FAE6A}"/>
    <cellStyle name="Normal 5 2 5 2 6 5" xfId="21281" xr:uid="{3812DBEA-A12A-4AC3-BDC7-74E4EAC0B521}"/>
    <cellStyle name="Normal 5 2 5 2 6 6" xfId="11984" xr:uid="{14CDE174-A772-44B7-B5FE-209091B33BBD}"/>
    <cellStyle name="Normal 5 2 5 2 7" xfId="4810" xr:uid="{00000000-0005-0000-0000-000036190000}"/>
    <cellStyle name="Normal 5 2 5 2 7 2" xfId="40328" xr:uid="{32D951DF-D04A-42EC-B8CF-582F071235B3}"/>
    <cellStyle name="Normal 5 2 5 2 7 3" xfId="31881" xr:uid="{22B1A41D-98F7-4728-BBDA-69B410B85B63}"/>
    <cellStyle name="Normal 5 2 5 2 7 4" xfId="23433" xr:uid="{300B85F0-51ED-437B-B110-E13C2A8E35F6}"/>
    <cellStyle name="Normal 5 2 5 2 7 5" xfId="14136" xr:uid="{D71285D4-688C-455F-A7D7-C6CFCB41DE62}"/>
    <cellStyle name="Normal 5 2 5 2 8" xfId="9054" xr:uid="{844F6476-DDB9-4C38-A2B2-83AB0DCF1773}"/>
    <cellStyle name="Normal 5 2 5 2 8 2" xfId="36111" xr:uid="{F6DA14A5-7893-48FF-B050-097D41E64AC4}"/>
    <cellStyle name="Normal 5 2 5 2 8 3" xfId="18377" xr:uid="{9F25C77B-70C6-48ED-93D5-F9E53833012D}"/>
    <cellStyle name="Normal 5 2 5 2 9" xfId="27663" xr:uid="{426FC998-CFC7-4D7C-8FC3-F28A04D2FC1F}"/>
    <cellStyle name="Normal 5 2 5 3" xfId="910" xr:uid="{00000000-0005-0000-0000-000037190000}"/>
    <cellStyle name="Normal 5 2 5 3 2" xfId="3145" xr:uid="{00000000-0005-0000-0000-000038190000}"/>
    <cellStyle name="Normal 5 2 5 3 2 2" xfId="7367" xr:uid="{00000000-0005-0000-0000-000039190000}"/>
    <cellStyle name="Normal 5 2 5 3 2 2 2" xfId="42885" xr:uid="{2605F510-D411-4848-9136-27890F1C34A9}"/>
    <cellStyle name="Normal 5 2 5 3 2 2 3" xfId="34438" xr:uid="{57712417-2217-4B8B-9886-F3865EBC25C1}"/>
    <cellStyle name="Normal 5 2 5 3 2 2 4" xfId="25990" xr:uid="{7E4E2BC2-A0A6-4333-8232-A2CCF426C1C5}"/>
    <cellStyle name="Normal 5 2 5 3 2 2 5" xfId="16693" xr:uid="{33A4C99F-9715-4DF4-8A36-D6B2D86AF084}"/>
    <cellStyle name="Normal 5 2 5 3 2 3" xfId="38668" xr:uid="{5FDE7E6F-A0C1-4EB7-9E50-5D3362F9C8B7}"/>
    <cellStyle name="Normal 5 2 5 3 2 4" xfId="30220" xr:uid="{5151A242-E9D3-46DC-B42D-ACC3FB9CD92B}"/>
    <cellStyle name="Normal 5 2 5 3 2 5" xfId="21773" xr:uid="{20AE4B54-3D89-4CA7-A13E-0E54B7F1AA9B}"/>
    <cellStyle name="Normal 5 2 5 3 2 6" xfId="12476" xr:uid="{E973CC97-5E18-49B4-88DF-B40FD386F991}"/>
    <cellStyle name="Normal 5 2 5 3 3" xfId="5222" xr:uid="{00000000-0005-0000-0000-00003A190000}"/>
    <cellStyle name="Normal 5 2 5 3 3 2" xfId="40740" xr:uid="{CBE8C6CD-FC8B-4C0C-A420-10F67715996D}"/>
    <cellStyle name="Normal 5 2 5 3 3 3" xfId="32293" xr:uid="{105D7D80-708B-435C-A963-36D9E65D2B0D}"/>
    <cellStyle name="Normal 5 2 5 3 3 4" xfId="23845" xr:uid="{CBDA8BC0-073E-4BE9-AB7D-C0B21F84B7BA}"/>
    <cellStyle name="Normal 5 2 5 3 3 5" xfId="14548" xr:uid="{DB47328F-44CE-45EF-8A27-48397957D854}"/>
    <cellStyle name="Normal 5 2 5 3 4" xfId="9272" xr:uid="{8865498C-CC61-4C5F-A1F4-57A1D301E1CE}"/>
    <cellStyle name="Normal 5 2 5 3 4 2" xfId="36523" xr:uid="{3A2639D9-68AD-40FD-B11F-CFDE5E19BD8E}"/>
    <cellStyle name="Normal 5 2 5 3 4 3" xfId="18585" xr:uid="{C8A8E2B4-FB0C-4435-85C8-80988FEB7D34}"/>
    <cellStyle name="Normal 5 2 5 3 5" xfId="28075" xr:uid="{3E1178D5-857B-4F2D-9AB9-73EB0170EEAA}"/>
    <cellStyle name="Normal 5 2 5 3 6" xfId="19628" xr:uid="{2805412E-B422-4668-B6EE-AC423451FA73}"/>
    <cellStyle name="Normal 5 2 5 3 7" xfId="10331" xr:uid="{73DA23AD-DE0D-4A99-BDA6-4E3D28A52FF7}"/>
    <cellStyle name="Normal 5 2 5 4" xfId="1328" xr:uid="{00000000-0005-0000-0000-00003B190000}"/>
    <cellStyle name="Normal 5 2 5 4 2" xfId="3558" xr:uid="{00000000-0005-0000-0000-00003C190000}"/>
    <cellStyle name="Normal 5 2 5 4 2 2" xfId="7780" xr:uid="{00000000-0005-0000-0000-00003D190000}"/>
    <cellStyle name="Normal 5 2 5 4 2 2 2" xfId="43298" xr:uid="{7E285452-C4B1-4C99-9F7F-35703B1BF179}"/>
    <cellStyle name="Normal 5 2 5 4 2 2 3" xfId="34851" xr:uid="{B19237B0-D3D3-4288-AD4F-58B655309E25}"/>
    <cellStyle name="Normal 5 2 5 4 2 2 4" xfId="26403" xr:uid="{359C209D-B4F8-41BD-ABDB-814ADBB94A1B}"/>
    <cellStyle name="Normal 5 2 5 4 2 2 5" xfId="17106" xr:uid="{6DF271B9-50BA-4663-9B52-A2E267F27D1E}"/>
    <cellStyle name="Normal 5 2 5 4 2 3" xfId="39081" xr:uid="{EDD74B6A-718A-4B2F-AFAC-24A13E8B4201}"/>
    <cellStyle name="Normal 5 2 5 4 2 4" xfId="30633" xr:uid="{866FEF39-23C3-43C6-AF99-39651815CC8F}"/>
    <cellStyle name="Normal 5 2 5 4 2 5" xfId="22186" xr:uid="{3C6EEA06-5D9D-45DB-8707-D4D935D5F139}"/>
    <cellStyle name="Normal 5 2 5 4 2 6" xfId="12889" xr:uid="{1FF3003D-3C1F-4F7E-BD8F-4E9E7ABBB253}"/>
    <cellStyle name="Normal 5 2 5 4 3" xfId="5635" xr:uid="{00000000-0005-0000-0000-00003E190000}"/>
    <cellStyle name="Normal 5 2 5 4 3 2" xfId="41153" xr:uid="{792E4682-E964-4E58-B65C-4BCBDC6D877C}"/>
    <cellStyle name="Normal 5 2 5 4 3 3" xfId="32706" xr:uid="{133B6E90-5188-47B9-BF3B-CB701EF47A29}"/>
    <cellStyle name="Normal 5 2 5 4 3 4" xfId="24258" xr:uid="{C0AFFAAA-B800-428C-B66C-0B09FF89FDD7}"/>
    <cellStyle name="Normal 5 2 5 4 3 5" xfId="14961" xr:uid="{91F9B774-1E15-4482-83EA-EC5C98FE9ACC}"/>
    <cellStyle name="Normal 5 2 5 4 4" xfId="36936" xr:uid="{6D02B6E1-97B0-4EC5-A3D0-E1C51452FC81}"/>
    <cellStyle name="Normal 5 2 5 4 5" xfId="28488" xr:uid="{88A187B6-AC01-49AC-8B59-D0A2BC29B8C7}"/>
    <cellStyle name="Normal 5 2 5 4 6" xfId="20041" xr:uid="{FDAE81C1-902E-4CF3-9616-2C1944C7E533}"/>
    <cellStyle name="Normal 5 2 5 4 7" xfId="10744" xr:uid="{74564F48-3DC7-4CF4-9435-37CC6D102DB9}"/>
    <cellStyle name="Normal 5 2 5 5" xfId="1741" xr:uid="{00000000-0005-0000-0000-00003F190000}"/>
    <cellStyle name="Normal 5 2 5 5 2" xfId="3971" xr:uid="{00000000-0005-0000-0000-000040190000}"/>
    <cellStyle name="Normal 5 2 5 5 2 2" xfId="8193" xr:uid="{00000000-0005-0000-0000-000041190000}"/>
    <cellStyle name="Normal 5 2 5 5 2 2 2" xfId="43711" xr:uid="{14FDF447-28C3-44BA-A764-C7A529E302D9}"/>
    <cellStyle name="Normal 5 2 5 5 2 2 3" xfId="35264" xr:uid="{24E69D2D-DB36-4A00-B9A3-FFEFB308383A}"/>
    <cellStyle name="Normal 5 2 5 5 2 2 4" xfId="26816" xr:uid="{F2FBC664-AF74-4207-BFE0-1234256468A9}"/>
    <cellStyle name="Normal 5 2 5 5 2 2 5" xfId="17519" xr:uid="{2BAE3DF2-5DBD-48B1-BACF-51DE33EDFAB6}"/>
    <cellStyle name="Normal 5 2 5 5 2 3" xfId="39494" xr:uid="{01D0FF80-3D01-4A78-A4E0-A48B9E57E172}"/>
    <cellStyle name="Normal 5 2 5 5 2 4" xfId="31046" xr:uid="{F7E0A49B-E7C9-41F6-9397-CE4B1FDF0D56}"/>
    <cellStyle name="Normal 5 2 5 5 2 5" xfId="22599" xr:uid="{AE689CF0-A552-4413-AB8F-3309D50942A2}"/>
    <cellStyle name="Normal 5 2 5 5 2 6" xfId="13302" xr:uid="{8B5566E8-DBA4-4EE1-8DFD-D8B6E8EE8CED}"/>
    <cellStyle name="Normal 5 2 5 5 3" xfId="6048" xr:uid="{00000000-0005-0000-0000-000042190000}"/>
    <cellStyle name="Normal 5 2 5 5 3 2" xfId="41566" xr:uid="{519DB4AF-38A5-4506-AEBC-0EE152953A32}"/>
    <cellStyle name="Normal 5 2 5 5 3 3" xfId="33119" xr:uid="{E1858CA9-195C-4CD4-99D0-A22CE0C6FE7B}"/>
    <cellStyle name="Normal 5 2 5 5 3 4" xfId="24671" xr:uid="{0C05E7B6-82B7-490A-A6E3-BB63297B16C6}"/>
    <cellStyle name="Normal 5 2 5 5 3 5" xfId="15374" xr:uid="{68FEE2D6-2225-4B0E-8FD5-C39E421D8F83}"/>
    <cellStyle name="Normal 5 2 5 5 4" xfId="37349" xr:uid="{F8FC9845-9518-4613-B8D0-40D2A48D6786}"/>
    <cellStyle name="Normal 5 2 5 5 5" xfId="28901" xr:uid="{386D1DAC-7684-46AE-84D5-9775376BD98A}"/>
    <cellStyle name="Normal 5 2 5 5 6" xfId="20454" xr:uid="{1F371AC6-9EA1-459E-BEC4-CF0BE5EDD6FC}"/>
    <cellStyle name="Normal 5 2 5 5 7" xfId="11157" xr:uid="{C3DEAC7B-E5E4-4CD1-BBAE-30AD79641C18}"/>
    <cellStyle name="Normal 5 2 5 6" xfId="2155" xr:uid="{00000000-0005-0000-0000-000043190000}"/>
    <cellStyle name="Normal 5 2 5 6 2" xfId="4384" xr:uid="{00000000-0005-0000-0000-000044190000}"/>
    <cellStyle name="Normal 5 2 5 6 2 2" xfId="8606" xr:uid="{00000000-0005-0000-0000-000045190000}"/>
    <cellStyle name="Normal 5 2 5 6 2 2 2" xfId="44124" xr:uid="{4C4D5D98-0936-430A-9766-B8EE0E8EE788}"/>
    <cellStyle name="Normal 5 2 5 6 2 2 3" xfId="35677" xr:uid="{82D97BEB-05E1-4C6F-9824-236E7957AB86}"/>
    <cellStyle name="Normal 5 2 5 6 2 2 4" xfId="27229" xr:uid="{7BAAA7A1-3A51-42EA-8211-DEEBAA8DF633}"/>
    <cellStyle name="Normal 5 2 5 6 2 2 5" xfId="17932" xr:uid="{7F2CEDEE-1155-4C84-A800-2577218CC584}"/>
    <cellStyle name="Normal 5 2 5 6 2 3" xfId="39907" xr:uid="{9BEA1FB6-2C23-40AA-9285-EEA5046CA41F}"/>
    <cellStyle name="Normal 5 2 5 6 2 4" xfId="31459" xr:uid="{78382AB9-6D18-4CFD-A501-4AF5C01F2F53}"/>
    <cellStyle name="Normal 5 2 5 6 2 5" xfId="23012" xr:uid="{A4938B5C-FF8C-4AAD-B103-D813552C4679}"/>
    <cellStyle name="Normal 5 2 5 6 2 6" xfId="13715" xr:uid="{3549F8AB-AE53-4B02-8323-2FA0B365F20A}"/>
    <cellStyle name="Normal 5 2 5 6 3" xfId="6461" xr:uid="{00000000-0005-0000-0000-000046190000}"/>
    <cellStyle name="Normal 5 2 5 6 3 2" xfId="41979" xr:uid="{4460AEE0-F718-43F1-B379-F40688664845}"/>
    <cellStyle name="Normal 5 2 5 6 3 3" xfId="33532" xr:uid="{D57C55C8-AD38-4CE4-B966-BE7BCE3ED204}"/>
    <cellStyle name="Normal 5 2 5 6 3 4" xfId="25084" xr:uid="{5CBC6CAC-4CBF-4C74-93EB-A159E0D29925}"/>
    <cellStyle name="Normal 5 2 5 6 3 5" xfId="15787" xr:uid="{D7E49EE3-A66E-4D41-8B5F-BEFEF36B8F04}"/>
    <cellStyle name="Normal 5 2 5 6 4" xfId="37762" xr:uid="{E9D6EB18-1603-423F-ACD4-B30389083097}"/>
    <cellStyle name="Normal 5 2 5 6 5" xfId="29314" xr:uid="{5E6C0422-0AEC-4321-B95B-49A63E2A474A}"/>
    <cellStyle name="Normal 5 2 5 6 6" xfId="20867" xr:uid="{6CFDB93B-A684-4E70-B23F-F336F1E19495}"/>
    <cellStyle name="Normal 5 2 5 6 7" xfId="11570" xr:uid="{1893CE03-E5BA-4349-A452-90CA88C35555}"/>
    <cellStyle name="Normal 5 2 5 7" xfId="2591" xr:uid="{00000000-0005-0000-0000-000047190000}"/>
    <cellStyle name="Normal 5 2 5 7 2" xfId="6874" xr:uid="{00000000-0005-0000-0000-000048190000}"/>
    <cellStyle name="Normal 5 2 5 7 2 2" xfId="42392" xr:uid="{164A3233-0BDE-4DE5-9ADD-EC265DBE5B53}"/>
    <cellStyle name="Normal 5 2 5 7 2 3" xfId="33945" xr:uid="{E1461B10-AA08-42F8-BDBA-90FDAC56E056}"/>
    <cellStyle name="Normal 5 2 5 7 2 4" xfId="25497" xr:uid="{A7A25D9A-5FF4-4D5D-A272-61CB226188EC}"/>
    <cellStyle name="Normal 5 2 5 7 2 5" xfId="16200" xr:uid="{39669BCB-17B2-4574-B701-27F960C0CA03}"/>
    <cellStyle name="Normal 5 2 5 7 3" xfId="38175" xr:uid="{A64F9C90-A2B6-4133-AAF1-EE881D9AE89B}"/>
    <cellStyle name="Normal 5 2 5 7 4" xfId="29727" xr:uid="{09356320-B323-4C3F-8205-711A29F9DEC8}"/>
    <cellStyle name="Normal 5 2 5 7 5" xfId="21280" xr:uid="{035C039D-6851-425C-83A4-8312CE9B10AF}"/>
    <cellStyle name="Normal 5 2 5 7 6" xfId="11983" xr:uid="{A4F94125-14CC-45B0-8136-380ED110D386}"/>
    <cellStyle name="Normal 5 2 5 8" xfId="4809" xr:uid="{00000000-0005-0000-0000-000049190000}"/>
    <cellStyle name="Normal 5 2 5 8 2" xfId="40327" xr:uid="{44E38420-1852-4D4C-8809-D3AC3D18FEFE}"/>
    <cellStyle name="Normal 5 2 5 8 3" xfId="31880" xr:uid="{1A2B3501-861D-408C-9544-AA8AE6F93BDC}"/>
    <cellStyle name="Normal 5 2 5 8 4" xfId="23432" xr:uid="{811BD055-F86B-4DAB-956A-9432A3328F2C}"/>
    <cellStyle name="Normal 5 2 5 8 5" xfId="14135" xr:uid="{00FBD00A-F18C-4133-88B0-54AFCCFB086C}"/>
    <cellStyle name="Normal 5 2 5 9" xfId="8847" xr:uid="{504334B5-BB84-4906-81A5-68746D711AC3}"/>
    <cellStyle name="Normal 5 2 5 9 2" xfId="36110" xr:uid="{07B0B29B-6067-45FA-9E26-692500E6F0BD}"/>
    <cellStyle name="Normal 5 2 5 9 3" xfId="18170" xr:uid="{42A41560-6B71-4770-A025-079535478661}"/>
    <cellStyle name="Normal 5 2 6" xfId="438" xr:uid="{00000000-0005-0000-0000-00004A190000}"/>
    <cellStyle name="Normal 5 2 6 10" xfId="19217" xr:uid="{AD2C5EA5-C190-428E-8EFA-8E7A434414A9}"/>
    <cellStyle name="Normal 5 2 6 11" xfId="9920" xr:uid="{D9FDC4D7-2182-49A2-992A-C17FE71DE726}"/>
    <cellStyle name="Normal 5 2 6 2" xfId="912" xr:uid="{00000000-0005-0000-0000-00004B190000}"/>
    <cellStyle name="Normal 5 2 6 2 2" xfId="3147" xr:uid="{00000000-0005-0000-0000-00004C190000}"/>
    <cellStyle name="Normal 5 2 6 2 2 2" xfId="7369" xr:uid="{00000000-0005-0000-0000-00004D190000}"/>
    <cellStyle name="Normal 5 2 6 2 2 2 2" xfId="42887" xr:uid="{229FE4C2-E660-4CBF-93E1-04E0BA44C531}"/>
    <cellStyle name="Normal 5 2 6 2 2 2 3" xfId="34440" xr:uid="{6F8FB7CC-2E92-4601-AFD3-6952C944F4C7}"/>
    <cellStyle name="Normal 5 2 6 2 2 2 4" xfId="25992" xr:uid="{90B18F86-6BE7-44EE-A9EC-7D2EF2331896}"/>
    <cellStyle name="Normal 5 2 6 2 2 2 5" xfId="16695" xr:uid="{B8D96FAC-0C32-4CB4-AACE-BB90E6376A87}"/>
    <cellStyle name="Normal 5 2 6 2 2 3" xfId="38670" xr:uid="{EC153D59-8746-4A2F-A3AD-AE1B81506F29}"/>
    <cellStyle name="Normal 5 2 6 2 2 4" xfId="30222" xr:uid="{02282E76-08C8-41F7-8CC9-AEBA59AFEC75}"/>
    <cellStyle name="Normal 5 2 6 2 2 5" xfId="21775" xr:uid="{AE245B05-4DFE-44CD-B047-3D4515D2FA82}"/>
    <cellStyle name="Normal 5 2 6 2 2 6" xfId="12478" xr:uid="{E7E6DD3F-1063-40F3-A49F-CE687812D554}"/>
    <cellStyle name="Normal 5 2 6 2 3" xfId="5224" xr:uid="{00000000-0005-0000-0000-00004E190000}"/>
    <cellStyle name="Normal 5 2 6 2 3 2" xfId="40742" xr:uid="{D1855589-49ED-4885-A3BD-734EBE32E9EA}"/>
    <cellStyle name="Normal 5 2 6 2 3 3" xfId="32295" xr:uid="{5BA10D0B-88C7-41C3-9156-5815B4DD4D42}"/>
    <cellStyle name="Normal 5 2 6 2 3 4" xfId="23847" xr:uid="{3922FC1D-FDBB-45FF-85D2-78E3E8AB2AA6}"/>
    <cellStyle name="Normal 5 2 6 2 3 5" xfId="14550" xr:uid="{8125652C-5068-49D8-8FC5-3A55028B3004}"/>
    <cellStyle name="Normal 5 2 6 2 4" xfId="9388" xr:uid="{38BE55A5-085B-499D-8766-DF826B77D03C}"/>
    <cellStyle name="Normal 5 2 6 2 4 2" xfId="36525" xr:uid="{62305825-B4C8-4DEA-99D4-1E1E54F6128C}"/>
    <cellStyle name="Normal 5 2 6 2 4 3" xfId="18701" xr:uid="{61563C47-9F26-4387-81BA-412D707AE4E8}"/>
    <cellStyle name="Normal 5 2 6 2 5" xfId="28077" xr:uid="{C7EFDC59-A00B-4B87-9C60-3C75A6C73D57}"/>
    <cellStyle name="Normal 5 2 6 2 6" xfId="19630" xr:uid="{5DEDB568-0E92-4E4E-8D74-6F91F848F8C2}"/>
    <cellStyle name="Normal 5 2 6 2 7" xfId="10333" xr:uid="{27D62919-F460-4A4E-A9F3-C0A39D3855A5}"/>
    <cellStyle name="Normal 5 2 6 3" xfId="1330" xr:uid="{00000000-0005-0000-0000-00004F190000}"/>
    <cellStyle name="Normal 5 2 6 3 2" xfId="3560" xr:uid="{00000000-0005-0000-0000-000050190000}"/>
    <cellStyle name="Normal 5 2 6 3 2 2" xfId="7782" xr:uid="{00000000-0005-0000-0000-000051190000}"/>
    <cellStyle name="Normal 5 2 6 3 2 2 2" xfId="43300" xr:uid="{442A4F80-2E57-456E-B9D8-B7B6E3D70EAA}"/>
    <cellStyle name="Normal 5 2 6 3 2 2 3" xfId="34853" xr:uid="{1E3EDFE3-0A96-463E-9E48-53C62380CBF4}"/>
    <cellStyle name="Normal 5 2 6 3 2 2 4" xfId="26405" xr:uid="{27F23AB6-96D7-474B-A263-136DC6EF5BCC}"/>
    <cellStyle name="Normal 5 2 6 3 2 2 5" xfId="17108" xr:uid="{17CCE50C-6CE1-4DEE-A184-5591D3F7615E}"/>
    <cellStyle name="Normal 5 2 6 3 2 3" xfId="39083" xr:uid="{2A6BDDF3-BEFF-4423-9615-DFB14DC3E225}"/>
    <cellStyle name="Normal 5 2 6 3 2 4" xfId="30635" xr:uid="{F52A89AA-A05C-4124-84D7-09551DC4344F}"/>
    <cellStyle name="Normal 5 2 6 3 2 5" xfId="22188" xr:uid="{A48A23BE-FCFA-46F8-A76B-98535A266828}"/>
    <cellStyle name="Normal 5 2 6 3 2 6" xfId="12891" xr:uid="{F06FD476-8199-4B95-B5A5-5FB35C0D38CB}"/>
    <cellStyle name="Normal 5 2 6 3 3" xfId="5637" xr:uid="{00000000-0005-0000-0000-000052190000}"/>
    <cellStyle name="Normal 5 2 6 3 3 2" xfId="41155" xr:uid="{CE050F6C-4E74-404E-A152-2819C3E05C5A}"/>
    <cellStyle name="Normal 5 2 6 3 3 3" xfId="32708" xr:uid="{AEE95B62-7D59-487F-ADCE-3E644D5538B5}"/>
    <cellStyle name="Normal 5 2 6 3 3 4" xfId="24260" xr:uid="{A8663386-3731-4615-9DA0-5454A624492B}"/>
    <cellStyle name="Normal 5 2 6 3 3 5" xfId="14963" xr:uid="{9E2D2E71-17BB-4F26-9584-D7F0E30B5A68}"/>
    <cellStyle name="Normal 5 2 6 3 4" xfId="36938" xr:uid="{F8182938-996F-4683-A17C-8407709FB02D}"/>
    <cellStyle name="Normal 5 2 6 3 5" xfId="28490" xr:uid="{6AC63176-480D-41D0-A48B-188D2C736889}"/>
    <cellStyle name="Normal 5 2 6 3 6" xfId="20043" xr:uid="{C54933F1-FEB9-4875-8878-F9A6ECE528DB}"/>
    <cellStyle name="Normal 5 2 6 3 7" xfId="10746" xr:uid="{BBC53D46-252C-461C-A16D-4B046BF721F9}"/>
    <cellStyle name="Normal 5 2 6 4" xfId="1743" xr:uid="{00000000-0005-0000-0000-000053190000}"/>
    <cellStyle name="Normal 5 2 6 4 2" xfId="3973" xr:uid="{00000000-0005-0000-0000-000054190000}"/>
    <cellStyle name="Normal 5 2 6 4 2 2" xfId="8195" xr:uid="{00000000-0005-0000-0000-000055190000}"/>
    <cellStyle name="Normal 5 2 6 4 2 2 2" xfId="43713" xr:uid="{0625E11A-AF05-4A7D-BFEC-4FD25AA7121A}"/>
    <cellStyle name="Normal 5 2 6 4 2 2 3" xfId="35266" xr:uid="{D1B30B32-DF2F-40BF-805A-D8310D552577}"/>
    <cellStyle name="Normal 5 2 6 4 2 2 4" xfId="26818" xr:uid="{C93AA975-5147-4A35-9D26-C5820F52879B}"/>
    <cellStyle name="Normal 5 2 6 4 2 2 5" xfId="17521" xr:uid="{58FB7840-0FB1-4C8B-BD65-EE80DE7F8168}"/>
    <cellStyle name="Normal 5 2 6 4 2 3" xfId="39496" xr:uid="{963728BC-B3C4-40AF-9865-759A93415CBD}"/>
    <cellStyle name="Normal 5 2 6 4 2 4" xfId="31048" xr:uid="{884C60A5-B72E-4853-820F-AB2E9F2C4723}"/>
    <cellStyle name="Normal 5 2 6 4 2 5" xfId="22601" xr:uid="{B55ACB56-341E-4E45-B5EE-0FC7439C6042}"/>
    <cellStyle name="Normal 5 2 6 4 2 6" xfId="13304" xr:uid="{143F7958-FF15-4E13-8F0A-2ADF6B0367E6}"/>
    <cellStyle name="Normal 5 2 6 4 3" xfId="6050" xr:uid="{00000000-0005-0000-0000-000056190000}"/>
    <cellStyle name="Normal 5 2 6 4 3 2" xfId="41568" xr:uid="{F387D923-7A12-42CA-B800-99A2E3A3343E}"/>
    <cellStyle name="Normal 5 2 6 4 3 3" xfId="33121" xr:uid="{66D22A10-078B-4CBC-AB06-606B3C9DFA59}"/>
    <cellStyle name="Normal 5 2 6 4 3 4" xfId="24673" xr:uid="{13DEB56F-B89B-4314-91D8-4EA2B3271216}"/>
    <cellStyle name="Normal 5 2 6 4 3 5" xfId="15376" xr:uid="{58623C5C-2764-4A49-A547-3A8654FE4FE8}"/>
    <cellStyle name="Normal 5 2 6 4 4" xfId="37351" xr:uid="{408F0246-C9E9-4368-807B-EB3BD8137972}"/>
    <cellStyle name="Normal 5 2 6 4 5" xfId="28903" xr:uid="{C96423FC-D604-4791-A157-5CC3BD1301E1}"/>
    <cellStyle name="Normal 5 2 6 4 6" xfId="20456" xr:uid="{430EB299-9DE2-4D94-B267-203CD9FA83F1}"/>
    <cellStyle name="Normal 5 2 6 4 7" xfId="11159" xr:uid="{30307631-5419-48E0-A8AC-135901EFF110}"/>
    <cellStyle name="Normal 5 2 6 5" xfId="2157" xr:uid="{00000000-0005-0000-0000-000057190000}"/>
    <cellStyle name="Normal 5 2 6 5 2" xfId="4386" xr:uid="{00000000-0005-0000-0000-000058190000}"/>
    <cellStyle name="Normal 5 2 6 5 2 2" xfId="8608" xr:uid="{00000000-0005-0000-0000-000059190000}"/>
    <cellStyle name="Normal 5 2 6 5 2 2 2" xfId="44126" xr:uid="{FC16F065-2A88-451C-A05E-1EA713F5BDDB}"/>
    <cellStyle name="Normal 5 2 6 5 2 2 3" xfId="35679" xr:uid="{DCF55366-D9C8-42FF-98ED-93DB23DA7931}"/>
    <cellStyle name="Normal 5 2 6 5 2 2 4" xfId="27231" xr:uid="{FF24BC2B-4272-4056-9020-4BE219E22212}"/>
    <cellStyle name="Normal 5 2 6 5 2 2 5" xfId="17934" xr:uid="{29749307-2AB0-4C71-BE8B-A6953568C6EA}"/>
    <cellStyle name="Normal 5 2 6 5 2 3" xfId="39909" xr:uid="{1BB1DD41-3253-4259-A878-CEA7CE486B08}"/>
    <cellStyle name="Normal 5 2 6 5 2 4" xfId="31461" xr:uid="{DA9771D8-D5C3-4927-B190-8630F6FBF3A5}"/>
    <cellStyle name="Normal 5 2 6 5 2 5" xfId="23014" xr:uid="{EA973F79-2AF1-4D64-BD13-53206A5D17C7}"/>
    <cellStyle name="Normal 5 2 6 5 2 6" xfId="13717" xr:uid="{4BFB6298-195A-438A-B12D-13BAD9ADABF4}"/>
    <cellStyle name="Normal 5 2 6 5 3" xfId="6463" xr:uid="{00000000-0005-0000-0000-00005A190000}"/>
    <cellStyle name="Normal 5 2 6 5 3 2" xfId="41981" xr:uid="{B365373A-07B4-42D5-8373-9B658B8AA6F4}"/>
    <cellStyle name="Normal 5 2 6 5 3 3" xfId="33534" xr:uid="{0D7191F8-9099-4958-8C47-2BAF5024C5FB}"/>
    <cellStyle name="Normal 5 2 6 5 3 4" xfId="25086" xr:uid="{9AEF4BC0-8883-4E66-9CD5-433029798446}"/>
    <cellStyle name="Normal 5 2 6 5 3 5" xfId="15789" xr:uid="{D5F14A71-E9BA-4D47-9D8A-1A35A4135F74}"/>
    <cellStyle name="Normal 5 2 6 5 4" xfId="37764" xr:uid="{D34CAB9C-5300-45D1-9BA0-2B216DA68BF8}"/>
    <cellStyle name="Normal 5 2 6 5 5" xfId="29316" xr:uid="{0ED3D6C1-CF45-47AB-AC49-DF3FF923A5DC}"/>
    <cellStyle name="Normal 5 2 6 5 6" xfId="20869" xr:uid="{C280488D-5AEB-4DCA-9D23-C381C8CF4375}"/>
    <cellStyle name="Normal 5 2 6 5 7" xfId="11572" xr:uid="{0D6F0B30-9411-417B-89A5-037D00E4ECF9}"/>
    <cellStyle name="Normal 5 2 6 6" xfId="2593" xr:uid="{00000000-0005-0000-0000-00005B190000}"/>
    <cellStyle name="Normal 5 2 6 6 2" xfId="6876" xr:uid="{00000000-0005-0000-0000-00005C190000}"/>
    <cellStyle name="Normal 5 2 6 6 2 2" xfId="42394" xr:uid="{2F6C4051-FB67-465A-9774-F6FEE0B194D3}"/>
    <cellStyle name="Normal 5 2 6 6 2 3" xfId="33947" xr:uid="{30EE3177-22EA-4603-A7A2-EC06C8F033D8}"/>
    <cellStyle name="Normal 5 2 6 6 2 4" xfId="25499" xr:uid="{435C3477-C3DC-455C-9C08-3D6A52003264}"/>
    <cellStyle name="Normal 5 2 6 6 2 5" xfId="16202" xr:uid="{DEED7665-C4E3-4488-AD93-4CEB9F4D1179}"/>
    <cellStyle name="Normal 5 2 6 6 3" xfId="38177" xr:uid="{55AA07E5-FD34-49DD-BA9E-B7F6B01DC01E}"/>
    <cellStyle name="Normal 5 2 6 6 4" xfId="29729" xr:uid="{95AD26E8-9D00-4180-A99B-70091919BC97}"/>
    <cellStyle name="Normal 5 2 6 6 5" xfId="21282" xr:uid="{647B87E4-BB72-480E-9247-3830E281C82C}"/>
    <cellStyle name="Normal 5 2 6 6 6" xfId="11985" xr:uid="{012BB137-F7A9-4626-9AE9-A1F58D28A7B7}"/>
    <cellStyle name="Normal 5 2 6 7" xfId="4811" xr:uid="{00000000-0005-0000-0000-00005D190000}"/>
    <cellStyle name="Normal 5 2 6 7 2" xfId="40329" xr:uid="{E67E8194-32FE-49EF-9208-1BD7883C2EA3}"/>
    <cellStyle name="Normal 5 2 6 7 3" xfId="31882" xr:uid="{0603BE9C-7218-4334-B818-529A7E3C20D0}"/>
    <cellStyle name="Normal 5 2 6 7 4" xfId="23434" xr:uid="{F464CE98-756B-45B4-81CB-A609842D33B5}"/>
    <cellStyle name="Normal 5 2 6 7 5" xfId="14137" xr:uid="{80BE7CF0-B237-4F35-BFFC-4A11859450D8}"/>
    <cellStyle name="Normal 5 2 6 8" xfId="8963" xr:uid="{01BDB756-0B70-4C0D-AC32-9959EE0C8F11}"/>
    <cellStyle name="Normal 5 2 6 8 2" xfId="36112" xr:uid="{A028AB1B-EC81-4050-974A-F600E0772925}"/>
    <cellStyle name="Normal 5 2 6 8 3" xfId="18286" xr:uid="{100436DC-A1AA-45F2-B23B-25000C1F67E4}"/>
    <cellStyle name="Normal 5 2 6 9" xfId="27664" xr:uid="{29A02D6C-9B38-436D-BDC4-1020B8616921}"/>
    <cellStyle name="Normal 5 2 7" xfId="881" xr:uid="{00000000-0005-0000-0000-00005E190000}"/>
    <cellStyle name="Normal 5 2 7 2" xfId="3116" xr:uid="{00000000-0005-0000-0000-00005F190000}"/>
    <cellStyle name="Normal 5 2 7 2 2" xfId="7338" xr:uid="{00000000-0005-0000-0000-000060190000}"/>
    <cellStyle name="Normal 5 2 7 2 2 2" xfId="42856" xr:uid="{0E3A1581-A62B-4E0D-9D70-42CAEB46EC10}"/>
    <cellStyle name="Normal 5 2 7 2 2 3" xfId="34409" xr:uid="{C5993041-E026-4023-8CA0-C3733F204B24}"/>
    <cellStyle name="Normal 5 2 7 2 2 4" xfId="25961" xr:uid="{8CC63A38-6D51-4E0F-B6F0-D144A33DCA85}"/>
    <cellStyle name="Normal 5 2 7 2 2 5" xfId="16664" xr:uid="{9FA83256-7C8F-44D2-8F86-78BBC8BBEBC8}"/>
    <cellStyle name="Normal 5 2 7 2 3" xfId="38639" xr:uid="{E4A468FB-15E3-4669-A237-5DCB92544E95}"/>
    <cellStyle name="Normal 5 2 7 2 4" xfId="30191" xr:uid="{0A39DEB9-2646-49BB-9041-A8033246D1E7}"/>
    <cellStyle name="Normal 5 2 7 2 5" xfId="21744" xr:uid="{EA7AE358-B952-4B8B-B38E-059D6C106DC8}"/>
    <cellStyle name="Normal 5 2 7 2 6" xfId="12447" xr:uid="{20D829E7-07F2-472E-8B40-7315578C4D34}"/>
    <cellStyle name="Normal 5 2 7 3" xfId="5193" xr:uid="{00000000-0005-0000-0000-000061190000}"/>
    <cellStyle name="Normal 5 2 7 3 2" xfId="40711" xr:uid="{1C5BD773-67F0-439B-97DC-6F657767AA98}"/>
    <cellStyle name="Normal 5 2 7 3 3" xfId="32264" xr:uid="{9CC05C0B-E3B1-4A3D-87E9-7F99AFF03D38}"/>
    <cellStyle name="Normal 5 2 7 3 4" xfId="23816" xr:uid="{6045DA9D-CB38-4C62-AC92-BAF0B4BCC030}"/>
    <cellStyle name="Normal 5 2 7 3 5" xfId="14519" xr:uid="{F32EB7C5-3B15-474E-874C-A570A4787027}"/>
    <cellStyle name="Normal 5 2 7 4" xfId="9166" xr:uid="{903BB692-5043-4803-B109-F7C532EB2A09}"/>
    <cellStyle name="Normal 5 2 7 4 2" xfId="36494" xr:uid="{4A56C8BA-B187-4CBC-9A12-05AFA4DB058D}"/>
    <cellStyle name="Normal 5 2 7 4 3" xfId="18482" xr:uid="{A63017FB-5439-4D5D-A561-4CE833C409A1}"/>
    <cellStyle name="Normal 5 2 7 5" xfId="28046" xr:uid="{6131B333-E26A-408C-92BC-B78E7A190728}"/>
    <cellStyle name="Normal 5 2 7 6" xfId="19599" xr:uid="{44FEA675-B0E2-4926-AD70-648A73E66E7C}"/>
    <cellStyle name="Normal 5 2 7 7" xfId="10302" xr:uid="{225C1C7D-21C9-410A-B4E5-0A1327619DFC}"/>
    <cellStyle name="Normal 5 2 8" xfId="1299" xr:uid="{00000000-0005-0000-0000-000062190000}"/>
    <cellStyle name="Normal 5 2 8 2" xfId="3529" xr:uid="{00000000-0005-0000-0000-000063190000}"/>
    <cellStyle name="Normal 5 2 8 2 2" xfId="7751" xr:uid="{00000000-0005-0000-0000-000064190000}"/>
    <cellStyle name="Normal 5 2 8 2 2 2" xfId="43269" xr:uid="{3F9CC54B-DED0-475B-8E25-3FDAC674AC7C}"/>
    <cellStyle name="Normal 5 2 8 2 2 3" xfId="34822" xr:uid="{6B0B8EA7-93DA-40CD-9C59-2C3C0AB7DA21}"/>
    <cellStyle name="Normal 5 2 8 2 2 4" xfId="26374" xr:uid="{D1DF50C3-8BA2-4256-87BF-7D7ED0EDBB79}"/>
    <cellStyle name="Normal 5 2 8 2 2 5" xfId="17077" xr:uid="{3751177D-C62E-4231-82F7-94003F2C1272}"/>
    <cellStyle name="Normal 5 2 8 2 3" xfId="39052" xr:uid="{632373C8-BA29-4DBA-A51C-6189871F7E55}"/>
    <cellStyle name="Normal 5 2 8 2 4" xfId="30604" xr:uid="{7BB14156-C4C9-4600-9EEE-99D034789B0C}"/>
    <cellStyle name="Normal 5 2 8 2 5" xfId="22157" xr:uid="{BC0A7EAE-3A28-42DB-9C93-688872F1A2EF}"/>
    <cellStyle name="Normal 5 2 8 2 6" xfId="12860" xr:uid="{67FB962A-E3A3-4817-9B22-28761714B935}"/>
    <cellStyle name="Normal 5 2 8 3" xfId="5606" xr:uid="{00000000-0005-0000-0000-000065190000}"/>
    <cellStyle name="Normal 5 2 8 3 2" xfId="41124" xr:uid="{6089F3AE-1054-4116-8388-E657A76B1EFE}"/>
    <cellStyle name="Normal 5 2 8 3 3" xfId="32677" xr:uid="{9ED30FDD-16DA-4351-B3FE-3AF4AFACBBA5}"/>
    <cellStyle name="Normal 5 2 8 3 4" xfId="24229" xr:uid="{982EF350-11FA-42CA-984A-F3B7D653CEB7}"/>
    <cellStyle name="Normal 5 2 8 3 5" xfId="14932" xr:uid="{65E05188-0581-4B4C-8E06-16A137D07D0E}"/>
    <cellStyle name="Normal 5 2 8 4" xfId="36907" xr:uid="{C946F727-2FFA-4F2A-9102-8D5D8C17FCBB}"/>
    <cellStyle name="Normal 5 2 8 5" xfId="28459" xr:uid="{FFCA7507-70DC-42CA-849B-1BCB669A4845}"/>
    <cellStyle name="Normal 5 2 8 6" xfId="20012" xr:uid="{1FBEE80E-94DE-4447-A20D-89DCA193AC35}"/>
    <cellStyle name="Normal 5 2 8 7" xfId="10715" xr:uid="{8DA6CDF4-5EEE-4B61-AB8B-52CBDAA5EAF3}"/>
    <cellStyle name="Normal 5 2 9" xfId="1712" xr:uid="{00000000-0005-0000-0000-000066190000}"/>
    <cellStyle name="Normal 5 2 9 2" xfId="3942" xr:uid="{00000000-0005-0000-0000-000067190000}"/>
    <cellStyle name="Normal 5 2 9 2 2" xfId="8164" xr:uid="{00000000-0005-0000-0000-000068190000}"/>
    <cellStyle name="Normal 5 2 9 2 2 2" xfId="43682" xr:uid="{78EC6AB0-3450-4865-BC2F-DF38CA1EED7C}"/>
    <cellStyle name="Normal 5 2 9 2 2 3" xfId="35235" xr:uid="{D944B3DA-47F6-42EF-9B8D-FB926613E1AB}"/>
    <cellStyle name="Normal 5 2 9 2 2 4" xfId="26787" xr:uid="{5DF331DD-D82B-42C8-8B61-62ABE4E7D1E6}"/>
    <cellStyle name="Normal 5 2 9 2 2 5" xfId="17490" xr:uid="{D6FC61FA-6661-47EF-A348-62F5E4DD639F}"/>
    <cellStyle name="Normal 5 2 9 2 3" xfId="39465" xr:uid="{3AC9BADB-EBEC-46B0-8FB6-302DF43598F2}"/>
    <cellStyle name="Normal 5 2 9 2 4" xfId="31017" xr:uid="{9A5117B2-3186-42CA-A29A-F51D95374942}"/>
    <cellStyle name="Normal 5 2 9 2 5" xfId="22570" xr:uid="{3DFCDD03-FC6E-4B1B-A5E1-8269039577FF}"/>
    <cellStyle name="Normal 5 2 9 2 6" xfId="13273" xr:uid="{B4CE5C4D-743E-411C-B1D9-8854CF56FA13}"/>
    <cellStyle name="Normal 5 2 9 3" xfId="6019" xr:uid="{00000000-0005-0000-0000-000069190000}"/>
    <cellStyle name="Normal 5 2 9 3 2" xfId="41537" xr:uid="{450BF0CF-97F2-4993-A3AC-E73EE43961A0}"/>
    <cellStyle name="Normal 5 2 9 3 3" xfId="33090" xr:uid="{38381CEC-5AEF-423C-89E7-B305A9F70634}"/>
    <cellStyle name="Normal 5 2 9 3 4" xfId="24642" xr:uid="{8DD232A8-82E3-4BE3-B452-A5AE6FBAA922}"/>
    <cellStyle name="Normal 5 2 9 3 5" xfId="15345" xr:uid="{F77C6C00-82E8-4DB9-86D0-AA05F7531541}"/>
    <cellStyle name="Normal 5 2 9 4" xfId="37320" xr:uid="{CD26FBF0-51C3-4D65-9FD1-66FEC3B2E01E}"/>
    <cellStyle name="Normal 5 2 9 5" xfId="28872" xr:uid="{AA42B1B8-D74E-43AA-86EA-CF8E02AB4036}"/>
    <cellStyle name="Normal 5 2 9 6" xfId="20425" xr:uid="{42DC6C74-34AA-4400-B866-00EB2567FF4C}"/>
    <cellStyle name="Normal 5 2 9 7" xfId="11128" xr:uid="{9E252634-20AF-4D1C-99C6-363293786E8A}"/>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44127" xr:uid="{C3F8F2A6-96A5-4118-8F49-DD7FD90535CB}"/>
    <cellStyle name="Normal 5 3 10 2 2 3" xfId="35680" xr:uid="{E104389B-E1D7-4A6B-93A3-74E9AB62CCA8}"/>
    <cellStyle name="Normal 5 3 10 2 2 4" xfId="27232" xr:uid="{0DDB5C1F-1720-47EB-9C72-C66D5E655931}"/>
    <cellStyle name="Normal 5 3 10 2 2 5" xfId="17935" xr:uid="{95959167-6E6F-4F0B-9467-697549E2184E}"/>
    <cellStyle name="Normal 5 3 10 2 3" xfId="39910" xr:uid="{1F20F205-304D-48CA-8E88-12799EF6A92B}"/>
    <cellStyle name="Normal 5 3 10 2 4" xfId="31462" xr:uid="{D685EC92-6403-4E1A-8114-FE988A3FDDC4}"/>
    <cellStyle name="Normal 5 3 10 2 5" xfId="23015" xr:uid="{B92DFF72-5E8C-4515-9D27-7D300F2B0B86}"/>
    <cellStyle name="Normal 5 3 10 2 6" xfId="13718" xr:uid="{6D6BAE01-8499-463F-A2EB-77663FE7D6C1}"/>
    <cellStyle name="Normal 5 3 10 3" xfId="6464" xr:uid="{00000000-0005-0000-0000-00006E190000}"/>
    <cellStyle name="Normal 5 3 10 3 2" xfId="41982" xr:uid="{0104A9F3-33E9-44C5-883E-7A1984223FC9}"/>
    <cellStyle name="Normal 5 3 10 3 3" xfId="33535" xr:uid="{F844AD5E-2BD3-4429-8677-B0C040C869CD}"/>
    <cellStyle name="Normal 5 3 10 3 4" xfId="25087" xr:uid="{45309CDA-3F39-4A2A-AF96-2A18F1629B51}"/>
    <cellStyle name="Normal 5 3 10 3 5" xfId="15790" xr:uid="{37C54FED-92B7-4BB4-82F0-7F549D288710}"/>
    <cellStyle name="Normal 5 3 10 4" xfId="37765" xr:uid="{FF803A4F-1C50-43DB-886C-366596764A79}"/>
    <cellStyle name="Normal 5 3 10 5" xfId="29317" xr:uid="{2492495D-840B-4046-8230-07AD56836347}"/>
    <cellStyle name="Normal 5 3 10 6" xfId="20870" xr:uid="{8E008544-A38A-44BA-B5C8-7A9478642C71}"/>
    <cellStyle name="Normal 5 3 10 7" xfId="11573" xr:uid="{4872D8B5-6092-4145-B91E-6FD7C8D2F86D}"/>
    <cellStyle name="Normal 5 3 11" xfId="2594" xr:uid="{00000000-0005-0000-0000-00006F190000}"/>
    <cellStyle name="Normal 5 3 11 2" xfId="6877" xr:uid="{00000000-0005-0000-0000-000070190000}"/>
    <cellStyle name="Normal 5 3 11 2 2" xfId="42395" xr:uid="{8B78A404-8005-4911-BABB-E5855EA51453}"/>
    <cellStyle name="Normal 5 3 11 2 3" xfId="33948" xr:uid="{1BC144B7-30DC-4FC1-9CE0-D4498741C7A3}"/>
    <cellStyle name="Normal 5 3 11 2 4" xfId="25500" xr:uid="{B2403BC6-8DFB-4DA8-A7C7-34AA8184E1F3}"/>
    <cellStyle name="Normal 5 3 11 2 5" xfId="16203" xr:uid="{92968B49-3EC9-48E7-895D-1EEFB4093127}"/>
    <cellStyle name="Normal 5 3 11 3" xfId="38178" xr:uid="{95E38B25-261E-4BB6-A48C-8EFC72A2DC2A}"/>
    <cellStyle name="Normal 5 3 11 4" xfId="29730" xr:uid="{A731B1D9-B587-429A-BE66-232428264E6E}"/>
    <cellStyle name="Normal 5 3 11 5" xfId="21283" xr:uid="{6E268CBC-BE3B-47ED-8DAB-D999C7E718E3}"/>
    <cellStyle name="Normal 5 3 11 6" xfId="11986" xr:uid="{17F5D891-EB69-4A0C-BC09-B12A3BFC25F9}"/>
    <cellStyle name="Normal 5 3 12" xfId="4812" xr:uid="{00000000-0005-0000-0000-000071190000}"/>
    <cellStyle name="Normal 5 3 12 2" xfId="40330" xr:uid="{3B2E0066-3845-4FBC-BF61-0395C1D190EA}"/>
    <cellStyle name="Normal 5 3 12 3" xfId="31883" xr:uid="{D97DB3F0-1173-43A7-B25B-0224978C50CC}"/>
    <cellStyle name="Normal 5 3 12 4" xfId="23435" xr:uid="{8503AF24-52A7-4590-B257-BADBE8783743}"/>
    <cellStyle name="Normal 5 3 12 5" xfId="14138" xr:uid="{CD73B988-6106-4C85-91AA-118926C316D2}"/>
    <cellStyle name="Normal 5 3 13" xfId="8750" xr:uid="{36957AEF-D081-4A23-AEE3-073A5901863C}"/>
    <cellStyle name="Normal 5 3 13 2" xfId="36113" xr:uid="{3A63D782-6604-462A-80F3-3AABF83D6F4E}"/>
    <cellStyle name="Normal 5 3 13 3" xfId="18073" xr:uid="{C2BAE8DE-8F3E-4AB9-A1D8-F4716F66ADC2}"/>
    <cellStyle name="Normal 5 3 14" xfId="27665" xr:uid="{119A98B8-D955-479A-84A4-1DCC1463829F}"/>
    <cellStyle name="Normal 5 3 15" xfId="19218" xr:uid="{CCA04603-232E-4BDF-9720-87AA6CE74633}"/>
    <cellStyle name="Normal 5 3 16" xfId="9921" xr:uid="{3976E9FA-5AAF-4707-9A5F-859CFABB3455}"/>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40331" xr:uid="{0155CAB9-CDDA-4516-8E85-FAAA530F550A}"/>
    <cellStyle name="Normal 5 3 3 10 3" xfId="31884" xr:uid="{FAE24FF1-DDEB-422C-875C-801F751CC56C}"/>
    <cellStyle name="Normal 5 3 3 10 4" xfId="23436" xr:uid="{F2E22087-94F4-4AAE-B8CE-B5EA7E93BC7A}"/>
    <cellStyle name="Normal 5 3 3 10 5" xfId="14139" xr:uid="{DCACB981-5718-47A0-9AA4-38B85F7DF856}"/>
    <cellStyle name="Normal 5 3 3 11" xfId="8782" xr:uid="{4219AD28-469A-4693-BD0B-B0536AC433E5}"/>
    <cellStyle name="Normal 5 3 3 11 2" xfId="36114" xr:uid="{15CDB491-1CAB-4640-865F-E3249308CA21}"/>
    <cellStyle name="Normal 5 3 3 11 3" xfId="18105" xr:uid="{7D4DC743-91E4-43E7-B310-BC4003195122}"/>
    <cellStyle name="Normal 5 3 3 12" xfId="27666" xr:uid="{807554AF-66CE-4756-AA05-C1AF9532D443}"/>
    <cellStyle name="Normal 5 3 3 13" xfId="19219" xr:uid="{868F94E3-54A3-4246-B440-B1943C735DC6}"/>
    <cellStyle name="Normal 5 3 3 14" xfId="9922" xr:uid="{F9F973C6-6563-44A9-8DA1-86D8EC02F9AF}"/>
    <cellStyle name="Normal 5 3 3 2" xfId="442" xr:uid="{00000000-0005-0000-0000-000076190000}"/>
    <cellStyle name="Normal 5 3 3 2 10" xfId="8832" xr:uid="{03323DDB-E4E1-4078-8BBE-EA3DD4471E1B}"/>
    <cellStyle name="Normal 5 3 3 2 10 2" xfId="36115" xr:uid="{E34C8301-0286-4018-8A94-E0CF5B4194BD}"/>
    <cellStyle name="Normal 5 3 3 2 10 3" xfId="18155" xr:uid="{8BDDA159-4DCA-4449-BB50-0348DA8148E0}"/>
    <cellStyle name="Normal 5 3 3 2 11" xfId="27667" xr:uid="{812D734A-BF13-4803-A411-63F0A65D17A9}"/>
    <cellStyle name="Normal 5 3 3 2 12" xfId="19220" xr:uid="{A507BBE9-4D28-4BEE-897B-ED5C1AA71F10}"/>
    <cellStyle name="Normal 5 3 3 2 13" xfId="9923" xr:uid="{0AEFF3CC-0D25-490D-A5DC-152ABCCD9392}"/>
    <cellStyle name="Normal 5 3 3 2 2" xfId="443" xr:uid="{00000000-0005-0000-0000-000077190000}"/>
    <cellStyle name="Normal 5 3 3 2 2 10" xfId="27668" xr:uid="{E9844430-DCB2-479A-810A-C59EF69824FD}"/>
    <cellStyle name="Normal 5 3 3 2 2 11" xfId="19221" xr:uid="{25FA643A-8C58-42C4-A752-3EAF3A27EAC2}"/>
    <cellStyle name="Normal 5 3 3 2 2 12" xfId="9924" xr:uid="{1415B1B0-D765-483C-928D-A5897192DE9E}"/>
    <cellStyle name="Normal 5 3 3 2 2 2" xfId="444" xr:uid="{00000000-0005-0000-0000-000078190000}"/>
    <cellStyle name="Normal 5 3 3 2 2 2 10" xfId="19222" xr:uid="{9E93B90D-8DED-429E-B4B1-0F5AE908C2BA}"/>
    <cellStyle name="Normal 5 3 3 2 2 2 11" xfId="9925" xr:uid="{2DC2FA00-D0EB-48FF-AB39-DA1719BE4677}"/>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42892" xr:uid="{E0A9CFB7-D91D-4BCD-AC46-49D42DF03C13}"/>
    <cellStyle name="Normal 5 3 3 2 2 2 2 2 2 3" xfId="34445" xr:uid="{4C79F798-4EC4-4581-BAC6-E281F1C53ECF}"/>
    <cellStyle name="Normal 5 3 3 2 2 2 2 2 2 4" xfId="25997" xr:uid="{28276A00-32A5-460A-BDB7-7E1012791852}"/>
    <cellStyle name="Normal 5 3 3 2 2 2 2 2 2 5" xfId="16700" xr:uid="{95C786D2-B417-455B-AFB4-C46ED333B047}"/>
    <cellStyle name="Normal 5 3 3 2 2 2 2 2 3" xfId="38675" xr:uid="{B34C4255-5415-4102-BF03-D18DD3C557ED}"/>
    <cellStyle name="Normal 5 3 3 2 2 2 2 2 4" xfId="30227" xr:uid="{83E44B9F-C905-4DDA-87DB-F730EFC30FF9}"/>
    <cellStyle name="Normal 5 3 3 2 2 2 2 2 5" xfId="21780" xr:uid="{F18E3630-7939-4A64-9BF7-4054616CD1C7}"/>
    <cellStyle name="Normal 5 3 3 2 2 2 2 2 6" xfId="12483" xr:uid="{CDF62B53-BF56-41FA-AD89-D637ADAB1ADE}"/>
    <cellStyle name="Normal 5 3 3 2 2 2 2 3" xfId="5229" xr:uid="{00000000-0005-0000-0000-00007C190000}"/>
    <cellStyle name="Normal 5 3 3 2 2 2 2 3 2" xfId="40747" xr:uid="{7C1B3573-8D8E-4338-A1C8-B6B682F2BE36}"/>
    <cellStyle name="Normal 5 3 3 2 2 2 2 3 3" xfId="32300" xr:uid="{C04F4F30-1AE9-41FD-8607-D63F2EAF3A97}"/>
    <cellStyle name="Normal 5 3 3 2 2 2 2 3 4" xfId="23852" xr:uid="{4F95DA2A-4199-4D46-8B0E-A16CC4D9DD1F}"/>
    <cellStyle name="Normal 5 3 3 2 2 2 2 3 5" xfId="14555" xr:uid="{4D656401-F6EF-4410-87A4-EC28C7391B89}"/>
    <cellStyle name="Normal 5 3 3 2 2 2 2 4" xfId="9567" xr:uid="{C2519486-6BC5-47D1-879F-EC6040BC9E9D}"/>
    <cellStyle name="Normal 5 3 3 2 2 2 2 4 2" xfId="36530" xr:uid="{773C1B3F-5D5F-4092-85C4-D2C7554CAD31}"/>
    <cellStyle name="Normal 5 3 3 2 2 2 2 4 3" xfId="18880" xr:uid="{F6E50998-2F4E-43C0-8927-B38A52EF4D01}"/>
    <cellStyle name="Normal 5 3 3 2 2 2 2 5" xfId="28082" xr:uid="{AE2851A5-E3B7-4B1A-915A-CB047F49D724}"/>
    <cellStyle name="Normal 5 3 3 2 2 2 2 6" xfId="19635" xr:uid="{CC17C163-7183-4DA7-AD05-92862F486D2F}"/>
    <cellStyle name="Normal 5 3 3 2 2 2 2 7" xfId="10338" xr:uid="{8B9E1E05-4E2E-4FE6-9F77-D3EC59C1E3B8}"/>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43305" xr:uid="{EE73E7D9-7BAC-4AD3-918A-F941040F71DC}"/>
    <cellStyle name="Normal 5 3 3 2 2 2 3 2 2 3" xfId="34858" xr:uid="{5F7DC0EE-15E7-4FF9-9EBC-4C8B677FF224}"/>
    <cellStyle name="Normal 5 3 3 2 2 2 3 2 2 4" xfId="26410" xr:uid="{9D6871E0-4C42-43AB-87AE-5756D4A63704}"/>
    <cellStyle name="Normal 5 3 3 2 2 2 3 2 2 5" xfId="17113" xr:uid="{3DEA58A7-15C7-4418-AA4C-63D673B2136D}"/>
    <cellStyle name="Normal 5 3 3 2 2 2 3 2 3" xfId="39088" xr:uid="{D2BB5D7C-F7D7-4EC5-B32E-7E0F617F907D}"/>
    <cellStyle name="Normal 5 3 3 2 2 2 3 2 4" xfId="30640" xr:uid="{53EC57A3-13D0-4F0D-8928-002FE4FF98A7}"/>
    <cellStyle name="Normal 5 3 3 2 2 2 3 2 5" xfId="22193" xr:uid="{CA57A78E-D351-451A-8E26-974FDE91AD73}"/>
    <cellStyle name="Normal 5 3 3 2 2 2 3 2 6" xfId="12896" xr:uid="{A84EEF11-5919-4A5C-B367-9B8DE9CD8542}"/>
    <cellStyle name="Normal 5 3 3 2 2 2 3 3" xfId="5642" xr:uid="{00000000-0005-0000-0000-000080190000}"/>
    <cellStyle name="Normal 5 3 3 2 2 2 3 3 2" xfId="41160" xr:uid="{50498F61-B116-4741-B367-B73EB1686FB2}"/>
    <cellStyle name="Normal 5 3 3 2 2 2 3 3 3" xfId="32713" xr:uid="{0A82981D-F5E1-4840-BEEA-374EDB169564}"/>
    <cellStyle name="Normal 5 3 3 2 2 2 3 3 4" xfId="24265" xr:uid="{B43A4D2E-E0AF-4A15-B79F-FF4D5423DCAC}"/>
    <cellStyle name="Normal 5 3 3 2 2 2 3 3 5" xfId="14968" xr:uid="{6CE95758-4A8A-40BF-A61D-5CAC6FE4D3D2}"/>
    <cellStyle name="Normal 5 3 3 2 2 2 3 4" xfId="36943" xr:uid="{C25F98CE-65C9-4DB8-A220-808D351D6555}"/>
    <cellStyle name="Normal 5 3 3 2 2 2 3 5" xfId="28495" xr:uid="{41A7F688-4945-497D-85E3-D0AF60F4BB41}"/>
    <cellStyle name="Normal 5 3 3 2 2 2 3 6" xfId="20048" xr:uid="{C8C96F06-3159-4B77-942C-1F6C875D6DA1}"/>
    <cellStyle name="Normal 5 3 3 2 2 2 3 7" xfId="10751" xr:uid="{9C814725-96A0-4162-AB34-168DC64515EC}"/>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43718" xr:uid="{E41F0DC4-0A2B-4C52-8EC7-A346B16FD6EC}"/>
    <cellStyle name="Normal 5 3 3 2 2 2 4 2 2 3" xfId="35271" xr:uid="{46B2E9F9-7CFD-424E-987F-020D66209446}"/>
    <cellStyle name="Normal 5 3 3 2 2 2 4 2 2 4" xfId="26823" xr:uid="{CB74E705-194E-45D2-B48D-BE37D81186A1}"/>
    <cellStyle name="Normal 5 3 3 2 2 2 4 2 2 5" xfId="17526" xr:uid="{B72FD28A-8C8D-4D87-A166-106FE4F53AF8}"/>
    <cellStyle name="Normal 5 3 3 2 2 2 4 2 3" xfId="39501" xr:uid="{BEAF6B81-FEB1-448B-96C4-42CEFFC47032}"/>
    <cellStyle name="Normal 5 3 3 2 2 2 4 2 4" xfId="31053" xr:uid="{25DC3B28-522C-47D1-AEEE-A511C2C1EECE}"/>
    <cellStyle name="Normal 5 3 3 2 2 2 4 2 5" xfId="22606" xr:uid="{DD0EC2AF-D45B-4D51-BE74-1950C0DB8AB8}"/>
    <cellStyle name="Normal 5 3 3 2 2 2 4 2 6" xfId="13309" xr:uid="{AA47209A-A247-45B6-96B9-D088CCCFB92E}"/>
    <cellStyle name="Normal 5 3 3 2 2 2 4 3" xfId="6055" xr:uid="{00000000-0005-0000-0000-000084190000}"/>
    <cellStyle name="Normal 5 3 3 2 2 2 4 3 2" xfId="41573" xr:uid="{C7BCDE00-B098-4674-AF4F-E27D57B4E005}"/>
    <cellStyle name="Normal 5 3 3 2 2 2 4 3 3" xfId="33126" xr:uid="{0E0BEF12-0DC0-4C5C-8389-4C88047C914B}"/>
    <cellStyle name="Normal 5 3 3 2 2 2 4 3 4" xfId="24678" xr:uid="{3F4637A7-C76C-4852-ADC3-D8E8C297574E}"/>
    <cellStyle name="Normal 5 3 3 2 2 2 4 3 5" xfId="15381" xr:uid="{F55CB24A-78BE-443A-98EF-B5A260497A65}"/>
    <cellStyle name="Normal 5 3 3 2 2 2 4 4" xfId="37356" xr:uid="{2E82AAE9-60C1-415A-9B4F-37FA5AEB29CB}"/>
    <cellStyle name="Normal 5 3 3 2 2 2 4 5" xfId="28908" xr:uid="{6883ADAF-BA40-4C1A-8849-1D554CCDE7DA}"/>
    <cellStyle name="Normal 5 3 3 2 2 2 4 6" xfId="20461" xr:uid="{B07EF036-70FE-44F1-A730-AD9924348E1F}"/>
    <cellStyle name="Normal 5 3 3 2 2 2 4 7" xfId="11164" xr:uid="{6E7A018D-037D-452D-9596-08120F4438B3}"/>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44131" xr:uid="{D77DD6C0-4D53-4C60-8D6E-7A0280375D84}"/>
    <cellStyle name="Normal 5 3 3 2 2 2 5 2 2 3" xfId="35684" xr:uid="{163C5AFE-9B9E-4D59-9EE0-C242D446AF62}"/>
    <cellStyle name="Normal 5 3 3 2 2 2 5 2 2 4" xfId="27236" xr:uid="{7C2C9A86-CFF7-4ED7-BAC8-3B47177D1A4C}"/>
    <cellStyle name="Normal 5 3 3 2 2 2 5 2 2 5" xfId="17939" xr:uid="{9C4B8B14-4003-4BEF-B490-E559B7148204}"/>
    <cellStyle name="Normal 5 3 3 2 2 2 5 2 3" xfId="39914" xr:uid="{134A8612-CFC7-4E09-8D9E-E3DD761D2D3D}"/>
    <cellStyle name="Normal 5 3 3 2 2 2 5 2 4" xfId="31466" xr:uid="{EF667F38-BD51-4211-A95D-DCB2A38011EE}"/>
    <cellStyle name="Normal 5 3 3 2 2 2 5 2 5" xfId="23019" xr:uid="{19788DE9-A6E0-4D2E-8A1C-F13F679FC0B6}"/>
    <cellStyle name="Normal 5 3 3 2 2 2 5 2 6" xfId="13722" xr:uid="{69E2C740-E9EA-4DB2-91DF-6CCD09292DE3}"/>
    <cellStyle name="Normal 5 3 3 2 2 2 5 3" xfId="6468" xr:uid="{00000000-0005-0000-0000-000088190000}"/>
    <cellStyle name="Normal 5 3 3 2 2 2 5 3 2" xfId="41986" xr:uid="{5ADD0CCA-DDA8-450E-9F60-D1C318FA3C7B}"/>
    <cellStyle name="Normal 5 3 3 2 2 2 5 3 3" xfId="33539" xr:uid="{CB0EC237-27BA-4701-9533-1C820FA89088}"/>
    <cellStyle name="Normal 5 3 3 2 2 2 5 3 4" xfId="25091" xr:uid="{0339F7F3-9BAD-4854-B923-31D61D146B32}"/>
    <cellStyle name="Normal 5 3 3 2 2 2 5 3 5" xfId="15794" xr:uid="{A04F9FD8-9749-43BF-81ED-6144311B632C}"/>
    <cellStyle name="Normal 5 3 3 2 2 2 5 4" xfId="37769" xr:uid="{D66DBA51-07CF-42B5-B0A6-CF770B23BD2D}"/>
    <cellStyle name="Normal 5 3 3 2 2 2 5 5" xfId="29321" xr:uid="{1FF308B5-0C72-4360-828E-52A6259521CE}"/>
    <cellStyle name="Normal 5 3 3 2 2 2 5 6" xfId="20874" xr:uid="{08CA5017-0A9E-48A3-9052-F360B50E5843}"/>
    <cellStyle name="Normal 5 3 3 2 2 2 5 7" xfId="11577" xr:uid="{7C4B5BD3-3149-4232-9441-CB8AF5C79C4B}"/>
    <cellStyle name="Normal 5 3 3 2 2 2 6" xfId="2598" xr:uid="{00000000-0005-0000-0000-000089190000}"/>
    <cellStyle name="Normal 5 3 3 2 2 2 6 2" xfId="6881" xr:uid="{00000000-0005-0000-0000-00008A190000}"/>
    <cellStyle name="Normal 5 3 3 2 2 2 6 2 2" xfId="42399" xr:uid="{C2502D6F-458F-447B-8A2D-CC498B4B0ACC}"/>
    <cellStyle name="Normal 5 3 3 2 2 2 6 2 3" xfId="33952" xr:uid="{30B23EE2-746A-4B9A-A95B-4306D60E65A9}"/>
    <cellStyle name="Normal 5 3 3 2 2 2 6 2 4" xfId="25504" xr:uid="{8577219C-C975-4E14-9410-42C8F7DE4718}"/>
    <cellStyle name="Normal 5 3 3 2 2 2 6 2 5" xfId="16207" xr:uid="{88369397-3736-48FF-96DF-F08A853C5338}"/>
    <cellStyle name="Normal 5 3 3 2 2 2 6 3" xfId="38182" xr:uid="{C28C1AC2-CF48-4D96-AE19-2273EDD52336}"/>
    <cellStyle name="Normal 5 3 3 2 2 2 6 4" xfId="29734" xr:uid="{F6EFEA2F-1639-4161-9600-883D0B3B9702}"/>
    <cellStyle name="Normal 5 3 3 2 2 2 6 5" xfId="21287" xr:uid="{F206637B-A5C5-4CC7-8CC2-E246842DC52D}"/>
    <cellStyle name="Normal 5 3 3 2 2 2 6 6" xfId="11990" xr:uid="{E57BF6AE-A066-40A5-A158-B50B31E244DB}"/>
    <cellStyle name="Normal 5 3 3 2 2 2 7" xfId="4816" xr:uid="{00000000-0005-0000-0000-00008B190000}"/>
    <cellStyle name="Normal 5 3 3 2 2 2 7 2" xfId="40334" xr:uid="{87A6BBC2-2222-4E57-AB2A-3626802A267A}"/>
    <cellStyle name="Normal 5 3 3 2 2 2 7 3" xfId="31887" xr:uid="{C76007A1-7602-4432-852B-E5CCA65DA883}"/>
    <cellStyle name="Normal 5 3 3 2 2 2 7 4" xfId="23439" xr:uid="{F3C3BD36-13FB-48E1-8EBE-DED65ED7C4DE}"/>
    <cellStyle name="Normal 5 3 3 2 2 2 7 5" xfId="14142" xr:uid="{91A3B52C-F516-4E8D-87EB-D4EF22622599}"/>
    <cellStyle name="Normal 5 3 3 2 2 2 8" xfId="9142" xr:uid="{81CF9711-3A0B-4712-8E8F-033C974AA9E3}"/>
    <cellStyle name="Normal 5 3 3 2 2 2 8 2" xfId="36117" xr:uid="{41B13B70-EFCA-4E35-80FA-B802F553C07D}"/>
    <cellStyle name="Normal 5 3 3 2 2 2 8 3" xfId="18465" xr:uid="{B491D540-16DF-4CB9-AAFE-A5AB6BD1EF7F}"/>
    <cellStyle name="Normal 5 3 3 2 2 2 9" xfId="27669" xr:uid="{EEEFBBB1-DC0C-4FDF-8B89-373A48061304}"/>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42891" xr:uid="{B6566338-240E-4834-8931-315A72564676}"/>
    <cellStyle name="Normal 5 3 3 2 2 3 2 2 3" xfId="34444" xr:uid="{7277B889-A2D7-495A-A613-9FBA20D52B27}"/>
    <cellStyle name="Normal 5 3 3 2 2 3 2 2 4" xfId="25996" xr:uid="{16524BB4-B4E3-453A-A7C1-CB7C28CBCA8A}"/>
    <cellStyle name="Normal 5 3 3 2 2 3 2 2 5" xfId="16699" xr:uid="{78370F94-56E0-40E8-9AA6-4B48DA6F23FA}"/>
    <cellStyle name="Normal 5 3 3 2 2 3 2 3" xfId="38674" xr:uid="{CA01531D-9B52-4C6B-BDCD-F17D5A0F82FB}"/>
    <cellStyle name="Normal 5 3 3 2 2 3 2 4" xfId="30226" xr:uid="{23D22CA1-8E21-4E49-95EC-FA38018D2CAE}"/>
    <cellStyle name="Normal 5 3 3 2 2 3 2 5" xfId="21779" xr:uid="{C797B340-03CB-4C2A-9F4E-F4C095979597}"/>
    <cellStyle name="Normal 5 3 3 2 2 3 2 6" xfId="12482" xr:uid="{2017282D-BA72-488E-8C70-F2C724FB9A97}"/>
    <cellStyle name="Normal 5 3 3 2 2 3 3" xfId="5228" xr:uid="{00000000-0005-0000-0000-00008F190000}"/>
    <cellStyle name="Normal 5 3 3 2 2 3 3 2" xfId="40746" xr:uid="{AF978DF5-3181-4282-BB07-04F859676050}"/>
    <cellStyle name="Normal 5 3 3 2 2 3 3 3" xfId="32299" xr:uid="{B0F51562-9845-4414-BBC2-9AD2B0603875}"/>
    <cellStyle name="Normal 5 3 3 2 2 3 3 4" xfId="23851" xr:uid="{84B2ED00-80DC-4AAA-BCE3-4289AFC0720A}"/>
    <cellStyle name="Normal 5 3 3 2 2 3 3 5" xfId="14554" xr:uid="{A79173B0-871A-48EB-BD8E-ED173A6EC150}"/>
    <cellStyle name="Normal 5 3 3 2 2 3 4" xfId="9360" xr:uid="{07447062-3C9B-4A41-BE9D-50DE495FF588}"/>
    <cellStyle name="Normal 5 3 3 2 2 3 4 2" xfId="36529" xr:uid="{85E87BBF-8450-46BE-AA0F-3BB2747DC114}"/>
    <cellStyle name="Normal 5 3 3 2 2 3 4 3" xfId="18673" xr:uid="{127B6A9C-7C14-44A2-9B00-F1A675BBB703}"/>
    <cellStyle name="Normal 5 3 3 2 2 3 5" xfId="28081" xr:uid="{618E83EE-4BD7-45C3-AA50-39B57FDFDD55}"/>
    <cellStyle name="Normal 5 3 3 2 2 3 6" xfId="19634" xr:uid="{09B9BC8D-4C59-4BE0-9A62-A13AD644A176}"/>
    <cellStyle name="Normal 5 3 3 2 2 3 7" xfId="10337" xr:uid="{611253A2-D65B-43A5-8D6B-059A7432D0D7}"/>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43304" xr:uid="{77552157-9F4C-4ADA-9EF1-2AB3FC3C3AD0}"/>
    <cellStyle name="Normal 5 3 3 2 2 4 2 2 3" xfId="34857" xr:uid="{BA941EDA-5674-4434-954B-D33D78659BC0}"/>
    <cellStyle name="Normal 5 3 3 2 2 4 2 2 4" xfId="26409" xr:uid="{3386E66B-A63F-4DBD-9DCC-61DFB51D1588}"/>
    <cellStyle name="Normal 5 3 3 2 2 4 2 2 5" xfId="17112" xr:uid="{1598E826-4CFF-47F2-A3D4-1DCE66C2A416}"/>
    <cellStyle name="Normal 5 3 3 2 2 4 2 3" xfId="39087" xr:uid="{E9D424F8-BBF9-4797-BBB9-626A41724DFE}"/>
    <cellStyle name="Normal 5 3 3 2 2 4 2 4" xfId="30639" xr:uid="{3FE0E1FF-6406-40FF-A63A-BD1FB0606368}"/>
    <cellStyle name="Normal 5 3 3 2 2 4 2 5" xfId="22192" xr:uid="{D3FDDD8B-F1DF-4A34-8166-7BA72A182819}"/>
    <cellStyle name="Normal 5 3 3 2 2 4 2 6" xfId="12895" xr:uid="{392E0533-11B0-45C4-83F9-D6A68316CB5B}"/>
    <cellStyle name="Normal 5 3 3 2 2 4 3" xfId="5641" xr:uid="{00000000-0005-0000-0000-000093190000}"/>
    <cellStyle name="Normal 5 3 3 2 2 4 3 2" xfId="41159" xr:uid="{5260070A-1156-4BD9-9B43-8243D48EA1F5}"/>
    <cellStyle name="Normal 5 3 3 2 2 4 3 3" xfId="32712" xr:uid="{A4BA310F-63E8-4D8C-ADE6-5EEC6F41278A}"/>
    <cellStyle name="Normal 5 3 3 2 2 4 3 4" xfId="24264" xr:uid="{28057A5B-4008-439C-904B-2D68A85AD76D}"/>
    <cellStyle name="Normal 5 3 3 2 2 4 3 5" xfId="14967" xr:uid="{09113A38-3614-45C7-B952-5B38BB0041F1}"/>
    <cellStyle name="Normal 5 3 3 2 2 4 4" xfId="36942" xr:uid="{94C1B052-F5DE-4398-A34C-339A7D49A93F}"/>
    <cellStyle name="Normal 5 3 3 2 2 4 5" xfId="28494" xr:uid="{2EFEC762-5814-4901-A1AA-9C0289886B0D}"/>
    <cellStyle name="Normal 5 3 3 2 2 4 6" xfId="20047" xr:uid="{ED780460-45B6-4E6E-8097-34EAFF79A0B7}"/>
    <cellStyle name="Normal 5 3 3 2 2 4 7" xfId="10750" xr:uid="{078CFFD7-E5C9-48D4-B32C-CF76233EE19A}"/>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43717" xr:uid="{F3F10E77-7FAC-4D50-A92B-177B2DD1BE33}"/>
    <cellStyle name="Normal 5 3 3 2 2 5 2 2 3" xfId="35270" xr:uid="{506DADB9-1D27-44A6-AB0F-1ED4ED2A45A2}"/>
    <cellStyle name="Normal 5 3 3 2 2 5 2 2 4" xfId="26822" xr:uid="{2734A066-7D43-46DD-8604-C864E5E1ACA5}"/>
    <cellStyle name="Normal 5 3 3 2 2 5 2 2 5" xfId="17525" xr:uid="{6A858B5C-F480-45FD-9B03-4F1216984CE7}"/>
    <cellStyle name="Normal 5 3 3 2 2 5 2 3" xfId="39500" xr:uid="{A8467F67-7856-4CD6-BC3F-D38A6FBEFE1C}"/>
    <cellStyle name="Normal 5 3 3 2 2 5 2 4" xfId="31052" xr:uid="{6FE8C868-7A0A-49C4-B1C5-E42A7F77794E}"/>
    <cellStyle name="Normal 5 3 3 2 2 5 2 5" xfId="22605" xr:uid="{9F335A53-5C86-49DC-9767-56C905C72627}"/>
    <cellStyle name="Normal 5 3 3 2 2 5 2 6" xfId="13308" xr:uid="{9E442227-A145-4D2E-A7D3-D6E8E2E21BA6}"/>
    <cellStyle name="Normal 5 3 3 2 2 5 3" xfId="6054" xr:uid="{00000000-0005-0000-0000-000097190000}"/>
    <cellStyle name="Normal 5 3 3 2 2 5 3 2" xfId="41572" xr:uid="{85114DD4-6AE8-4293-9779-54C8950B5610}"/>
    <cellStyle name="Normal 5 3 3 2 2 5 3 3" xfId="33125" xr:uid="{C49AA169-D745-4A1D-A1DE-AA3557942D4C}"/>
    <cellStyle name="Normal 5 3 3 2 2 5 3 4" xfId="24677" xr:uid="{6AF3952B-CFE8-43A5-8A73-689733CAFD3B}"/>
    <cellStyle name="Normal 5 3 3 2 2 5 3 5" xfId="15380" xr:uid="{3D3AD08A-6B5A-4A3B-B87D-05DE52AC750D}"/>
    <cellStyle name="Normal 5 3 3 2 2 5 4" xfId="37355" xr:uid="{A49A1404-FDC9-4C2D-8E30-9120EFF857A4}"/>
    <cellStyle name="Normal 5 3 3 2 2 5 5" xfId="28907" xr:uid="{2955981D-16F8-47A1-BFA1-E457ABDFD584}"/>
    <cellStyle name="Normal 5 3 3 2 2 5 6" xfId="20460" xr:uid="{7D11BFD0-E952-44B0-89E7-3E5D24FC608F}"/>
    <cellStyle name="Normal 5 3 3 2 2 5 7" xfId="11163" xr:uid="{2BFA94E0-2504-4821-855E-DFA3886BACBB}"/>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44130" xr:uid="{4858D8E0-5478-4D16-8065-155343A10F06}"/>
    <cellStyle name="Normal 5 3 3 2 2 6 2 2 3" xfId="35683" xr:uid="{57D749BB-3341-430B-95D1-C3B31A69462D}"/>
    <cellStyle name="Normal 5 3 3 2 2 6 2 2 4" xfId="27235" xr:uid="{95A54092-182B-4F4C-BA6A-6A2545E8C4FE}"/>
    <cellStyle name="Normal 5 3 3 2 2 6 2 2 5" xfId="17938" xr:uid="{72880504-FD18-4CB7-9084-474F408B71A2}"/>
    <cellStyle name="Normal 5 3 3 2 2 6 2 3" xfId="39913" xr:uid="{888E53E7-B725-47A8-88A4-78ADC94134B1}"/>
    <cellStyle name="Normal 5 3 3 2 2 6 2 4" xfId="31465" xr:uid="{712C8C62-77E9-406D-B6B1-54064D857D7B}"/>
    <cellStyle name="Normal 5 3 3 2 2 6 2 5" xfId="23018" xr:uid="{4B8E50A5-589E-4C69-81C3-47763AE1006F}"/>
    <cellStyle name="Normal 5 3 3 2 2 6 2 6" xfId="13721" xr:uid="{7D6D0109-F2A1-4DC4-8BF7-710CF55D53B8}"/>
    <cellStyle name="Normal 5 3 3 2 2 6 3" xfId="6467" xr:uid="{00000000-0005-0000-0000-00009B190000}"/>
    <cellStyle name="Normal 5 3 3 2 2 6 3 2" xfId="41985" xr:uid="{CFA7CDAA-9D30-4DB1-8C70-8D051174E052}"/>
    <cellStyle name="Normal 5 3 3 2 2 6 3 3" xfId="33538" xr:uid="{A960C791-CD93-4FD0-AF2D-F3C72D3DAF50}"/>
    <cellStyle name="Normal 5 3 3 2 2 6 3 4" xfId="25090" xr:uid="{19BAEC47-1285-4F02-BCD8-8DF2F3E00B99}"/>
    <cellStyle name="Normal 5 3 3 2 2 6 3 5" xfId="15793" xr:uid="{752C0FB3-9543-4638-A421-08D021C6F9DC}"/>
    <cellStyle name="Normal 5 3 3 2 2 6 4" xfId="37768" xr:uid="{ED778E2E-849F-4AF5-B9D3-5561CB6CF04C}"/>
    <cellStyle name="Normal 5 3 3 2 2 6 5" xfId="29320" xr:uid="{AF653BDD-6146-47DC-BC88-3D171230A103}"/>
    <cellStyle name="Normal 5 3 3 2 2 6 6" xfId="20873" xr:uid="{19CF3B2C-598C-4C1F-8DB5-09C3697E0061}"/>
    <cellStyle name="Normal 5 3 3 2 2 6 7" xfId="11576" xr:uid="{AA5A9DC8-71A6-4462-ACE3-39F56D75DBE5}"/>
    <cellStyle name="Normal 5 3 3 2 2 7" xfId="2597" xr:uid="{00000000-0005-0000-0000-00009C190000}"/>
    <cellStyle name="Normal 5 3 3 2 2 7 2" xfId="6880" xr:uid="{00000000-0005-0000-0000-00009D190000}"/>
    <cellStyle name="Normal 5 3 3 2 2 7 2 2" xfId="42398" xr:uid="{B76CDB89-DBA8-4E00-A300-8331254FF0B0}"/>
    <cellStyle name="Normal 5 3 3 2 2 7 2 3" xfId="33951" xr:uid="{6CBA9BEE-9E12-4F70-91AC-D63EC464DF90}"/>
    <cellStyle name="Normal 5 3 3 2 2 7 2 4" xfId="25503" xr:uid="{DFC58703-1481-4FFC-B835-E43788CB110D}"/>
    <cellStyle name="Normal 5 3 3 2 2 7 2 5" xfId="16206" xr:uid="{43F332C8-01BB-4771-9954-2ABEB64C32A1}"/>
    <cellStyle name="Normal 5 3 3 2 2 7 3" xfId="38181" xr:uid="{70C7A4F3-5D1A-40C1-9500-578C931BB5F3}"/>
    <cellStyle name="Normal 5 3 3 2 2 7 4" xfId="29733" xr:uid="{1E6A4567-628D-4AD8-983B-0819CFBE3BAC}"/>
    <cellStyle name="Normal 5 3 3 2 2 7 5" xfId="21286" xr:uid="{2E3869A0-033E-43D7-BC8B-B2E9B002E40C}"/>
    <cellStyle name="Normal 5 3 3 2 2 7 6" xfId="11989" xr:uid="{11235878-79BF-438A-8C23-1BDBC5F171B1}"/>
    <cellStyle name="Normal 5 3 3 2 2 8" xfId="4815" xr:uid="{00000000-0005-0000-0000-00009E190000}"/>
    <cellStyle name="Normal 5 3 3 2 2 8 2" xfId="40333" xr:uid="{4B36DF09-2FCF-4FE3-A39F-E2076BCF0B7E}"/>
    <cellStyle name="Normal 5 3 3 2 2 8 3" xfId="31886" xr:uid="{9FE66B22-C0EC-490F-BE8E-D6A68F0C8DAE}"/>
    <cellStyle name="Normal 5 3 3 2 2 8 4" xfId="23438" xr:uid="{3EB4B994-250C-469A-B901-FF9755FD30FF}"/>
    <cellStyle name="Normal 5 3 3 2 2 8 5" xfId="14141" xr:uid="{1C2B2BF4-C74D-4DBC-A057-81AA75A49EE7}"/>
    <cellStyle name="Normal 5 3 3 2 2 9" xfId="8935" xr:uid="{94B8766B-0DD5-4CC7-9403-D37FC711344B}"/>
    <cellStyle name="Normal 5 3 3 2 2 9 2" xfId="36116" xr:uid="{1E218073-5AA4-41C2-96F9-C1DB7473555B}"/>
    <cellStyle name="Normal 5 3 3 2 2 9 3" xfId="18258" xr:uid="{72525F27-BF2F-4470-83B2-D978F75A21A0}"/>
    <cellStyle name="Normal 5 3 3 2 3" xfId="445" xr:uid="{00000000-0005-0000-0000-00009F190000}"/>
    <cellStyle name="Normal 5 3 3 2 3 10" xfId="19223" xr:uid="{3AC0C1B6-FF46-4D82-8887-1D256CD8D707}"/>
    <cellStyle name="Normal 5 3 3 2 3 11" xfId="9926" xr:uid="{4C2715C8-5D60-451B-9781-58D8BB731F12}"/>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42893" xr:uid="{427727FF-B11F-4725-AFE2-F4C9600B0686}"/>
    <cellStyle name="Normal 5 3 3 2 3 2 2 2 3" xfId="34446" xr:uid="{A010582F-F2EE-4121-A5C4-FC0E9F921F62}"/>
    <cellStyle name="Normal 5 3 3 2 3 2 2 2 4" xfId="25998" xr:uid="{A77ECA54-D263-4D71-B616-8C8B532743AB}"/>
    <cellStyle name="Normal 5 3 3 2 3 2 2 2 5" xfId="16701" xr:uid="{D55D010F-FB30-4DE1-81C9-8385330F5A95}"/>
    <cellStyle name="Normal 5 3 3 2 3 2 2 3" xfId="38676" xr:uid="{78367B59-4DE0-4D47-91D9-A9F530C85CCC}"/>
    <cellStyle name="Normal 5 3 3 2 3 2 2 4" xfId="30228" xr:uid="{525BCD84-1FA1-4D46-AEC1-4BB32826F32E}"/>
    <cellStyle name="Normal 5 3 3 2 3 2 2 5" xfId="21781" xr:uid="{DC751349-3AF9-448D-A0D4-2435C11BD807}"/>
    <cellStyle name="Normal 5 3 3 2 3 2 2 6" xfId="12484" xr:uid="{B9C97A11-91A2-4BFA-9C4A-96E50CA99AD3}"/>
    <cellStyle name="Normal 5 3 3 2 3 2 3" xfId="5230" xr:uid="{00000000-0005-0000-0000-0000A3190000}"/>
    <cellStyle name="Normal 5 3 3 2 3 2 3 2" xfId="40748" xr:uid="{741F620E-F11A-494D-BFA8-F73EF4A3EAAA}"/>
    <cellStyle name="Normal 5 3 3 2 3 2 3 3" xfId="32301" xr:uid="{11F0F840-7853-42D5-B8F7-91E32F0BA8C5}"/>
    <cellStyle name="Normal 5 3 3 2 3 2 3 4" xfId="23853" xr:uid="{A2CAFD76-2B78-453D-8B4D-6131C95E6CA0}"/>
    <cellStyle name="Normal 5 3 3 2 3 2 3 5" xfId="14556" xr:uid="{1826A38F-4C90-484D-A70E-A62D181A127C}"/>
    <cellStyle name="Normal 5 3 3 2 3 2 4" xfId="9464" xr:uid="{6A182EEF-0879-47AD-839A-17D560B4AF3D}"/>
    <cellStyle name="Normal 5 3 3 2 3 2 4 2" xfId="36531" xr:uid="{4E695716-5110-4744-A80D-69A9D3168183}"/>
    <cellStyle name="Normal 5 3 3 2 3 2 4 3" xfId="18777" xr:uid="{B82B8B87-76DD-4830-9CE1-DF0784FE0968}"/>
    <cellStyle name="Normal 5 3 3 2 3 2 5" xfId="28083" xr:uid="{5BDA0EDE-72D6-49CC-863B-CC6B8A5391BC}"/>
    <cellStyle name="Normal 5 3 3 2 3 2 6" xfId="19636" xr:uid="{B13979C7-7B9F-47F9-90AA-200DC2A89A29}"/>
    <cellStyle name="Normal 5 3 3 2 3 2 7" xfId="10339" xr:uid="{8B196611-0786-473D-A373-766874250C64}"/>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43306" xr:uid="{64841054-DD75-48F2-A431-19A19E3B6FA6}"/>
    <cellStyle name="Normal 5 3 3 2 3 3 2 2 3" xfId="34859" xr:uid="{E34190F7-B0D4-4B58-AF4D-7F940F636D04}"/>
    <cellStyle name="Normal 5 3 3 2 3 3 2 2 4" xfId="26411" xr:uid="{D8A1B4D4-4126-4792-8A99-1AB40E1FAFAE}"/>
    <cellStyle name="Normal 5 3 3 2 3 3 2 2 5" xfId="17114" xr:uid="{00FC8A83-E59F-4C36-81D0-644D3171AE3C}"/>
    <cellStyle name="Normal 5 3 3 2 3 3 2 3" xfId="39089" xr:uid="{26B57621-170C-481F-82B8-98B576BB0DAB}"/>
    <cellStyle name="Normal 5 3 3 2 3 3 2 4" xfId="30641" xr:uid="{D440074B-78E2-40FF-90E1-1F6412142F95}"/>
    <cellStyle name="Normal 5 3 3 2 3 3 2 5" xfId="22194" xr:uid="{9CE17E3A-6109-406D-8D39-1653C253857F}"/>
    <cellStyle name="Normal 5 3 3 2 3 3 2 6" xfId="12897" xr:uid="{C1C4BF39-8542-421D-AC6C-19DC6B248182}"/>
    <cellStyle name="Normal 5 3 3 2 3 3 3" xfId="5643" xr:uid="{00000000-0005-0000-0000-0000A7190000}"/>
    <cellStyle name="Normal 5 3 3 2 3 3 3 2" xfId="41161" xr:uid="{4DE53F20-7AA4-4B95-B99C-F627E9E55149}"/>
    <cellStyle name="Normal 5 3 3 2 3 3 3 3" xfId="32714" xr:uid="{6B7309ED-BD50-4C2D-91B3-B9D8AFE8033D}"/>
    <cellStyle name="Normal 5 3 3 2 3 3 3 4" xfId="24266" xr:uid="{5F2102D3-2CC3-4CE1-BD15-7071DC0D31FB}"/>
    <cellStyle name="Normal 5 3 3 2 3 3 3 5" xfId="14969" xr:uid="{75BDC557-BD59-4142-9900-38A8E3EAF777}"/>
    <cellStyle name="Normal 5 3 3 2 3 3 4" xfId="36944" xr:uid="{AD23F737-2481-4BBA-8FF8-F63A967EA7EC}"/>
    <cellStyle name="Normal 5 3 3 2 3 3 5" xfId="28496" xr:uid="{25308060-A724-48C2-B330-3E4614EF785F}"/>
    <cellStyle name="Normal 5 3 3 2 3 3 6" xfId="20049" xr:uid="{14E2C771-510D-45DF-805A-4DB37A15FDA5}"/>
    <cellStyle name="Normal 5 3 3 2 3 3 7" xfId="10752" xr:uid="{78B10A90-9D1E-49FE-B0CC-D4C95CBAF4D4}"/>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43719" xr:uid="{EAC5214E-093C-4577-A962-A29D8AEC7266}"/>
    <cellStyle name="Normal 5 3 3 2 3 4 2 2 3" xfId="35272" xr:uid="{BF5056B1-800C-4FAE-BA2B-03F5F79B7E86}"/>
    <cellStyle name="Normal 5 3 3 2 3 4 2 2 4" xfId="26824" xr:uid="{6E7AD281-DC55-46BE-B4FB-25B2BDCECA58}"/>
    <cellStyle name="Normal 5 3 3 2 3 4 2 2 5" xfId="17527" xr:uid="{55AEAF97-D80D-471B-BDEA-CA9FC8A3EE33}"/>
    <cellStyle name="Normal 5 3 3 2 3 4 2 3" xfId="39502" xr:uid="{4B9676C0-0244-4703-8C01-F15A8DA1300B}"/>
    <cellStyle name="Normal 5 3 3 2 3 4 2 4" xfId="31054" xr:uid="{99B1B3F6-4943-43B4-B4B7-FE74057B59ED}"/>
    <cellStyle name="Normal 5 3 3 2 3 4 2 5" xfId="22607" xr:uid="{FF9DB7C2-9FF7-4CF3-81B4-E75F6866FBD7}"/>
    <cellStyle name="Normal 5 3 3 2 3 4 2 6" xfId="13310" xr:uid="{0FEEB38F-7270-4BE0-ADB9-DC2D73D8F802}"/>
    <cellStyle name="Normal 5 3 3 2 3 4 3" xfId="6056" xr:uid="{00000000-0005-0000-0000-0000AB190000}"/>
    <cellStyle name="Normal 5 3 3 2 3 4 3 2" xfId="41574" xr:uid="{37B1EACA-5486-4072-B2B6-D2F01575FCF8}"/>
    <cellStyle name="Normal 5 3 3 2 3 4 3 3" xfId="33127" xr:uid="{08C53314-776D-4446-95A2-22C0E6BAEBE9}"/>
    <cellStyle name="Normal 5 3 3 2 3 4 3 4" xfId="24679" xr:uid="{4BA4E21C-C810-437B-B678-4770C6ABED98}"/>
    <cellStyle name="Normal 5 3 3 2 3 4 3 5" xfId="15382" xr:uid="{00D2D33D-39F8-42BB-9F07-A9B3FBB7FD87}"/>
    <cellStyle name="Normal 5 3 3 2 3 4 4" xfId="37357" xr:uid="{CD966483-9204-4F7E-84DA-90D4EEF858DA}"/>
    <cellStyle name="Normal 5 3 3 2 3 4 5" xfId="28909" xr:uid="{E17AADEE-6CFD-4A06-A912-0CD7EB6D7415}"/>
    <cellStyle name="Normal 5 3 3 2 3 4 6" xfId="20462" xr:uid="{B0C84091-FE79-437A-AFF3-DBE5EE3C2CC2}"/>
    <cellStyle name="Normal 5 3 3 2 3 4 7" xfId="11165" xr:uid="{7DBBC391-80C0-4488-B806-731BCBB9BD0E}"/>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44132" xr:uid="{A50C26E6-3060-4242-8BF2-3DF270870B63}"/>
    <cellStyle name="Normal 5 3 3 2 3 5 2 2 3" xfId="35685" xr:uid="{11BAFBAA-7EB7-489F-8CB0-6D15ABEEDBDB}"/>
    <cellStyle name="Normal 5 3 3 2 3 5 2 2 4" xfId="27237" xr:uid="{E84B63E4-6A6E-450D-B25B-F01A4F9E655D}"/>
    <cellStyle name="Normal 5 3 3 2 3 5 2 2 5" xfId="17940" xr:uid="{280852B7-973E-4C57-A85F-35316243B42B}"/>
    <cellStyle name="Normal 5 3 3 2 3 5 2 3" xfId="39915" xr:uid="{5FAD4DA4-D3EE-430D-B7CD-7E7B7364CB2B}"/>
    <cellStyle name="Normal 5 3 3 2 3 5 2 4" xfId="31467" xr:uid="{E3352BD7-E010-40DA-9B64-A3D34ECBF75A}"/>
    <cellStyle name="Normal 5 3 3 2 3 5 2 5" xfId="23020" xr:uid="{89630C70-1F61-4BCF-BD7A-85EFB2F33AAB}"/>
    <cellStyle name="Normal 5 3 3 2 3 5 2 6" xfId="13723" xr:uid="{6E2895C5-7590-4DE7-90B5-97FDC211819E}"/>
    <cellStyle name="Normal 5 3 3 2 3 5 3" xfId="6469" xr:uid="{00000000-0005-0000-0000-0000AF190000}"/>
    <cellStyle name="Normal 5 3 3 2 3 5 3 2" xfId="41987" xr:uid="{92C57196-BC86-4756-9801-321470553624}"/>
    <cellStyle name="Normal 5 3 3 2 3 5 3 3" xfId="33540" xr:uid="{BED1DC7B-7865-4B48-BD36-D1407FD3A26A}"/>
    <cellStyle name="Normal 5 3 3 2 3 5 3 4" xfId="25092" xr:uid="{97B4582F-35D2-4510-85EC-A594C6AD74FC}"/>
    <cellStyle name="Normal 5 3 3 2 3 5 3 5" xfId="15795" xr:uid="{A783D2C9-04DD-44E5-83A2-E414DD941820}"/>
    <cellStyle name="Normal 5 3 3 2 3 5 4" xfId="37770" xr:uid="{9066662B-A1AA-47EC-BBD3-BF683375A526}"/>
    <cellStyle name="Normal 5 3 3 2 3 5 5" xfId="29322" xr:uid="{CB09D232-89AA-4148-A574-CBE1356BE985}"/>
    <cellStyle name="Normal 5 3 3 2 3 5 6" xfId="20875" xr:uid="{85414701-03EC-47CD-AF75-7BEE050F27B7}"/>
    <cellStyle name="Normal 5 3 3 2 3 5 7" xfId="11578" xr:uid="{EBBA09B2-B45D-407B-AD82-B2F07AAFD7E3}"/>
    <cellStyle name="Normal 5 3 3 2 3 6" xfId="2599" xr:uid="{00000000-0005-0000-0000-0000B0190000}"/>
    <cellStyle name="Normal 5 3 3 2 3 6 2" xfId="6882" xr:uid="{00000000-0005-0000-0000-0000B1190000}"/>
    <cellStyle name="Normal 5 3 3 2 3 6 2 2" xfId="42400" xr:uid="{A701F52D-48FA-44D5-9E77-4097D46ED481}"/>
    <cellStyle name="Normal 5 3 3 2 3 6 2 3" xfId="33953" xr:uid="{FF238555-A3BB-4FB3-872E-49286CD92D71}"/>
    <cellStyle name="Normal 5 3 3 2 3 6 2 4" xfId="25505" xr:uid="{F1C34F3D-51A2-424B-8627-5F55A7807C8B}"/>
    <cellStyle name="Normal 5 3 3 2 3 6 2 5" xfId="16208" xr:uid="{300C07FC-C5F4-42F6-B6AB-4FA2A342BA3E}"/>
    <cellStyle name="Normal 5 3 3 2 3 6 3" xfId="38183" xr:uid="{904B3E86-EEE2-446E-BA2F-6072D30FCA99}"/>
    <cellStyle name="Normal 5 3 3 2 3 6 4" xfId="29735" xr:uid="{5E80C63C-1E1E-4DF8-9961-815F4221CFBF}"/>
    <cellStyle name="Normal 5 3 3 2 3 6 5" xfId="21288" xr:uid="{F5F26A2E-F78B-47D4-A353-B671122C9EEA}"/>
    <cellStyle name="Normal 5 3 3 2 3 6 6" xfId="11991" xr:uid="{D0DD180A-A6D9-4A70-84D2-CBEAEC5B1348}"/>
    <cellStyle name="Normal 5 3 3 2 3 7" xfId="4817" xr:uid="{00000000-0005-0000-0000-0000B2190000}"/>
    <cellStyle name="Normal 5 3 3 2 3 7 2" xfId="40335" xr:uid="{C8FC8ADD-8174-4D02-AEEB-8E125ED1B0B5}"/>
    <cellStyle name="Normal 5 3 3 2 3 7 3" xfId="31888" xr:uid="{C7B53797-A437-42F3-BB8A-993FF9480CD3}"/>
    <cellStyle name="Normal 5 3 3 2 3 7 4" xfId="23440" xr:uid="{92E79700-AE9A-4F0F-A44F-3140860EE380}"/>
    <cellStyle name="Normal 5 3 3 2 3 7 5" xfId="14143" xr:uid="{C5CD1454-606F-4C54-B975-EDDEA046AA2D}"/>
    <cellStyle name="Normal 5 3 3 2 3 8" xfId="9039" xr:uid="{84D80CE6-A0CA-4841-8673-26EA7EC6806D}"/>
    <cellStyle name="Normal 5 3 3 2 3 8 2" xfId="36118" xr:uid="{81F20783-438B-47BF-9678-C965DCAEA269}"/>
    <cellStyle name="Normal 5 3 3 2 3 8 3" xfId="18362" xr:uid="{F4C25139-0813-45B6-BA51-A096A984CDA2}"/>
    <cellStyle name="Normal 5 3 3 2 3 9" xfId="27670" xr:uid="{7BBC101B-D03A-48BD-A089-202CE14591DC}"/>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42890" xr:uid="{B5555834-3966-4CBA-8B6D-8F43E4DAC540}"/>
    <cellStyle name="Normal 5 3 3 2 4 2 2 3" xfId="34443" xr:uid="{82C47CB8-E62B-42DB-9782-30264E727AC7}"/>
    <cellStyle name="Normal 5 3 3 2 4 2 2 4" xfId="25995" xr:uid="{D2B07BC0-4892-4A39-89AD-6597A4608E9E}"/>
    <cellStyle name="Normal 5 3 3 2 4 2 2 5" xfId="16698" xr:uid="{53D94173-7D85-448B-AC54-4C41D83AB0A8}"/>
    <cellStyle name="Normal 5 3 3 2 4 2 3" xfId="38673" xr:uid="{3AAFAE85-82C1-4406-BDD0-3A42666EAA7C}"/>
    <cellStyle name="Normal 5 3 3 2 4 2 4" xfId="30225" xr:uid="{50FBFF9B-89AD-416D-B5F1-F6A16EF1B308}"/>
    <cellStyle name="Normal 5 3 3 2 4 2 5" xfId="21778" xr:uid="{B082A057-DA1F-4C96-9293-AB29FAD33B17}"/>
    <cellStyle name="Normal 5 3 3 2 4 2 6" xfId="12481" xr:uid="{83126FF4-D3EE-42F9-8ED7-355A41C3BF50}"/>
    <cellStyle name="Normal 5 3 3 2 4 3" xfId="5227" xr:uid="{00000000-0005-0000-0000-0000B6190000}"/>
    <cellStyle name="Normal 5 3 3 2 4 3 2" xfId="40745" xr:uid="{3ED7F1E8-A417-4EE7-8461-B03E7F0FFD6F}"/>
    <cellStyle name="Normal 5 3 3 2 4 3 3" xfId="32298" xr:uid="{C6584E8F-02AB-4F47-8ACA-5BD655C4C2B7}"/>
    <cellStyle name="Normal 5 3 3 2 4 3 4" xfId="23850" xr:uid="{DDB2A385-5340-40A7-BE32-473C7EB08286}"/>
    <cellStyle name="Normal 5 3 3 2 4 3 5" xfId="14553" xr:uid="{21283834-BA02-4078-8A38-A0A2DF04362F}"/>
    <cellStyle name="Normal 5 3 3 2 4 4" xfId="9257" xr:uid="{E6656214-6E5B-491F-B1E3-227CB6568726}"/>
    <cellStyle name="Normal 5 3 3 2 4 4 2" xfId="36528" xr:uid="{CA107783-AED9-4666-98CE-9AC39AFC7EFB}"/>
    <cellStyle name="Normal 5 3 3 2 4 4 3" xfId="18570" xr:uid="{55CBD516-AFB7-4F8F-9EED-9E4D037A7135}"/>
    <cellStyle name="Normal 5 3 3 2 4 5" xfId="28080" xr:uid="{3A1D1851-3F1E-412B-BE9D-4FA382A7C8B9}"/>
    <cellStyle name="Normal 5 3 3 2 4 6" xfId="19633" xr:uid="{2ABFF954-AC06-430E-A9A3-E8E13560B3E8}"/>
    <cellStyle name="Normal 5 3 3 2 4 7" xfId="10336" xr:uid="{C82325B4-D491-48D4-BA5E-CD64EC514AAB}"/>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43303" xr:uid="{D0F8430C-30FB-498D-B877-2E02E63A0540}"/>
    <cellStyle name="Normal 5 3 3 2 5 2 2 3" xfId="34856" xr:uid="{FA905449-830C-419B-9F62-E9B0936340EE}"/>
    <cellStyle name="Normal 5 3 3 2 5 2 2 4" xfId="26408" xr:uid="{DC5C4FD7-180C-412E-910F-C0769DA45614}"/>
    <cellStyle name="Normal 5 3 3 2 5 2 2 5" xfId="17111" xr:uid="{03E7F3A2-753F-4BE7-9F6F-AD1D9BAED94D}"/>
    <cellStyle name="Normal 5 3 3 2 5 2 3" xfId="39086" xr:uid="{F0D60365-896A-43D7-8D91-B2E2CDEE7C01}"/>
    <cellStyle name="Normal 5 3 3 2 5 2 4" xfId="30638" xr:uid="{A9BC7B75-E1BE-4984-9E95-67F4BD2500B9}"/>
    <cellStyle name="Normal 5 3 3 2 5 2 5" xfId="22191" xr:uid="{5454CB38-ADA4-4DC3-B396-D5B4EE5D6423}"/>
    <cellStyle name="Normal 5 3 3 2 5 2 6" xfId="12894" xr:uid="{F21D698C-735E-42AE-9552-9124219F67B5}"/>
    <cellStyle name="Normal 5 3 3 2 5 3" xfId="5640" xr:uid="{00000000-0005-0000-0000-0000BA190000}"/>
    <cellStyle name="Normal 5 3 3 2 5 3 2" xfId="41158" xr:uid="{0139C44C-048F-43D1-A373-A4BAF2C6E238}"/>
    <cellStyle name="Normal 5 3 3 2 5 3 3" xfId="32711" xr:uid="{6E648379-6E47-482B-90A1-92D5123EBC39}"/>
    <cellStyle name="Normal 5 3 3 2 5 3 4" xfId="24263" xr:uid="{E29711F6-684F-4F70-A45B-F3CB27E8E872}"/>
    <cellStyle name="Normal 5 3 3 2 5 3 5" xfId="14966" xr:uid="{B8704F7D-7E74-49E0-ABC6-006F797D4B9B}"/>
    <cellStyle name="Normal 5 3 3 2 5 4" xfId="36941" xr:uid="{A38FB7F9-399D-4C93-92F9-515023CCAC81}"/>
    <cellStyle name="Normal 5 3 3 2 5 5" xfId="28493" xr:uid="{2CBF72A0-1768-4216-8E7E-B47BC3BE1150}"/>
    <cellStyle name="Normal 5 3 3 2 5 6" xfId="20046" xr:uid="{73F8C158-0767-47BA-B7FA-6F14142E062D}"/>
    <cellStyle name="Normal 5 3 3 2 5 7" xfId="10749" xr:uid="{B9EF5695-27A3-44FC-8F26-A43958488B47}"/>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43716" xr:uid="{8E93F009-BAEC-444E-9DAF-CC4C231C8A2C}"/>
    <cellStyle name="Normal 5 3 3 2 6 2 2 3" xfId="35269" xr:uid="{54B903E6-49BE-428A-901A-551BFA1703B1}"/>
    <cellStyle name="Normal 5 3 3 2 6 2 2 4" xfId="26821" xr:uid="{2C75F0FF-B9A7-43F5-92AD-617BED7A2001}"/>
    <cellStyle name="Normal 5 3 3 2 6 2 2 5" xfId="17524" xr:uid="{C05D636F-0F2C-4042-B2B3-5CB935993FF7}"/>
    <cellStyle name="Normal 5 3 3 2 6 2 3" xfId="39499" xr:uid="{CF463465-7ABD-4281-9324-A82415023542}"/>
    <cellStyle name="Normal 5 3 3 2 6 2 4" xfId="31051" xr:uid="{B2DCBE13-F0C9-49FB-B1F9-0E5FE61E7B1D}"/>
    <cellStyle name="Normal 5 3 3 2 6 2 5" xfId="22604" xr:uid="{DC37D7A2-CABD-4F7F-B985-C6D3EE896DD6}"/>
    <cellStyle name="Normal 5 3 3 2 6 2 6" xfId="13307" xr:uid="{877957DA-C3E5-414E-A383-65DA00DD595C}"/>
    <cellStyle name="Normal 5 3 3 2 6 3" xfId="6053" xr:uid="{00000000-0005-0000-0000-0000BE190000}"/>
    <cellStyle name="Normal 5 3 3 2 6 3 2" xfId="41571" xr:uid="{3E41A938-4079-476A-B6B7-58F61E12F91C}"/>
    <cellStyle name="Normal 5 3 3 2 6 3 3" xfId="33124" xr:uid="{FBB97B9E-EF36-4494-8705-D184FF4A50CB}"/>
    <cellStyle name="Normal 5 3 3 2 6 3 4" xfId="24676" xr:uid="{C184AC41-A8C6-46C5-9F80-00992DDB5969}"/>
    <cellStyle name="Normal 5 3 3 2 6 3 5" xfId="15379" xr:uid="{23DB245D-76B0-46AE-B101-C7D9D4584B64}"/>
    <cellStyle name="Normal 5 3 3 2 6 4" xfId="37354" xr:uid="{F215114B-30F8-4351-A16E-DC7A1A554A7B}"/>
    <cellStyle name="Normal 5 3 3 2 6 5" xfId="28906" xr:uid="{BB20D525-6DBC-4E6D-8475-F19D00C6689A}"/>
    <cellStyle name="Normal 5 3 3 2 6 6" xfId="20459" xr:uid="{F3005E29-1CD1-4799-8BAE-938FD6FCFAB8}"/>
    <cellStyle name="Normal 5 3 3 2 6 7" xfId="11162" xr:uid="{E78BFDAA-F20C-443C-BAC8-5A4B260C9CEF}"/>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44129" xr:uid="{06DCCD37-5812-434F-81B5-320461BBB3DE}"/>
    <cellStyle name="Normal 5 3 3 2 7 2 2 3" xfId="35682" xr:uid="{14FF4C4C-6A87-4A66-B965-67C5C9956062}"/>
    <cellStyle name="Normal 5 3 3 2 7 2 2 4" xfId="27234" xr:uid="{7B3A5E33-D6DC-428A-9DE9-5613AB92E17F}"/>
    <cellStyle name="Normal 5 3 3 2 7 2 2 5" xfId="17937" xr:uid="{9D1D0613-3B4D-40D7-9F8B-3C90B2CC7A09}"/>
    <cellStyle name="Normal 5 3 3 2 7 2 3" xfId="39912" xr:uid="{E18229B3-45A2-43B9-BB3D-2D036DD3A000}"/>
    <cellStyle name="Normal 5 3 3 2 7 2 4" xfId="31464" xr:uid="{54594CBB-A391-4324-A9FE-8FD868F8F6B8}"/>
    <cellStyle name="Normal 5 3 3 2 7 2 5" xfId="23017" xr:uid="{A05C8D2E-CA5D-4E77-B40A-29C51DA6A6E2}"/>
    <cellStyle name="Normal 5 3 3 2 7 2 6" xfId="13720" xr:uid="{182D965A-F513-4441-9FA3-ED044BF32547}"/>
    <cellStyle name="Normal 5 3 3 2 7 3" xfId="6466" xr:uid="{00000000-0005-0000-0000-0000C2190000}"/>
    <cellStyle name="Normal 5 3 3 2 7 3 2" xfId="41984" xr:uid="{AFBAD02C-8098-416A-AD41-06F0CD8A1B09}"/>
    <cellStyle name="Normal 5 3 3 2 7 3 3" xfId="33537" xr:uid="{506AAC16-1152-46A1-B143-2C95AF4E65D4}"/>
    <cellStyle name="Normal 5 3 3 2 7 3 4" xfId="25089" xr:uid="{6BF6D1EB-E42B-45D7-BFE2-E7D9E102DE1C}"/>
    <cellStyle name="Normal 5 3 3 2 7 3 5" xfId="15792" xr:uid="{1AC67F8A-124A-40F7-AB1B-1623661AA456}"/>
    <cellStyle name="Normal 5 3 3 2 7 4" xfId="37767" xr:uid="{0C8F4D87-F48E-4F0A-BAE4-B4D5211D5216}"/>
    <cellStyle name="Normal 5 3 3 2 7 5" xfId="29319" xr:uid="{7D3F43D7-9E6E-41A6-B03C-7A9FCC378304}"/>
    <cellStyle name="Normal 5 3 3 2 7 6" xfId="20872" xr:uid="{6E54A803-9A02-467B-88C3-7608D2F214B5}"/>
    <cellStyle name="Normal 5 3 3 2 7 7" xfId="11575" xr:uid="{4C325E90-597F-4E6B-8C86-745B0415946F}"/>
    <cellStyle name="Normal 5 3 3 2 8" xfId="2596" xr:uid="{00000000-0005-0000-0000-0000C3190000}"/>
    <cellStyle name="Normal 5 3 3 2 8 2" xfId="6879" xr:uid="{00000000-0005-0000-0000-0000C4190000}"/>
    <cellStyle name="Normal 5 3 3 2 8 2 2" xfId="42397" xr:uid="{7E7939E9-31BC-4525-86FF-AEE4126933C3}"/>
    <cellStyle name="Normal 5 3 3 2 8 2 3" xfId="33950" xr:uid="{2D77E78D-1E5A-40CC-AB8C-FCAD37DCA7D7}"/>
    <cellStyle name="Normal 5 3 3 2 8 2 4" xfId="25502" xr:uid="{B62DA554-49A6-494E-A94B-C0F319B6FC2A}"/>
    <cellStyle name="Normal 5 3 3 2 8 2 5" xfId="16205" xr:uid="{F6D59CA9-DB75-4334-9C12-EE3E934849F8}"/>
    <cellStyle name="Normal 5 3 3 2 8 3" xfId="38180" xr:uid="{CEF896A1-0DE1-4F34-8BD5-850E3001F468}"/>
    <cellStyle name="Normal 5 3 3 2 8 4" xfId="29732" xr:uid="{2BB61A79-2B2A-4976-94F8-5A66B31D3BD1}"/>
    <cellStyle name="Normal 5 3 3 2 8 5" xfId="21285" xr:uid="{11E7B6ED-178E-4849-9270-07C23062C7E0}"/>
    <cellStyle name="Normal 5 3 3 2 8 6" xfId="11988" xr:uid="{5BA81313-5ACD-4480-A24B-05C8E06A098C}"/>
    <cellStyle name="Normal 5 3 3 2 9" xfId="4814" xr:uid="{00000000-0005-0000-0000-0000C5190000}"/>
    <cellStyle name="Normal 5 3 3 2 9 2" xfId="40332" xr:uid="{A7B697AF-0393-4C03-B8E3-97CFFF52F3EA}"/>
    <cellStyle name="Normal 5 3 3 2 9 3" xfId="31885" xr:uid="{64C012E3-19AC-47E7-B47C-72F4FB572794}"/>
    <cellStyle name="Normal 5 3 3 2 9 4" xfId="23437" xr:uid="{512B7A17-055C-45E2-A8C5-2B2329D41998}"/>
    <cellStyle name="Normal 5 3 3 2 9 5" xfId="14140" xr:uid="{91918773-3BD4-45ED-AE57-36CEF8E255AE}"/>
    <cellStyle name="Normal 5 3 3 3" xfId="446" xr:uid="{00000000-0005-0000-0000-0000C6190000}"/>
    <cellStyle name="Normal 5 3 3 3 10" xfId="27671" xr:uid="{7C5D2A4C-BA92-42C7-A035-A66B49937F0B}"/>
    <cellStyle name="Normal 5 3 3 3 11" xfId="19224" xr:uid="{E7F566B3-7F94-4475-9C59-A3A5B90CAAA2}"/>
    <cellStyle name="Normal 5 3 3 3 12" xfId="9927" xr:uid="{388E07AC-26DF-4BB7-98E6-EC63EF3C6109}"/>
    <cellStyle name="Normal 5 3 3 3 2" xfId="447" xr:uid="{00000000-0005-0000-0000-0000C7190000}"/>
    <cellStyle name="Normal 5 3 3 3 2 10" xfId="19225" xr:uid="{D0389E1F-147B-4657-8A52-3C101433154A}"/>
    <cellStyle name="Normal 5 3 3 3 2 11" xfId="9928" xr:uid="{F3FF0398-0E40-47F2-8B9E-D80F9606097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42895" xr:uid="{EB6F4652-5B24-4550-BF55-7E654D5175A9}"/>
    <cellStyle name="Normal 5 3 3 3 2 2 2 2 3" xfId="34448" xr:uid="{69B52FBB-5324-4076-A9EB-8ACD2EE1F374}"/>
    <cellStyle name="Normal 5 3 3 3 2 2 2 2 4" xfId="26000" xr:uid="{FA743E32-F20E-4480-8520-A210612E78AB}"/>
    <cellStyle name="Normal 5 3 3 3 2 2 2 2 5" xfId="16703" xr:uid="{F1AE17B6-0978-4E89-80D9-F3998884D010}"/>
    <cellStyle name="Normal 5 3 3 3 2 2 2 3" xfId="38678" xr:uid="{5FFBE479-47A7-423A-8B28-A793F1FFBA68}"/>
    <cellStyle name="Normal 5 3 3 3 2 2 2 4" xfId="30230" xr:uid="{8F33EC67-C237-496A-8749-6B1DEF174A2A}"/>
    <cellStyle name="Normal 5 3 3 3 2 2 2 5" xfId="21783" xr:uid="{6612F362-4E68-46DA-A8A1-ED075C239129}"/>
    <cellStyle name="Normal 5 3 3 3 2 2 2 6" xfId="12486" xr:uid="{E602844B-12E4-4585-90DC-B8856C8ADDE2}"/>
    <cellStyle name="Normal 5 3 3 3 2 2 3" xfId="5232" xr:uid="{00000000-0005-0000-0000-0000CB190000}"/>
    <cellStyle name="Normal 5 3 3 3 2 2 3 2" xfId="40750" xr:uid="{4684CA18-6369-45F1-BC29-B64F4E3984A1}"/>
    <cellStyle name="Normal 5 3 3 3 2 2 3 3" xfId="32303" xr:uid="{64436BF4-AD41-4AA5-A73D-2958EDEB2E3D}"/>
    <cellStyle name="Normal 5 3 3 3 2 2 3 4" xfId="23855" xr:uid="{F930F3A4-3F35-4EE3-B4E8-AA77D72F5241}"/>
    <cellStyle name="Normal 5 3 3 3 2 2 3 5" xfId="14558" xr:uid="{47CA55DD-E3AA-432A-BC81-AFF4EF84FC42}"/>
    <cellStyle name="Normal 5 3 3 3 2 2 4" xfId="9517" xr:uid="{EA62A3B1-8ED5-4A6F-ACE0-B924BC16AA9E}"/>
    <cellStyle name="Normal 5 3 3 3 2 2 4 2" xfId="36533" xr:uid="{108048A7-8073-4FEA-AC18-6033D071DAC6}"/>
    <cellStyle name="Normal 5 3 3 3 2 2 4 3" xfId="18830" xr:uid="{869C8A2C-7608-4051-9AD9-61053022F98F}"/>
    <cellStyle name="Normal 5 3 3 3 2 2 5" xfId="28085" xr:uid="{FA5786EC-F7CC-4867-A6BA-58F77FCB23DE}"/>
    <cellStyle name="Normal 5 3 3 3 2 2 6" xfId="19638" xr:uid="{9AAE86CC-B88D-487F-8911-756ED19BDD82}"/>
    <cellStyle name="Normal 5 3 3 3 2 2 7" xfId="10341" xr:uid="{C961AB69-1422-4768-8440-25B41DF4D25C}"/>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43308" xr:uid="{F8C0C73C-7E01-4DBE-9288-F033651F69DC}"/>
    <cellStyle name="Normal 5 3 3 3 2 3 2 2 3" xfId="34861" xr:uid="{7B9813A9-F795-45DE-A870-ECADD0CDFD2E}"/>
    <cellStyle name="Normal 5 3 3 3 2 3 2 2 4" xfId="26413" xr:uid="{120479F8-E83F-4170-A2AF-D84E11D13833}"/>
    <cellStyle name="Normal 5 3 3 3 2 3 2 2 5" xfId="17116" xr:uid="{132643A6-8E7B-4A73-B9E4-32E29E029E6B}"/>
    <cellStyle name="Normal 5 3 3 3 2 3 2 3" xfId="39091" xr:uid="{EBAFDCF5-2B5D-43FB-936E-3B8ACC50FFC5}"/>
    <cellStyle name="Normal 5 3 3 3 2 3 2 4" xfId="30643" xr:uid="{DCE3D52D-D3C1-4F5A-9C53-22BD00088278}"/>
    <cellStyle name="Normal 5 3 3 3 2 3 2 5" xfId="22196" xr:uid="{7D254F13-1750-4E3F-A85E-3815E32B69E7}"/>
    <cellStyle name="Normal 5 3 3 3 2 3 2 6" xfId="12899" xr:uid="{D75BE25D-6839-4C0D-B686-A543DB13FDBF}"/>
    <cellStyle name="Normal 5 3 3 3 2 3 3" xfId="5645" xr:uid="{00000000-0005-0000-0000-0000CF190000}"/>
    <cellStyle name="Normal 5 3 3 3 2 3 3 2" xfId="41163" xr:uid="{5F544080-D363-4715-B764-478043C13F36}"/>
    <cellStyle name="Normal 5 3 3 3 2 3 3 3" xfId="32716" xr:uid="{60D272BC-4212-4FA7-ADF1-E7827834660E}"/>
    <cellStyle name="Normal 5 3 3 3 2 3 3 4" xfId="24268" xr:uid="{CB53FDCF-EE02-4590-ABD9-00DCB7938946}"/>
    <cellStyle name="Normal 5 3 3 3 2 3 3 5" xfId="14971" xr:uid="{1C5732B8-D578-4794-A0EF-BEEA6CAF8822}"/>
    <cellStyle name="Normal 5 3 3 3 2 3 4" xfId="36946" xr:uid="{F7D34E00-3700-4A71-ABAD-5AD492DE0702}"/>
    <cellStyle name="Normal 5 3 3 3 2 3 5" xfId="28498" xr:uid="{F5FA3C01-2076-4A9D-926B-EABB2B438D4A}"/>
    <cellStyle name="Normal 5 3 3 3 2 3 6" xfId="20051" xr:uid="{D6375498-6047-4359-8150-09FFE184B8CE}"/>
    <cellStyle name="Normal 5 3 3 3 2 3 7" xfId="10754" xr:uid="{147D5B9B-5A9F-46D5-B07E-DBE27672CD79}"/>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43721" xr:uid="{CDDA21D3-70C9-4E62-B6F3-147831B2AF9F}"/>
    <cellStyle name="Normal 5 3 3 3 2 4 2 2 3" xfId="35274" xr:uid="{85B1CD6D-31CF-4F82-B20F-18F57210F817}"/>
    <cellStyle name="Normal 5 3 3 3 2 4 2 2 4" xfId="26826" xr:uid="{2102A400-1B7A-4ADB-A5EA-749B565983FE}"/>
    <cellStyle name="Normal 5 3 3 3 2 4 2 2 5" xfId="17529" xr:uid="{CC573158-8E17-4612-B0D8-AD8BAC709C91}"/>
    <cellStyle name="Normal 5 3 3 3 2 4 2 3" xfId="39504" xr:uid="{4C5E00F6-D790-48E1-8EAE-8D174246A372}"/>
    <cellStyle name="Normal 5 3 3 3 2 4 2 4" xfId="31056" xr:uid="{1FEE4D08-8A2B-4446-B239-5CC14CA2A83E}"/>
    <cellStyle name="Normal 5 3 3 3 2 4 2 5" xfId="22609" xr:uid="{190F849E-F2E4-473D-9A67-CB2DE2E1AF91}"/>
    <cellStyle name="Normal 5 3 3 3 2 4 2 6" xfId="13312" xr:uid="{62A66C02-A498-4648-B4C8-EE47B333037E}"/>
    <cellStyle name="Normal 5 3 3 3 2 4 3" xfId="6058" xr:uid="{00000000-0005-0000-0000-0000D3190000}"/>
    <cellStyle name="Normal 5 3 3 3 2 4 3 2" xfId="41576" xr:uid="{DD1B5DBD-C5E3-4BF8-9EDB-9BB2AAC19401}"/>
    <cellStyle name="Normal 5 3 3 3 2 4 3 3" xfId="33129" xr:uid="{C6DD9603-AC84-4FD1-A25A-826978B00F07}"/>
    <cellStyle name="Normal 5 3 3 3 2 4 3 4" xfId="24681" xr:uid="{19376F58-3753-4439-879D-6A4B832A5FEF}"/>
    <cellStyle name="Normal 5 3 3 3 2 4 3 5" xfId="15384" xr:uid="{8F43FE66-F5FD-4D33-BD16-4566AC3DC5CF}"/>
    <cellStyle name="Normal 5 3 3 3 2 4 4" xfId="37359" xr:uid="{4D78E06E-B2D1-4FAE-947D-918DB0A71308}"/>
    <cellStyle name="Normal 5 3 3 3 2 4 5" xfId="28911" xr:uid="{29BB5E70-F471-469F-84EC-F385C5213BEC}"/>
    <cellStyle name="Normal 5 3 3 3 2 4 6" xfId="20464" xr:uid="{F103D42F-935C-4C0E-99B9-11626A2DF272}"/>
    <cellStyle name="Normal 5 3 3 3 2 4 7" xfId="11167" xr:uid="{4B5EFF16-0279-4BFC-B7CD-0C73290C0CB1}"/>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44134" xr:uid="{6AB8797C-B745-4B34-816A-C283AE256BCA}"/>
    <cellStyle name="Normal 5 3 3 3 2 5 2 2 3" xfId="35687" xr:uid="{BE2785F9-6CA0-4E76-9F43-B91017E08005}"/>
    <cellStyle name="Normal 5 3 3 3 2 5 2 2 4" xfId="27239" xr:uid="{78E49351-F9DD-4AC2-8E5D-52021DA4BBC9}"/>
    <cellStyle name="Normal 5 3 3 3 2 5 2 2 5" xfId="17942" xr:uid="{8774F964-DD2A-487D-AF50-F6FBAEC2A4A9}"/>
    <cellStyle name="Normal 5 3 3 3 2 5 2 3" xfId="39917" xr:uid="{D68960D6-724C-456A-A1F9-677D6711DB05}"/>
    <cellStyle name="Normal 5 3 3 3 2 5 2 4" xfId="31469" xr:uid="{BA8FD087-E7F4-470E-B944-A3DF3A259719}"/>
    <cellStyle name="Normal 5 3 3 3 2 5 2 5" xfId="23022" xr:uid="{1732F4D0-C477-44AC-81BC-3CC46F00D612}"/>
    <cellStyle name="Normal 5 3 3 3 2 5 2 6" xfId="13725" xr:uid="{E2DAF42E-9FC5-42A7-99BA-0FC95E493158}"/>
    <cellStyle name="Normal 5 3 3 3 2 5 3" xfId="6471" xr:uid="{00000000-0005-0000-0000-0000D7190000}"/>
    <cellStyle name="Normal 5 3 3 3 2 5 3 2" xfId="41989" xr:uid="{83D165B9-4F46-4BCC-AA84-94FC74C8E2FC}"/>
    <cellStyle name="Normal 5 3 3 3 2 5 3 3" xfId="33542" xr:uid="{3A4ACEAF-B242-4C23-8114-FAEC2470E14D}"/>
    <cellStyle name="Normal 5 3 3 3 2 5 3 4" xfId="25094" xr:uid="{AB7241E6-0785-4712-BE2E-825DBCD5E33E}"/>
    <cellStyle name="Normal 5 3 3 3 2 5 3 5" xfId="15797" xr:uid="{800B19CF-1E75-4655-93EE-0C9F494E88E1}"/>
    <cellStyle name="Normal 5 3 3 3 2 5 4" xfId="37772" xr:uid="{4F790E87-1008-4EF7-989E-2A39CD175C14}"/>
    <cellStyle name="Normal 5 3 3 3 2 5 5" xfId="29324" xr:uid="{6211D4F8-B531-445C-BCE4-294A7CB8613A}"/>
    <cellStyle name="Normal 5 3 3 3 2 5 6" xfId="20877" xr:uid="{C3750F57-CB3B-4968-81F1-14AFF9B5B512}"/>
    <cellStyle name="Normal 5 3 3 3 2 5 7" xfId="11580" xr:uid="{1A6A766C-54D1-4DA6-8DA8-F2350E2E6C71}"/>
    <cellStyle name="Normal 5 3 3 3 2 6" xfId="2601" xr:uid="{00000000-0005-0000-0000-0000D8190000}"/>
    <cellStyle name="Normal 5 3 3 3 2 6 2" xfId="6884" xr:uid="{00000000-0005-0000-0000-0000D9190000}"/>
    <cellStyle name="Normal 5 3 3 3 2 6 2 2" xfId="42402" xr:uid="{ACB9D051-ABC5-4538-9D0C-19DE7C93A385}"/>
    <cellStyle name="Normal 5 3 3 3 2 6 2 3" xfId="33955" xr:uid="{0B7132F5-BA18-44DB-9AB4-1D0894B6AC6E}"/>
    <cellStyle name="Normal 5 3 3 3 2 6 2 4" xfId="25507" xr:uid="{1B7779B2-7434-4DB1-B72F-6778FF1EED67}"/>
    <cellStyle name="Normal 5 3 3 3 2 6 2 5" xfId="16210" xr:uid="{75A69587-DC2B-4F89-A1C6-EA9224AA7988}"/>
    <cellStyle name="Normal 5 3 3 3 2 6 3" xfId="38185" xr:uid="{B7BABCE1-6729-4157-B184-ACC6CBDE07F9}"/>
    <cellStyle name="Normal 5 3 3 3 2 6 4" xfId="29737" xr:uid="{8EC41095-F363-45CD-8254-15B2B064C742}"/>
    <cellStyle name="Normal 5 3 3 3 2 6 5" xfId="21290" xr:uid="{11E893C8-9FAA-4682-8693-1DEFE2741404}"/>
    <cellStyle name="Normal 5 3 3 3 2 6 6" xfId="11993" xr:uid="{273F1BE0-7F4E-4293-A16E-9891ABB23F57}"/>
    <cellStyle name="Normal 5 3 3 3 2 7" xfId="4819" xr:uid="{00000000-0005-0000-0000-0000DA190000}"/>
    <cellStyle name="Normal 5 3 3 3 2 7 2" xfId="40337" xr:uid="{C3244983-44CD-46C8-B28C-7DE413E3C9F8}"/>
    <cellStyle name="Normal 5 3 3 3 2 7 3" xfId="31890" xr:uid="{E479F736-09A5-4A41-B1E2-BA9BA46B8B80}"/>
    <cellStyle name="Normal 5 3 3 3 2 7 4" xfId="23442" xr:uid="{9564B4F3-877E-406B-B8F2-025C1E49C70C}"/>
    <cellStyle name="Normal 5 3 3 3 2 7 5" xfId="14145" xr:uid="{001AEC0C-5979-482C-849B-51CE4165A2A1}"/>
    <cellStyle name="Normal 5 3 3 3 2 8" xfId="9092" xr:uid="{A018BC5E-3880-4BA4-8CFB-322C89A13B5F}"/>
    <cellStyle name="Normal 5 3 3 3 2 8 2" xfId="36120" xr:uid="{BA295A83-C9EC-4D85-A0C2-9D9AD4671805}"/>
    <cellStyle name="Normal 5 3 3 3 2 8 3" xfId="18415" xr:uid="{73C85324-5380-482A-BEAE-82CA3A1269AE}"/>
    <cellStyle name="Normal 5 3 3 3 2 9" xfId="27672" xr:uid="{2CABCFF4-29F2-4E09-A082-815E408FEFE6}"/>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42894" xr:uid="{53C57DCE-29AE-4D65-AF55-EF43AA997077}"/>
    <cellStyle name="Normal 5 3 3 3 3 2 2 3" xfId="34447" xr:uid="{2222F28C-9483-4C10-96A5-D0866C8A7316}"/>
    <cellStyle name="Normal 5 3 3 3 3 2 2 4" xfId="25999" xr:uid="{BDF699F4-C855-4148-B21C-0EBB088AE7A3}"/>
    <cellStyle name="Normal 5 3 3 3 3 2 2 5" xfId="16702" xr:uid="{D72DB5DA-5166-4EC3-877A-51D2B60496F9}"/>
    <cellStyle name="Normal 5 3 3 3 3 2 3" xfId="38677" xr:uid="{22841ECE-9473-48C7-8336-4EF9B8C89CA3}"/>
    <cellStyle name="Normal 5 3 3 3 3 2 4" xfId="30229" xr:uid="{2969070A-83E3-44AF-8E40-253811BA563E}"/>
    <cellStyle name="Normal 5 3 3 3 3 2 5" xfId="21782" xr:uid="{FC6C06F4-93D6-4AFB-967B-B7AB3C0DCC29}"/>
    <cellStyle name="Normal 5 3 3 3 3 2 6" xfId="12485" xr:uid="{06B852DA-127F-4C29-B66E-141BA7B0E920}"/>
    <cellStyle name="Normal 5 3 3 3 3 3" xfId="5231" xr:uid="{00000000-0005-0000-0000-0000DE190000}"/>
    <cellStyle name="Normal 5 3 3 3 3 3 2" xfId="40749" xr:uid="{06B08F0E-4243-4E58-AC42-D174A1F9399D}"/>
    <cellStyle name="Normal 5 3 3 3 3 3 3" xfId="32302" xr:uid="{E015E5E3-0CA2-4FEA-8FD4-0C31ED158ED4}"/>
    <cellStyle name="Normal 5 3 3 3 3 3 4" xfId="23854" xr:uid="{5F2A6D00-2A02-4273-99ED-FA8955D8951E}"/>
    <cellStyle name="Normal 5 3 3 3 3 3 5" xfId="14557" xr:uid="{0470D693-1463-4184-B5D2-10BE5E1E76CD}"/>
    <cellStyle name="Normal 5 3 3 3 3 4" xfId="9310" xr:uid="{D169C31A-17C5-4934-97DF-D90479FD2654}"/>
    <cellStyle name="Normal 5 3 3 3 3 4 2" xfId="36532" xr:uid="{1657DDAC-DCFE-4AC9-87F2-35B0AABFC5A0}"/>
    <cellStyle name="Normal 5 3 3 3 3 4 3" xfId="18623" xr:uid="{65365168-710E-4C18-813A-496703F769ED}"/>
    <cellStyle name="Normal 5 3 3 3 3 5" xfId="28084" xr:uid="{E8285B9A-CCE0-4F9A-B303-F136620A9962}"/>
    <cellStyle name="Normal 5 3 3 3 3 6" xfId="19637" xr:uid="{9D61E9CA-241F-445A-B1A5-00368767FA37}"/>
    <cellStyle name="Normal 5 3 3 3 3 7" xfId="10340" xr:uid="{0D87FADE-1136-4AC9-8B75-C38CE17C0468}"/>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43307" xr:uid="{F1771F8D-1729-4DD4-B77C-6132403A6DC2}"/>
    <cellStyle name="Normal 5 3 3 3 4 2 2 3" xfId="34860" xr:uid="{CF8D344C-4A5B-4071-91FE-12AF0B11B6B6}"/>
    <cellStyle name="Normal 5 3 3 3 4 2 2 4" xfId="26412" xr:uid="{D931F212-068B-472F-93D7-F924FB1DF006}"/>
    <cellStyle name="Normal 5 3 3 3 4 2 2 5" xfId="17115" xr:uid="{1E63226F-F085-49BF-817A-12E28387185C}"/>
    <cellStyle name="Normal 5 3 3 3 4 2 3" xfId="39090" xr:uid="{431D729F-74B8-42CA-BC0A-8B000EA55879}"/>
    <cellStyle name="Normal 5 3 3 3 4 2 4" xfId="30642" xr:uid="{8393D909-780F-4E37-ABA5-81F1C7BCAE3F}"/>
    <cellStyle name="Normal 5 3 3 3 4 2 5" xfId="22195" xr:uid="{FE26D603-7131-4677-A149-4AA8329622A7}"/>
    <cellStyle name="Normal 5 3 3 3 4 2 6" xfId="12898" xr:uid="{928A118B-64B5-41E0-AA74-72E9BF31FF39}"/>
    <cellStyle name="Normal 5 3 3 3 4 3" xfId="5644" xr:uid="{00000000-0005-0000-0000-0000E2190000}"/>
    <cellStyle name="Normal 5 3 3 3 4 3 2" xfId="41162" xr:uid="{95FED3EA-1FBE-4AAA-B169-1A98B929491D}"/>
    <cellStyle name="Normal 5 3 3 3 4 3 3" xfId="32715" xr:uid="{BE68C9E1-43FD-442B-A135-945240D43A96}"/>
    <cellStyle name="Normal 5 3 3 3 4 3 4" xfId="24267" xr:uid="{0781C3E8-35EF-4DA6-BE4A-0A037DD87C0E}"/>
    <cellStyle name="Normal 5 3 3 3 4 3 5" xfId="14970" xr:uid="{3D0B79F2-0A78-4056-B20B-BEF6E2434A1C}"/>
    <cellStyle name="Normal 5 3 3 3 4 4" xfId="36945" xr:uid="{447A9BEC-B49C-497E-8363-656517FC56CB}"/>
    <cellStyle name="Normal 5 3 3 3 4 5" xfId="28497" xr:uid="{428DC331-2B65-4DA8-B94A-0BE44A0C870D}"/>
    <cellStyle name="Normal 5 3 3 3 4 6" xfId="20050" xr:uid="{774629E3-5FB6-4409-88B8-74C4E8E6B111}"/>
    <cellStyle name="Normal 5 3 3 3 4 7" xfId="10753" xr:uid="{27E9CC9B-1A96-479A-AEC5-88078425CDB5}"/>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43720" xr:uid="{0792FDB6-70D2-4135-9E16-90AEEB39C286}"/>
    <cellStyle name="Normal 5 3 3 3 5 2 2 3" xfId="35273" xr:uid="{11ED5A97-9FC0-4D9A-900A-312CD7D551BC}"/>
    <cellStyle name="Normal 5 3 3 3 5 2 2 4" xfId="26825" xr:uid="{8554ECE6-EFF8-44CD-86B5-642302B6406D}"/>
    <cellStyle name="Normal 5 3 3 3 5 2 2 5" xfId="17528" xr:uid="{0A7A3815-FF90-4D1D-8574-58CBDF0BF2A7}"/>
    <cellStyle name="Normal 5 3 3 3 5 2 3" xfId="39503" xr:uid="{334EE19B-A073-4529-B4B9-282D8ED985BF}"/>
    <cellStyle name="Normal 5 3 3 3 5 2 4" xfId="31055" xr:uid="{D4131367-AE22-47F1-879D-52882BCE7926}"/>
    <cellStyle name="Normal 5 3 3 3 5 2 5" xfId="22608" xr:uid="{8A81D7ED-9E8D-4A4A-A6DB-7AD514F640E4}"/>
    <cellStyle name="Normal 5 3 3 3 5 2 6" xfId="13311" xr:uid="{23159411-1C84-48F0-92D4-61E996D2504B}"/>
    <cellStyle name="Normal 5 3 3 3 5 3" xfId="6057" xr:uid="{00000000-0005-0000-0000-0000E6190000}"/>
    <cellStyle name="Normal 5 3 3 3 5 3 2" xfId="41575" xr:uid="{531BC867-02F0-4535-B92C-7CA228021962}"/>
    <cellStyle name="Normal 5 3 3 3 5 3 3" xfId="33128" xr:uid="{0811B07A-D078-4802-B985-DCBB9C6D5BDF}"/>
    <cellStyle name="Normal 5 3 3 3 5 3 4" xfId="24680" xr:uid="{21DF95C5-D640-450B-ACD0-D563A35B2509}"/>
    <cellStyle name="Normal 5 3 3 3 5 3 5" xfId="15383" xr:uid="{3D670B7A-0858-4E7B-85B8-6F285C20F0F3}"/>
    <cellStyle name="Normal 5 3 3 3 5 4" xfId="37358" xr:uid="{78845E60-863A-4181-A064-D99F37218B38}"/>
    <cellStyle name="Normal 5 3 3 3 5 5" xfId="28910" xr:uid="{77FC43F6-5007-4595-A763-7DBF317929F2}"/>
    <cellStyle name="Normal 5 3 3 3 5 6" xfId="20463" xr:uid="{6A39177C-3173-4764-9EF9-F12AD143E9C8}"/>
    <cellStyle name="Normal 5 3 3 3 5 7" xfId="11166" xr:uid="{2194DFD5-C032-4C6E-A749-42B33BFF2780}"/>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44133" xr:uid="{6840A509-5B39-4A51-BE98-3F4E03673713}"/>
    <cellStyle name="Normal 5 3 3 3 6 2 2 3" xfId="35686" xr:uid="{BDA57FEC-949C-4B14-94A6-BBC3A96D68A4}"/>
    <cellStyle name="Normal 5 3 3 3 6 2 2 4" xfId="27238" xr:uid="{6445EF94-3597-4B05-9A6E-612DF5FA9A62}"/>
    <cellStyle name="Normal 5 3 3 3 6 2 2 5" xfId="17941" xr:uid="{37E616AE-7B1B-4E72-A6D3-898F72DD40FB}"/>
    <cellStyle name="Normal 5 3 3 3 6 2 3" xfId="39916" xr:uid="{DAE5F633-0672-467B-B47F-817A46CF3DFB}"/>
    <cellStyle name="Normal 5 3 3 3 6 2 4" xfId="31468" xr:uid="{CDDF1F50-9FFF-4D34-A115-D85008368A62}"/>
    <cellStyle name="Normal 5 3 3 3 6 2 5" xfId="23021" xr:uid="{AFE93F42-E0BA-4F74-95B6-FAC93A99FC99}"/>
    <cellStyle name="Normal 5 3 3 3 6 2 6" xfId="13724" xr:uid="{EE0590EF-46B7-4AE7-8B90-6221AFBADEA5}"/>
    <cellStyle name="Normal 5 3 3 3 6 3" xfId="6470" xr:uid="{00000000-0005-0000-0000-0000EA190000}"/>
    <cellStyle name="Normal 5 3 3 3 6 3 2" xfId="41988" xr:uid="{32D3FF04-B543-48FB-92C9-37C05B922E13}"/>
    <cellStyle name="Normal 5 3 3 3 6 3 3" xfId="33541" xr:uid="{EA6E488A-3BF4-4A4B-816A-5BFEFB13CABB}"/>
    <cellStyle name="Normal 5 3 3 3 6 3 4" xfId="25093" xr:uid="{448FF6D6-021E-41A3-AAA1-8A8E7595CC18}"/>
    <cellStyle name="Normal 5 3 3 3 6 3 5" xfId="15796" xr:uid="{C6856E73-B2D2-4F81-BCB7-7EAF16F0A8CE}"/>
    <cellStyle name="Normal 5 3 3 3 6 4" xfId="37771" xr:uid="{87E4C3BA-4ABA-41DD-8142-FC627990BD83}"/>
    <cellStyle name="Normal 5 3 3 3 6 5" xfId="29323" xr:uid="{346C73A3-90F8-4FC9-98D9-DC53603244D5}"/>
    <cellStyle name="Normal 5 3 3 3 6 6" xfId="20876" xr:uid="{DACE85C8-DE84-4AAF-892A-ED3C740E663E}"/>
    <cellStyle name="Normal 5 3 3 3 6 7" xfId="11579" xr:uid="{C11B7703-3183-4A8E-9B16-E371EA26A559}"/>
    <cellStyle name="Normal 5 3 3 3 7" xfId="2600" xr:uid="{00000000-0005-0000-0000-0000EB190000}"/>
    <cellStyle name="Normal 5 3 3 3 7 2" xfId="6883" xr:uid="{00000000-0005-0000-0000-0000EC190000}"/>
    <cellStyle name="Normal 5 3 3 3 7 2 2" xfId="42401" xr:uid="{ACD67593-64F1-47C9-9DEA-9B679B92F994}"/>
    <cellStyle name="Normal 5 3 3 3 7 2 3" xfId="33954" xr:uid="{2B9BAB33-EB6C-44CA-BE1E-B75971E6CE4B}"/>
    <cellStyle name="Normal 5 3 3 3 7 2 4" xfId="25506" xr:uid="{8884D87B-02E5-43FB-92D5-BE4243B1E53F}"/>
    <cellStyle name="Normal 5 3 3 3 7 2 5" xfId="16209" xr:uid="{D6544D76-E195-49FA-A0D8-01C775CA2F20}"/>
    <cellStyle name="Normal 5 3 3 3 7 3" xfId="38184" xr:uid="{6FEFFEB2-1636-42E5-B2B4-CB5D96955BD1}"/>
    <cellStyle name="Normal 5 3 3 3 7 4" xfId="29736" xr:uid="{B8DB1F6C-8117-464D-BE57-481C64BF5DC1}"/>
    <cellStyle name="Normal 5 3 3 3 7 5" xfId="21289" xr:uid="{F6BF288D-C3A4-4BCD-B705-4C0E16863CFD}"/>
    <cellStyle name="Normal 5 3 3 3 7 6" xfId="11992" xr:uid="{31CDB8A3-8BF0-4B58-A389-8E423445DB6C}"/>
    <cellStyle name="Normal 5 3 3 3 8" xfId="4818" xr:uid="{00000000-0005-0000-0000-0000ED190000}"/>
    <cellStyle name="Normal 5 3 3 3 8 2" xfId="40336" xr:uid="{EAE006DC-12DC-4A7B-BBBB-2BC498026F4F}"/>
    <cellStyle name="Normal 5 3 3 3 8 3" xfId="31889" xr:uid="{C5816233-9180-427E-9F4F-1131553D47D1}"/>
    <cellStyle name="Normal 5 3 3 3 8 4" xfId="23441" xr:uid="{CFA3A515-8D14-4EB1-9C94-9BDD3F34C020}"/>
    <cellStyle name="Normal 5 3 3 3 8 5" xfId="14144" xr:uid="{D92D3C4C-3AD7-4B80-9711-9E150CFB0999}"/>
    <cellStyle name="Normal 5 3 3 3 9" xfId="8885" xr:uid="{BFA59703-C126-4DE9-A819-9190501D5C5B}"/>
    <cellStyle name="Normal 5 3 3 3 9 2" xfId="36119" xr:uid="{B51C7E43-8FA1-46FA-93D1-59ADCC2F6638}"/>
    <cellStyle name="Normal 5 3 3 3 9 3" xfId="18208" xr:uid="{8571FDAC-E6DB-48C8-B57F-14A5B26AF872}"/>
    <cellStyle name="Normal 5 3 3 4" xfId="448" xr:uid="{00000000-0005-0000-0000-0000EE190000}"/>
    <cellStyle name="Normal 5 3 3 4 10" xfId="19226" xr:uid="{BDE8E94C-4DF6-48DB-9251-FDA000506A45}"/>
    <cellStyle name="Normal 5 3 3 4 11" xfId="9929" xr:uid="{B4424DDB-5896-4703-809C-4E94381833B2}"/>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42896" xr:uid="{15C72835-571C-4EF7-94A8-8DE7A9F72420}"/>
    <cellStyle name="Normal 5 3 3 4 2 2 2 3" xfId="34449" xr:uid="{249476F2-B865-44ED-BCF6-C38A42A3FD78}"/>
    <cellStyle name="Normal 5 3 3 4 2 2 2 4" xfId="26001" xr:uid="{84D3FA92-D192-44A7-AD1F-28BC05E3B69F}"/>
    <cellStyle name="Normal 5 3 3 4 2 2 2 5" xfId="16704" xr:uid="{C25A8621-89E1-4B63-A2C4-7EAB4BBC99C6}"/>
    <cellStyle name="Normal 5 3 3 4 2 2 3" xfId="38679" xr:uid="{B80D5F0B-D400-4132-80B8-B4DD6FD399D9}"/>
    <cellStyle name="Normal 5 3 3 4 2 2 4" xfId="30231" xr:uid="{CE2A7E28-1AA5-409B-AACB-EBE5B40C2D68}"/>
    <cellStyle name="Normal 5 3 3 4 2 2 5" xfId="21784" xr:uid="{F750B60F-40C0-440A-978B-17EC4B7DC632}"/>
    <cellStyle name="Normal 5 3 3 4 2 2 6" xfId="12487" xr:uid="{381871F6-2ED2-4633-A00B-DCD7596AB81A}"/>
    <cellStyle name="Normal 5 3 3 4 2 3" xfId="5233" xr:uid="{00000000-0005-0000-0000-0000F2190000}"/>
    <cellStyle name="Normal 5 3 3 4 2 3 2" xfId="40751" xr:uid="{14822D5F-A1BE-4B1D-A031-610BE5140DBA}"/>
    <cellStyle name="Normal 5 3 3 4 2 3 3" xfId="32304" xr:uid="{245933A6-F0D9-46F2-BF43-16F79E7ED044}"/>
    <cellStyle name="Normal 5 3 3 4 2 3 4" xfId="23856" xr:uid="{35A4D07E-3B17-4E5E-9E85-94BC2B461AFC}"/>
    <cellStyle name="Normal 5 3 3 4 2 3 5" xfId="14559" xr:uid="{88858023-A8A3-492B-888C-C779BEC22890}"/>
    <cellStyle name="Normal 5 3 3 4 2 4" xfId="9414" xr:uid="{BD781A4C-FDA7-4D11-87F3-3D38EC19B37A}"/>
    <cellStyle name="Normal 5 3 3 4 2 4 2" xfId="36534" xr:uid="{3F6E9709-0B9E-48FE-85D0-528A6DCEB5FC}"/>
    <cellStyle name="Normal 5 3 3 4 2 4 3" xfId="18727" xr:uid="{06876179-9E9D-4819-8645-CB4AAE32323E}"/>
    <cellStyle name="Normal 5 3 3 4 2 5" xfId="28086" xr:uid="{FFF0A422-69BC-4D16-AD73-F1A14C1FC37C}"/>
    <cellStyle name="Normal 5 3 3 4 2 6" xfId="19639" xr:uid="{B1523B03-F51D-4187-A054-AC3C1F1BEE29}"/>
    <cellStyle name="Normal 5 3 3 4 2 7" xfId="10342" xr:uid="{17371AFD-6071-4DFA-9A0C-CCA329BB9390}"/>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43309" xr:uid="{3F033929-0A7B-42F7-9120-40F9429D0358}"/>
    <cellStyle name="Normal 5 3 3 4 3 2 2 3" xfId="34862" xr:uid="{891E0D39-02D6-43DA-B214-A22BFD9FC7B7}"/>
    <cellStyle name="Normal 5 3 3 4 3 2 2 4" xfId="26414" xr:uid="{1DA4B00D-E6F2-4DBA-88CF-B304B5AF86CA}"/>
    <cellStyle name="Normal 5 3 3 4 3 2 2 5" xfId="17117" xr:uid="{7AE7A723-A3B7-48B1-A060-8B4370C81C57}"/>
    <cellStyle name="Normal 5 3 3 4 3 2 3" xfId="39092" xr:uid="{D391B4F1-DFE5-40CB-8FC8-19ACBEF1E5B5}"/>
    <cellStyle name="Normal 5 3 3 4 3 2 4" xfId="30644" xr:uid="{29D14E60-412F-47E0-BB5C-7B81D1DC1691}"/>
    <cellStyle name="Normal 5 3 3 4 3 2 5" xfId="22197" xr:uid="{92B4D0FB-9F8C-42FF-A7A6-977C732D8E82}"/>
    <cellStyle name="Normal 5 3 3 4 3 2 6" xfId="12900" xr:uid="{165BC8AB-86D8-4411-B1A6-28DD50531EEA}"/>
    <cellStyle name="Normal 5 3 3 4 3 3" xfId="5646" xr:uid="{00000000-0005-0000-0000-0000F6190000}"/>
    <cellStyle name="Normal 5 3 3 4 3 3 2" xfId="41164" xr:uid="{41186111-F56A-44AC-BD05-8C0D335D0999}"/>
    <cellStyle name="Normal 5 3 3 4 3 3 3" xfId="32717" xr:uid="{8B890418-1BA2-48A1-B371-02F5EAD864AA}"/>
    <cellStyle name="Normal 5 3 3 4 3 3 4" xfId="24269" xr:uid="{9CE32F85-9ADF-4387-9E9F-24ADAC2213C1}"/>
    <cellStyle name="Normal 5 3 3 4 3 3 5" xfId="14972" xr:uid="{F63C4C0A-FD4E-4DA8-87CB-14D8ED23D718}"/>
    <cellStyle name="Normal 5 3 3 4 3 4" xfId="36947" xr:uid="{2343DF38-4F02-4128-A37F-CF208E3A6876}"/>
    <cellStyle name="Normal 5 3 3 4 3 5" xfId="28499" xr:uid="{54470EFB-E9EA-4AB6-B005-14699287AC9B}"/>
    <cellStyle name="Normal 5 3 3 4 3 6" xfId="20052" xr:uid="{93C780CC-E33E-48CD-9BB2-9A8AED918185}"/>
    <cellStyle name="Normal 5 3 3 4 3 7" xfId="10755" xr:uid="{5116E987-B595-4FAD-B7F7-7B8D3B5A7EA6}"/>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43722" xr:uid="{29FD35AB-3281-46B5-A811-C5A9AC982345}"/>
    <cellStyle name="Normal 5 3 3 4 4 2 2 3" xfId="35275" xr:uid="{EF513DF0-057A-4CF8-9704-841003EA0D78}"/>
    <cellStyle name="Normal 5 3 3 4 4 2 2 4" xfId="26827" xr:uid="{20698229-3081-499E-971A-9F1C196B66AA}"/>
    <cellStyle name="Normal 5 3 3 4 4 2 2 5" xfId="17530" xr:uid="{9FC66EDC-ADD7-43C9-B934-B0D27EA2C463}"/>
    <cellStyle name="Normal 5 3 3 4 4 2 3" xfId="39505" xr:uid="{3314F6D1-22F4-45CC-B52B-B67D3D8ED527}"/>
    <cellStyle name="Normal 5 3 3 4 4 2 4" xfId="31057" xr:uid="{3C715F3C-8194-4A1E-B453-448306C12232}"/>
    <cellStyle name="Normal 5 3 3 4 4 2 5" xfId="22610" xr:uid="{90B9DA63-EB06-4013-8463-7715ADB5F7A1}"/>
    <cellStyle name="Normal 5 3 3 4 4 2 6" xfId="13313" xr:uid="{7A36158D-901F-404E-8D14-69B11B90CD78}"/>
    <cellStyle name="Normal 5 3 3 4 4 3" xfId="6059" xr:uid="{00000000-0005-0000-0000-0000FA190000}"/>
    <cellStyle name="Normal 5 3 3 4 4 3 2" xfId="41577" xr:uid="{A9E3A1A5-EF8F-4609-B459-C986A721D013}"/>
    <cellStyle name="Normal 5 3 3 4 4 3 3" xfId="33130" xr:uid="{DCF87F84-B244-42CD-A79E-E8D0B3DBE682}"/>
    <cellStyle name="Normal 5 3 3 4 4 3 4" xfId="24682" xr:uid="{94CC11E9-14B1-468B-A415-126E14FA6C0F}"/>
    <cellStyle name="Normal 5 3 3 4 4 3 5" xfId="15385" xr:uid="{84693FC4-8BBB-4319-BFB4-FA7CEF178C54}"/>
    <cellStyle name="Normal 5 3 3 4 4 4" xfId="37360" xr:uid="{FB7712D6-E519-469D-A7D8-0DB7330ACC29}"/>
    <cellStyle name="Normal 5 3 3 4 4 5" xfId="28912" xr:uid="{2E00EB7D-209A-4E4D-9C77-08264B99E28E}"/>
    <cellStyle name="Normal 5 3 3 4 4 6" xfId="20465" xr:uid="{9D910705-0E49-4EA7-A8B5-E589425F66DF}"/>
    <cellStyle name="Normal 5 3 3 4 4 7" xfId="11168" xr:uid="{A0DB3BB8-AD62-45A0-B679-A8A89625327F}"/>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44135" xr:uid="{54E0BE3C-FFE7-4A9C-858D-10142E293FCE}"/>
    <cellStyle name="Normal 5 3 3 4 5 2 2 3" xfId="35688" xr:uid="{CC389572-0026-4DCD-BF16-553621C70678}"/>
    <cellStyle name="Normal 5 3 3 4 5 2 2 4" xfId="27240" xr:uid="{A74020F9-FDFE-4F90-826D-260EC0645F18}"/>
    <cellStyle name="Normal 5 3 3 4 5 2 2 5" xfId="17943" xr:uid="{53682F53-E1C2-441A-A5DC-D16CAAB246BB}"/>
    <cellStyle name="Normal 5 3 3 4 5 2 3" xfId="39918" xr:uid="{42BCF4E5-C3C3-461C-A059-7ACC691C1C68}"/>
    <cellStyle name="Normal 5 3 3 4 5 2 4" xfId="31470" xr:uid="{0EA1F485-F746-4857-B0B0-9E388DE868F3}"/>
    <cellStyle name="Normal 5 3 3 4 5 2 5" xfId="23023" xr:uid="{C50032F1-DCE8-4F88-AF2A-02170A4CA1FA}"/>
    <cellStyle name="Normal 5 3 3 4 5 2 6" xfId="13726" xr:uid="{15AB3B0D-CCEC-410C-AEEC-E4953454F8A1}"/>
    <cellStyle name="Normal 5 3 3 4 5 3" xfId="6472" xr:uid="{00000000-0005-0000-0000-0000FE190000}"/>
    <cellStyle name="Normal 5 3 3 4 5 3 2" xfId="41990" xr:uid="{8D7AF8BA-4199-45C7-BBBB-054DA45FEA69}"/>
    <cellStyle name="Normal 5 3 3 4 5 3 3" xfId="33543" xr:uid="{5C560EC7-15B2-4E09-BC1C-2BF370575159}"/>
    <cellStyle name="Normal 5 3 3 4 5 3 4" xfId="25095" xr:uid="{7A3D5435-F464-466D-AC29-EF3A97A86082}"/>
    <cellStyle name="Normal 5 3 3 4 5 3 5" xfId="15798" xr:uid="{7659CC6A-A45E-4B8B-926E-BBFB5DC37A33}"/>
    <cellStyle name="Normal 5 3 3 4 5 4" xfId="37773" xr:uid="{CCF8360D-818D-4189-8171-B5A8FAE23751}"/>
    <cellStyle name="Normal 5 3 3 4 5 5" xfId="29325" xr:uid="{C302EC4E-F27A-4999-ABF7-F1CE4AFD7D90}"/>
    <cellStyle name="Normal 5 3 3 4 5 6" xfId="20878" xr:uid="{6744EF47-D2C3-4B90-A38C-1A358A1A6BD5}"/>
    <cellStyle name="Normal 5 3 3 4 5 7" xfId="11581" xr:uid="{73B6E161-4F9A-4B64-8992-C0488E101C7D}"/>
    <cellStyle name="Normal 5 3 3 4 6" xfId="2602" xr:uid="{00000000-0005-0000-0000-0000FF190000}"/>
    <cellStyle name="Normal 5 3 3 4 6 2" xfId="6885" xr:uid="{00000000-0005-0000-0000-0000001A0000}"/>
    <cellStyle name="Normal 5 3 3 4 6 2 2" xfId="42403" xr:uid="{81DD091A-4D55-4E1E-AB19-46B29E67AA48}"/>
    <cellStyle name="Normal 5 3 3 4 6 2 3" xfId="33956" xr:uid="{DE648CB6-0EA5-4D79-8DDD-8ED996049464}"/>
    <cellStyle name="Normal 5 3 3 4 6 2 4" xfId="25508" xr:uid="{AB707F8B-D466-48A5-BD43-35F071B2B94F}"/>
    <cellStyle name="Normal 5 3 3 4 6 2 5" xfId="16211" xr:uid="{5A93AC2E-2621-4C05-AAD4-3297C188EA35}"/>
    <cellStyle name="Normal 5 3 3 4 6 3" xfId="38186" xr:uid="{85EA9943-2737-47B0-961B-F86FC70A6182}"/>
    <cellStyle name="Normal 5 3 3 4 6 4" xfId="29738" xr:uid="{D59CEB40-4258-4BE1-A95E-D2E798DAF29B}"/>
    <cellStyle name="Normal 5 3 3 4 6 5" xfId="21291" xr:uid="{884201C3-8AB0-4452-9A6C-A1EB2A308FEA}"/>
    <cellStyle name="Normal 5 3 3 4 6 6" xfId="11994" xr:uid="{D839FB3F-C8E3-4232-B47F-4D072DB61C42}"/>
    <cellStyle name="Normal 5 3 3 4 7" xfId="4820" xr:uid="{00000000-0005-0000-0000-0000011A0000}"/>
    <cellStyle name="Normal 5 3 3 4 7 2" xfId="40338" xr:uid="{CD64346B-3C5E-48A0-83AC-C73CD5DAE2AA}"/>
    <cellStyle name="Normal 5 3 3 4 7 3" xfId="31891" xr:uid="{6295F966-E106-4706-BA6C-0FEA71539BD5}"/>
    <cellStyle name="Normal 5 3 3 4 7 4" xfId="23443" xr:uid="{DF759E01-F5EC-42F1-9B66-B8BF7630E4C0}"/>
    <cellStyle name="Normal 5 3 3 4 7 5" xfId="14146" xr:uid="{F725B531-D4B7-4433-AE7A-9485A9C2DFBE}"/>
    <cellStyle name="Normal 5 3 3 4 8" xfId="8989" xr:uid="{20FA1483-98E6-46C4-B00B-4EAF7957981D}"/>
    <cellStyle name="Normal 5 3 3 4 8 2" xfId="36121" xr:uid="{A0CB3FF7-E681-4D9D-8D0D-E4AEE217FC46}"/>
    <cellStyle name="Normal 5 3 3 4 8 3" xfId="18312" xr:uid="{0A26E4C8-5F8A-42DD-9B8D-FF06E0385F94}"/>
    <cellStyle name="Normal 5 3 3 4 9" xfId="27673" xr:uid="{6771F1FA-2724-43FB-B4B2-10999F912292}"/>
    <cellStyle name="Normal 5 3 3 5" xfId="915" xr:uid="{00000000-0005-0000-0000-0000021A0000}"/>
    <cellStyle name="Normal 5 3 3 5 2" xfId="3149" xr:uid="{00000000-0005-0000-0000-0000031A0000}"/>
    <cellStyle name="Normal 5 3 3 5 2 2" xfId="7371" xr:uid="{00000000-0005-0000-0000-0000041A0000}"/>
    <cellStyle name="Normal 5 3 3 5 2 2 2" xfId="42889" xr:uid="{B768601F-47D1-4525-A75B-DCD0A7FD1ACC}"/>
    <cellStyle name="Normal 5 3 3 5 2 2 3" xfId="34442" xr:uid="{9084B25B-F1A8-4A20-8FF6-6E567A8D8EB6}"/>
    <cellStyle name="Normal 5 3 3 5 2 2 4" xfId="25994" xr:uid="{EFD239B9-FEE1-41F1-8B62-7243F0AB2C18}"/>
    <cellStyle name="Normal 5 3 3 5 2 2 5" xfId="16697" xr:uid="{5EF714B2-7E25-442A-88F6-6266B4F361D4}"/>
    <cellStyle name="Normal 5 3 3 5 2 3" xfId="38672" xr:uid="{93D00B7D-69AF-4976-8B99-FFDDE088D9C0}"/>
    <cellStyle name="Normal 5 3 3 5 2 4" xfId="30224" xr:uid="{F5167F74-C877-48A6-8BB6-8DD94946B959}"/>
    <cellStyle name="Normal 5 3 3 5 2 5" xfId="21777" xr:uid="{004F89C9-2C33-4042-82EB-D330B930CD03}"/>
    <cellStyle name="Normal 5 3 3 5 2 6" xfId="12480" xr:uid="{88D2BD80-6D4A-4D3C-A0F9-20CAA4F1DACF}"/>
    <cellStyle name="Normal 5 3 3 5 3" xfId="5226" xr:uid="{00000000-0005-0000-0000-0000051A0000}"/>
    <cellStyle name="Normal 5 3 3 5 3 2" xfId="40744" xr:uid="{49CB695E-7CB7-4907-B9AC-09580EFA9948}"/>
    <cellStyle name="Normal 5 3 3 5 3 3" xfId="32297" xr:uid="{C6F38C03-91BA-4A08-8BBC-8C2E719C0AA2}"/>
    <cellStyle name="Normal 5 3 3 5 3 4" xfId="23849" xr:uid="{DA90CE5C-9CD2-447C-A7E6-EAA2C79361C0}"/>
    <cellStyle name="Normal 5 3 3 5 3 5" xfId="14552" xr:uid="{FC785CF5-1C01-40B0-B385-048D4BCFB2DB}"/>
    <cellStyle name="Normal 5 3 3 5 4" xfId="9206" xr:uid="{CA749CBB-EAB5-483B-862D-D7B95A23D45C}"/>
    <cellStyle name="Normal 5 3 3 5 4 2" xfId="36527" xr:uid="{D9E411CE-37F6-46DE-927E-02AF4699017D}"/>
    <cellStyle name="Normal 5 3 3 5 4 3" xfId="18520" xr:uid="{4D81CA5A-9378-4F1F-A658-5CC5D2FE9E0E}"/>
    <cellStyle name="Normal 5 3 3 5 5" xfId="28079" xr:uid="{18C4718C-429B-403A-8E9F-3F1B4BC88F45}"/>
    <cellStyle name="Normal 5 3 3 5 6" xfId="19632" xr:uid="{3497BF75-0D1F-442D-9A3E-344152187708}"/>
    <cellStyle name="Normal 5 3 3 5 7" xfId="10335" xr:uid="{C0F357FB-95DB-44BD-83C5-20E619F4A79F}"/>
    <cellStyle name="Normal 5 3 3 6" xfId="1332" xr:uid="{00000000-0005-0000-0000-0000061A0000}"/>
    <cellStyle name="Normal 5 3 3 6 2" xfId="3562" xr:uid="{00000000-0005-0000-0000-0000071A0000}"/>
    <cellStyle name="Normal 5 3 3 6 2 2" xfId="7784" xr:uid="{00000000-0005-0000-0000-0000081A0000}"/>
    <cellStyle name="Normal 5 3 3 6 2 2 2" xfId="43302" xr:uid="{EEFF3689-9BB0-4DE3-ADC2-9FF8B7DEEFE5}"/>
    <cellStyle name="Normal 5 3 3 6 2 2 3" xfId="34855" xr:uid="{31F03AF7-B691-45B5-97ED-E3F277D46300}"/>
    <cellStyle name="Normal 5 3 3 6 2 2 4" xfId="26407" xr:uid="{4E628EE4-2FF4-494A-8BAD-2CA40A41BB29}"/>
    <cellStyle name="Normal 5 3 3 6 2 2 5" xfId="17110" xr:uid="{DBF30825-B684-48F3-8428-D8968EA37471}"/>
    <cellStyle name="Normal 5 3 3 6 2 3" xfId="39085" xr:uid="{3D7E36BC-7222-40E0-A3A1-AA018E3043BF}"/>
    <cellStyle name="Normal 5 3 3 6 2 4" xfId="30637" xr:uid="{94F2B159-C4AA-4008-B208-83649BA38636}"/>
    <cellStyle name="Normal 5 3 3 6 2 5" xfId="22190" xr:uid="{E02C8F90-EBF4-4892-B0BF-F7C584E14804}"/>
    <cellStyle name="Normal 5 3 3 6 2 6" xfId="12893" xr:uid="{69876A4D-0F3F-4452-95DE-2BB6817B8B83}"/>
    <cellStyle name="Normal 5 3 3 6 3" xfId="5639" xr:uid="{00000000-0005-0000-0000-0000091A0000}"/>
    <cellStyle name="Normal 5 3 3 6 3 2" xfId="41157" xr:uid="{1188BE54-878C-4D85-996A-C9196EB0D7F3}"/>
    <cellStyle name="Normal 5 3 3 6 3 3" xfId="32710" xr:uid="{2BD452F1-9C97-4DC5-A2AF-4A80B2C362F1}"/>
    <cellStyle name="Normal 5 3 3 6 3 4" xfId="24262" xr:uid="{8B8E5340-2AFB-4ED0-B309-E7F43860863E}"/>
    <cellStyle name="Normal 5 3 3 6 3 5" xfId="14965" xr:uid="{B5CA139E-2ACF-4F9B-A05C-A74C5E0D82E2}"/>
    <cellStyle name="Normal 5 3 3 6 4" xfId="36940" xr:uid="{8C98C0B6-DFBB-42A3-A47A-1282B382D85D}"/>
    <cellStyle name="Normal 5 3 3 6 5" xfId="28492" xr:uid="{FA12A359-CBB6-4384-8FCF-B6ADD9E7DACA}"/>
    <cellStyle name="Normal 5 3 3 6 6" xfId="20045" xr:uid="{04D87405-411D-4467-8165-6796F9CAC0F8}"/>
    <cellStyle name="Normal 5 3 3 6 7" xfId="10748" xr:uid="{4B24148C-8088-4C8C-91BA-E8317AD5D40C}"/>
    <cellStyle name="Normal 5 3 3 7" xfId="1745" xr:uid="{00000000-0005-0000-0000-00000A1A0000}"/>
    <cellStyle name="Normal 5 3 3 7 2" xfId="3975" xr:uid="{00000000-0005-0000-0000-00000B1A0000}"/>
    <cellStyle name="Normal 5 3 3 7 2 2" xfId="8197" xr:uid="{00000000-0005-0000-0000-00000C1A0000}"/>
    <cellStyle name="Normal 5 3 3 7 2 2 2" xfId="43715" xr:uid="{F02E5DA4-127D-492D-8752-E6920FA25A1D}"/>
    <cellStyle name="Normal 5 3 3 7 2 2 3" xfId="35268" xr:uid="{755C0D8E-0A9F-42DC-B519-833A6DD9AF74}"/>
    <cellStyle name="Normal 5 3 3 7 2 2 4" xfId="26820" xr:uid="{2F08F08B-0EE8-440F-9F13-536B4B1A760B}"/>
    <cellStyle name="Normal 5 3 3 7 2 2 5" xfId="17523" xr:uid="{311B4C5D-5955-4569-8406-8C35E50E184C}"/>
    <cellStyle name="Normal 5 3 3 7 2 3" xfId="39498" xr:uid="{40D08C12-8AD3-4981-AF4E-86DFF637EBB4}"/>
    <cellStyle name="Normal 5 3 3 7 2 4" xfId="31050" xr:uid="{18A1E215-F827-427B-8407-05B4949537AA}"/>
    <cellStyle name="Normal 5 3 3 7 2 5" xfId="22603" xr:uid="{A25C54F5-C268-459D-8E08-637805F03F30}"/>
    <cellStyle name="Normal 5 3 3 7 2 6" xfId="13306" xr:uid="{6DAC80A1-3633-4461-B409-F148F7508984}"/>
    <cellStyle name="Normal 5 3 3 7 3" xfId="6052" xr:uid="{00000000-0005-0000-0000-00000D1A0000}"/>
    <cellStyle name="Normal 5 3 3 7 3 2" xfId="41570" xr:uid="{44550782-AD22-40A3-97E0-8B235EDB6B5D}"/>
    <cellStyle name="Normal 5 3 3 7 3 3" xfId="33123" xr:uid="{748B0AF1-72D1-4BD6-B442-4EB5A2DF2BF2}"/>
    <cellStyle name="Normal 5 3 3 7 3 4" xfId="24675" xr:uid="{C009CEC0-AB7B-4C57-A586-A1A918022576}"/>
    <cellStyle name="Normal 5 3 3 7 3 5" xfId="15378" xr:uid="{56C66BDA-93FA-40D9-887D-2EBDF24E7B55}"/>
    <cellStyle name="Normal 5 3 3 7 4" xfId="37353" xr:uid="{5171D942-E59C-4368-AFD0-1199FF4A388A}"/>
    <cellStyle name="Normal 5 3 3 7 5" xfId="28905" xr:uid="{B41FDF4D-63C1-4342-ABDD-EEE233484467}"/>
    <cellStyle name="Normal 5 3 3 7 6" xfId="20458" xr:uid="{7F59CDD9-F260-4D5B-84F2-ABF811222966}"/>
    <cellStyle name="Normal 5 3 3 7 7" xfId="11161" xr:uid="{338A0EF0-A6A1-4945-8329-5A5FFA10557C}"/>
    <cellStyle name="Normal 5 3 3 8" xfId="2159" xr:uid="{00000000-0005-0000-0000-00000E1A0000}"/>
    <cellStyle name="Normal 5 3 3 8 2" xfId="4388" xr:uid="{00000000-0005-0000-0000-00000F1A0000}"/>
    <cellStyle name="Normal 5 3 3 8 2 2" xfId="8610" xr:uid="{00000000-0005-0000-0000-0000101A0000}"/>
    <cellStyle name="Normal 5 3 3 8 2 2 2" xfId="44128" xr:uid="{215C770B-0625-4BDA-953E-288A6D441080}"/>
    <cellStyle name="Normal 5 3 3 8 2 2 3" xfId="35681" xr:uid="{4F1FFFA5-E192-4AC1-8240-BF59B63AA83C}"/>
    <cellStyle name="Normal 5 3 3 8 2 2 4" xfId="27233" xr:uid="{75294E54-E337-4598-BBCB-FC7811C66135}"/>
    <cellStyle name="Normal 5 3 3 8 2 2 5" xfId="17936" xr:uid="{8DF479ED-4518-4C50-81B3-6A2F7D9F7258}"/>
    <cellStyle name="Normal 5 3 3 8 2 3" xfId="39911" xr:uid="{9684C33F-9726-4C50-909C-8090E335D958}"/>
    <cellStyle name="Normal 5 3 3 8 2 4" xfId="31463" xr:uid="{D4BD5236-3B4D-4A7F-9C87-62CCC559567C}"/>
    <cellStyle name="Normal 5 3 3 8 2 5" xfId="23016" xr:uid="{F04CDB9E-200C-41D2-8CD1-CA9B9F11DB64}"/>
    <cellStyle name="Normal 5 3 3 8 2 6" xfId="13719" xr:uid="{109DF180-63B1-47F1-A0DF-FB99B48D0618}"/>
    <cellStyle name="Normal 5 3 3 8 3" xfId="6465" xr:uid="{00000000-0005-0000-0000-0000111A0000}"/>
    <cellStyle name="Normal 5 3 3 8 3 2" xfId="41983" xr:uid="{65ADF4CE-FD5E-46CF-A2B4-81D6C7B1714F}"/>
    <cellStyle name="Normal 5 3 3 8 3 3" xfId="33536" xr:uid="{A2ECF29E-A2A0-46D8-AAB0-68C36DA9D655}"/>
    <cellStyle name="Normal 5 3 3 8 3 4" xfId="25088" xr:uid="{410F53AE-02ED-4BC9-9C63-C8E34E8C214A}"/>
    <cellStyle name="Normal 5 3 3 8 3 5" xfId="15791" xr:uid="{6EA1E3D3-F0CC-494C-A625-F01174D01DE7}"/>
    <cellStyle name="Normal 5 3 3 8 4" xfId="37766" xr:uid="{321D3B00-62A2-4546-A7C2-BE879D12601C}"/>
    <cellStyle name="Normal 5 3 3 8 5" xfId="29318" xr:uid="{7B82A527-F963-4550-BA24-1D2710CDEC00}"/>
    <cellStyle name="Normal 5 3 3 8 6" xfId="20871" xr:uid="{23CE54F5-C1FE-4BD0-B253-9A0FD6F7FADB}"/>
    <cellStyle name="Normal 5 3 3 8 7" xfId="11574" xr:uid="{AFB9B2DD-DA85-4487-B32D-9A97DAFD25F1}"/>
    <cellStyle name="Normal 5 3 3 9" xfId="2595" xr:uid="{00000000-0005-0000-0000-0000121A0000}"/>
    <cellStyle name="Normal 5 3 3 9 2" xfId="6878" xr:uid="{00000000-0005-0000-0000-0000131A0000}"/>
    <cellStyle name="Normal 5 3 3 9 2 2" xfId="42396" xr:uid="{B892D25C-292E-4598-9A5F-899E5B3B1D1A}"/>
    <cellStyle name="Normal 5 3 3 9 2 3" xfId="33949" xr:uid="{BC6EDF0E-DE7D-4638-A717-1B947F174B5B}"/>
    <cellStyle name="Normal 5 3 3 9 2 4" xfId="25501" xr:uid="{AC8E6389-5721-47CA-BD6E-C458210B0A56}"/>
    <cellStyle name="Normal 5 3 3 9 2 5" xfId="16204" xr:uid="{4CAB01C1-3877-424E-B051-09515F3F0C4A}"/>
    <cellStyle name="Normal 5 3 3 9 3" xfId="38179" xr:uid="{66BB4DCE-DC01-4C30-8791-37EC2062ADE6}"/>
    <cellStyle name="Normal 5 3 3 9 4" xfId="29731" xr:uid="{2BC171ED-E599-4AB8-8654-AF7240D96D76}"/>
    <cellStyle name="Normal 5 3 3 9 5" xfId="21284" xr:uid="{7BE302FE-2630-4A8F-915B-64D5D23F073B}"/>
    <cellStyle name="Normal 5 3 3 9 6" xfId="11987" xr:uid="{3BC5943F-6A7E-469F-9692-22DCB3B15977}"/>
    <cellStyle name="Normal 5 3 4" xfId="449" xr:uid="{00000000-0005-0000-0000-0000141A0000}"/>
    <cellStyle name="Normal 5 3 4 10" xfId="8831" xr:uid="{39AD872D-FBC2-4C4A-B537-79F8014E4247}"/>
    <cellStyle name="Normal 5 3 4 10 2" xfId="36122" xr:uid="{9F87A319-302F-4F30-9ADC-6406B2EEF4E8}"/>
    <cellStyle name="Normal 5 3 4 10 3" xfId="18154" xr:uid="{235CCAC8-4D49-47E8-8885-CE056CEA4448}"/>
    <cellStyle name="Normal 5 3 4 11" xfId="27674" xr:uid="{106A88E1-33FB-426B-9621-93802B2A12A2}"/>
    <cellStyle name="Normal 5 3 4 12" xfId="19227" xr:uid="{07F5A2F8-7C29-4F94-8532-984044D0F630}"/>
    <cellStyle name="Normal 5 3 4 13" xfId="9930" xr:uid="{E8F830C6-AB09-406C-9D4C-97DFDC0B5BFA}"/>
    <cellStyle name="Normal 5 3 4 2" xfId="450" xr:uid="{00000000-0005-0000-0000-0000151A0000}"/>
    <cellStyle name="Normal 5 3 4 2 10" xfId="27675" xr:uid="{ECF73B20-4CB1-42E8-BEBF-FDA6E6726D5B}"/>
    <cellStyle name="Normal 5 3 4 2 11" xfId="19228" xr:uid="{68076807-2BA5-47CB-A432-07B336796555}"/>
    <cellStyle name="Normal 5 3 4 2 12" xfId="9931" xr:uid="{31D8B102-91F6-451D-9160-AE7EFAD8DB10}"/>
    <cellStyle name="Normal 5 3 4 2 2" xfId="451" xr:uid="{00000000-0005-0000-0000-0000161A0000}"/>
    <cellStyle name="Normal 5 3 4 2 2 10" xfId="19229" xr:uid="{02B9DACE-43E1-425F-B850-D889D7BC90A4}"/>
    <cellStyle name="Normal 5 3 4 2 2 11" xfId="9932" xr:uid="{E5F34AA5-CB51-47BC-8B64-0EB370C42F24}"/>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42899" xr:uid="{3BA892DB-8F88-4A2B-A650-EA7805B439C1}"/>
    <cellStyle name="Normal 5 3 4 2 2 2 2 2 3" xfId="34452" xr:uid="{3714B1FD-ACF3-428B-86A0-5BA014871CEA}"/>
    <cellStyle name="Normal 5 3 4 2 2 2 2 2 4" xfId="26004" xr:uid="{4F83FABD-C57D-4F41-A6D7-9543992E6471}"/>
    <cellStyle name="Normal 5 3 4 2 2 2 2 2 5" xfId="16707" xr:uid="{801F421D-0684-4469-BDDC-8087BF1A9939}"/>
    <cellStyle name="Normal 5 3 4 2 2 2 2 3" xfId="38682" xr:uid="{B3AC6972-D9DC-4095-AB91-949A78C64CB0}"/>
    <cellStyle name="Normal 5 3 4 2 2 2 2 4" xfId="30234" xr:uid="{4E878270-42A2-45C2-A906-E6847924D206}"/>
    <cellStyle name="Normal 5 3 4 2 2 2 2 5" xfId="21787" xr:uid="{D9C0941B-062F-4AE6-BFC1-0DA3740E5D5E}"/>
    <cellStyle name="Normal 5 3 4 2 2 2 2 6" xfId="12490" xr:uid="{7A2046B0-9CA4-4132-84C8-08E60257ACC3}"/>
    <cellStyle name="Normal 5 3 4 2 2 2 3" xfId="5236" xr:uid="{00000000-0005-0000-0000-00001A1A0000}"/>
    <cellStyle name="Normal 5 3 4 2 2 2 3 2" xfId="40754" xr:uid="{0C89A775-411A-4DE5-B233-2EB6CF4EAC75}"/>
    <cellStyle name="Normal 5 3 4 2 2 2 3 3" xfId="32307" xr:uid="{4DD01B28-37D8-4FED-B685-D1026D034E0A}"/>
    <cellStyle name="Normal 5 3 4 2 2 2 3 4" xfId="23859" xr:uid="{318FC655-64CF-4CBD-B70F-AE204FFE498F}"/>
    <cellStyle name="Normal 5 3 4 2 2 2 3 5" xfId="14562" xr:uid="{8BF42023-0933-4883-984C-E678CC1A361C}"/>
    <cellStyle name="Normal 5 3 4 2 2 2 4" xfId="9566" xr:uid="{D483C248-9680-462F-989C-42C712CD6EB7}"/>
    <cellStyle name="Normal 5 3 4 2 2 2 4 2" xfId="36537" xr:uid="{E40DC519-3097-472E-9B69-B5ED54E6D664}"/>
    <cellStyle name="Normal 5 3 4 2 2 2 4 3" xfId="18879" xr:uid="{D320B23A-B6EA-497F-827E-17B053940883}"/>
    <cellStyle name="Normal 5 3 4 2 2 2 5" xfId="28089" xr:uid="{7D77CEC8-5858-421E-88BC-3BA4796198E9}"/>
    <cellStyle name="Normal 5 3 4 2 2 2 6" xfId="19642" xr:uid="{DC68435B-3090-4B1B-BE1D-628656156C26}"/>
    <cellStyle name="Normal 5 3 4 2 2 2 7" xfId="10345" xr:uid="{50757E5A-DF32-4721-A3CA-B4035181273A}"/>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43312" xr:uid="{48925AB2-C810-4DF8-8400-B3616A80AECF}"/>
    <cellStyle name="Normal 5 3 4 2 2 3 2 2 3" xfId="34865" xr:uid="{3A9BE64A-D8F9-42CF-955C-FE6B3FFA1BBF}"/>
    <cellStyle name="Normal 5 3 4 2 2 3 2 2 4" xfId="26417" xr:uid="{F912F0E6-2DCD-4A9D-AB91-46CB52C4A252}"/>
    <cellStyle name="Normal 5 3 4 2 2 3 2 2 5" xfId="17120" xr:uid="{F5E7231E-3342-4D91-9200-1239545226A7}"/>
    <cellStyle name="Normal 5 3 4 2 2 3 2 3" xfId="39095" xr:uid="{D2418F74-53ED-4BC2-B0EA-4D3E88AAB8C4}"/>
    <cellStyle name="Normal 5 3 4 2 2 3 2 4" xfId="30647" xr:uid="{CDB35D14-8996-4B74-AA41-BA372D469E92}"/>
    <cellStyle name="Normal 5 3 4 2 2 3 2 5" xfId="22200" xr:uid="{32C6B863-BD7A-4EE8-94E3-E556F5ED186E}"/>
    <cellStyle name="Normal 5 3 4 2 2 3 2 6" xfId="12903" xr:uid="{7B1FF692-EC2A-4C23-A5F0-0A64C5FFF4DC}"/>
    <cellStyle name="Normal 5 3 4 2 2 3 3" xfId="5649" xr:uid="{00000000-0005-0000-0000-00001E1A0000}"/>
    <cellStyle name="Normal 5 3 4 2 2 3 3 2" xfId="41167" xr:uid="{691129A3-7053-4641-A919-8BF7B44D5B02}"/>
    <cellStyle name="Normal 5 3 4 2 2 3 3 3" xfId="32720" xr:uid="{C8AE73CE-34A3-4DC7-A7DF-2E40129D70AC}"/>
    <cellStyle name="Normal 5 3 4 2 2 3 3 4" xfId="24272" xr:uid="{E560D129-125A-4A03-AC0D-662EA7F06D41}"/>
    <cellStyle name="Normal 5 3 4 2 2 3 3 5" xfId="14975" xr:uid="{DBED891D-1F06-40F6-AE19-C18A8CF10EBB}"/>
    <cellStyle name="Normal 5 3 4 2 2 3 4" xfId="36950" xr:uid="{D7681ABA-0A9F-47C6-A136-92EE0E9B56F4}"/>
    <cellStyle name="Normal 5 3 4 2 2 3 5" xfId="28502" xr:uid="{F28865A7-C58E-4A08-A7ED-52BA2CFB5528}"/>
    <cellStyle name="Normal 5 3 4 2 2 3 6" xfId="20055" xr:uid="{6688F6B1-5100-44B8-B369-5375158FEC03}"/>
    <cellStyle name="Normal 5 3 4 2 2 3 7" xfId="10758" xr:uid="{20F367F7-93A0-4742-8255-81BC9950A16B}"/>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43725" xr:uid="{432A47B7-619D-4E13-B945-36B3CB654F6C}"/>
    <cellStyle name="Normal 5 3 4 2 2 4 2 2 3" xfId="35278" xr:uid="{41EBEC7B-30C0-4124-9375-20D3B776D861}"/>
    <cellStyle name="Normal 5 3 4 2 2 4 2 2 4" xfId="26830" xr:uid="{A67E1420-5116-49D7-ACD2-D71EC618C221}"/>
    <cellStyle name="Normal 5 3 4 2 2 4 2 2 5" xfId="17533" xr:uid="{4FB9E4D4-CC0F-4389-A44A-1C701C28DF87}"/>
    <cellStyle name="Normal 5 3 4 2 2 4 2 3" xfId="39508" xr:uid="{76384868-8221-41FB-9EA1-284DB5C2591B}"/>
    <cellStyle name="Normal 5 3 4 2 2 4 2 4" xfId="31060" xr:uid="{FC91FAC0-2430-46FE-9E70-14D886B05404}"/>
    <cellStyle name="Normal 5 3 4 2 2 4 2 5" xfId="22613" xr:uid="{C4E982D4-20C5-46FF-8DF5-1DAB028D7BED}"/>
    <cellStyle name="Normal 5 3 4 2 2 4 2 6" xfId="13316" xr:uid="{FBBCC3EB-E64A-4F45-8614-DDF05E2CD0D4}"/>
    <cellStyle name="Normal 5 3 4 2 2 4 3" xfId="6062" xr:uid="{00000000-0005-0000-0000-0000221A0000}"/>
    <cellStyle name="Normal 5 3 4 2 2 4 3 2" xfId="41580" xr:uid="{A46BA25B-ABC1-4C68-94AD-C202801538FD}"/>
    <cellStyle name="Normal 5 3 4 2 2 4 3 3" xfId="33133" xr:uid="{E66995EE-E5C4-4812-AD70-A10D5B69405C}"/>
    <cellStyle name="Normal 5 3 4 2 2 4 3 4" xfId="24685" xr:uid="{27295318-15D1-4251-AFF2-059F0621CB43}"/>
    <cellStyle name="Normal 5 3 4 2 2 4 3 5" xfId="15388" xr:uid="{9AFD68F9-4437-44DB-9C84-F24F39F96611}"/>
    <cellStyle name="Normal 5 3 4 2 2 4 4" xfId="37363" xr:uid="{714599F1-942F-4A0F-B095-6C2ED1D76851}"/>
    <cellStyle name="Normal 5 3 4 2 2 4 5" xfId="28915" xr:uid="{763E280F-6006-4530-B8D4-BFA5BB5E0BC7}"/>
    <cellStyle name="Normal 5 3 4 2 2 4 6" xfId="20468" xr:uid="{D09FEE12-373B-421C-AAD9-46A0CEDD8EDF}"/>
    <cellStyle name="Normal 5 3 4 2 2 4 7" xfId="11171" xr:uid="{DBECE97E-21A9-49F1-91CB-E55BCCEF7961}"/>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44138" xr:uid="{97A5DCFD-ED5C-4431-B0BA-EB148BA7BA7D}"/>
    <cellStyle name="Normal 5 3 4 2 2 5 2 2 3" xfId="35691" xr:uid="{B859E7C5-B16B-48CC-8FF1-FE17D4FB6D5F}"/>
    <cellStyle name="Normal 5 3 4 2 2 5 2 2 4" xfId="27243" xr:uid="{14E749E3-947D-4853-A4F8-8A3E6BEA40FC}"/>
    <cellStyle name="Normal 5 3 4 2 2 5 2 2 5" xfId="17946" xr:uid="{1BC77F52-E419-4357-9EEF-85E5E55AE64D}"/>
    <cellStyle name="Normal 5 3 4 2 2 5 2 3" xfId="39921" xr:uid="{9BEF883F-3C80-496D-BBA1-B133F84F6DC7}"/>
    <cellStyle name="Normal 5 3 4 2 2 5 2 4" xfId="31473" xr:uid="{45910833-48CC-4A12-9B18-990F50E192E9}"/>
    <cellStyle name="Normal 5 3 4 2 2 5 2 5" xfId="23026" xr:uid="{48331F01-2C77-4740-A995-BB79BD8C6ECB}"/>
    <cellStyle name="Normal 5 3 4 2 2 5 2 6" xfId="13729" xr:uid="{04458FBE-A603-4E43-8537-5F1D3B4C4EFE}"/>
    <cellStyle name="Normal 5 3 4 2 2 5 3" xfId="6475" xr:uid="{00000000-0005-0000-0000-0000261A0000}"/>
    <cellStyle name="Normal 5 3 4 2 2 5 3 2" xfId="41993" xr:uid="{4D5F007A-B8A7-46F0-BF10-6FA08B9243D7}"/>
    <cellStyle name="Normal 5 3 4 2 2 5 3 3" xfId="33546" xr:uid="{7ED8A36E-29F8-468A-8618-6DE785869C8B}"/>
    <cellStyle name="Normal 5 3 4 2 2 5 3 4" xfId="25098" xr:uid="{B1D5D593-F69D-4478-BC54-CE758E68AA8D}"/>
    <cellStyle name="Normal 5 3 4 2 2 5 3 5" xfId="15801" xr:uid="{2872497E-4BDA-44C1-862F-DD47C6F09D13}"/>
    <cellStyle name="Normal 5 3 4 2 2 5 4" xfId="37776" xr:uid="{27A1BC04-2915-442B-BEC3-F2BB9F8BCD88}"/>
    <cellStyle name="Normal 5 3 4 2 2 5 5" xfId="29328" xr:uid="{CA6E8C6D-1CE1-45BA-9D3A-CAE062AED587}"/>
    <cellStyle name="Normal 5 3 4 2 2 5 6" xfId="20881" xr:uid="{6B07B67D-921D-45F1-A7E7-02975C29E127}"/>
    <cellStyle name="Normal 5 3 4 2 2 5 7" xfId="11584" xr:uid="{861981DD-6E9B-4216-B73B-FD8650301A0D}"/>
    <cellStyle name="Normal 5 3 4 2 2 6" xfId="2605" xr:uid="{00000000-0005-0000-0000-0000271A0000}"/>
    <cellStyle name="Normal 5 3 4 2 2 6 2" xfId="6888" xr:uid="{00000000-0005-0000-0000-0000281A0000}"/>
    <cellStyle name="Normal 5 3 4 2 2 6 2 2" xfId="42406" xr:uid="{148D8793-D531-42A5-B9E4-2137CC8C0CD8}"/>
    <cellStyle name="Normal 5 3 4 2 2 6 2 3" xfId="33959" xr:uid="{56401AED-2BC5-464F-A00A-15DDA47D933D}"/>
    <cellStyle name="Normal 5 3 4 2 2 6 2 4" xfId="25511" xr:uid="{3D9A7E36-14B2-4B50-B295-DFE121BBAD1A}"/>
    <cellStyle name="Normal 5 3 4 2 2 6 2 5" xfId="16214" xr:uid="{F4EAFD2D-9E9A-4497-8CF7-6A070126979B}"/>
    <cellStyle name="Normal 5 3 4 2 2 6 3" xfId="38189" xr:uid="{EC93EE2F-065D-4990-AD5A-6E9AE065DD2B}"/>
    <cellStyle name="Normal 5 3 4 2 2 6 4" xfId="29741" xr:uid="{0165E7BE-7C8A-497F-A996-24CE3A177E9E}"/>
    <cellStyle name="Normal 5 3 4 2 2 6 5" xfId="21294" xr:uid="{303EBD19-C77A-4965-9135-1085A93E5B4D}"/>
    <cellStyle name="Normal 5 3 4 2 2 6 6" xfId="11997" xr:uid="{B2989D97-086C-4BC1-9197-5A7D89C9920F}"/>
    <cellStyle name="Normal 5 3 4 2 2 7" xfId="4823" xr:uid="{00000000-0005-0000-0000-0000291A0000}"/>
    <cellStyle name="Normal 5 3 4 2 2 7 2" xfId="40341" xr:uid="{B17C4B79-C348-41EC-B24A-8A8DE9790B17}"/>
    <cellStyle name="Normal 5 3 4 2 2 7 3" xfId="31894" xr:uid="{D3B84110-DAF4-40A3-9F7E-BB7B5354C897}"/>
    <cellStyle name="Normal 5 3 4 2 2 7 4" xfId="23446" xr:uid="{58AE285A-B194-4EEC-9250-F5C0EB656D64}"/>
    <cellStyle name="Normal 5 3 4 2 2 7 5" xfId="14149" xr:uid="{A3AC7F40-70C4-4427-8CDE-B79AF6858634}"/>
    <cellStyle name="Normal 5 3 4 2 2 8" xfId="9141" xr:uid="{6B63A6D0-0E60-498B-8E53-451D5144533A}"/>
    <cellStyle name="Normal 5 3 4 2 2 8 2" xfId="36124" xr:uid="{6B394543-B645-433A-99E7-98132096FE57}"/>
    <cellStyle name="Normal 5 3 4 2 2 8 3" xfId="18464" xr:uid="{9B058E52-D419-4B70-A5C2-3680E79C1D24}"/>
    <cellStyle name="Normal 5 3 4 2 2 9" xfId="27676" xr:uid="{F7E173E5-0B93-4858-968A-90CC83939452}"/>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42898" xr:uid="{CA7CC3D0-B07B-47D6-BA83-F2D3ADAA4CDA}"/>
    <cellStyle name="Normal 5 3 4 2 3 2 2 3" xfId="34451" xr:uid="{9B693B6D-94BB-4142-925A-9248C38E713A}"/>
    <cellStyle name="Normal 5 3 4 2 3 2 2 4" xfId="26003" xr:uid="{8291A133-7966-4107-A044-94E3B1C2644E}"/>
    <cellStyle name="Normal 5 3 4 2 3 2 2 5" xfId="16706" xr:uid="{6751941C-6086-43BF-BC03-38632FBED389}"/>
    <cellStyle name="Normal 5 3 4 2 3 2 3" xfId="38681" xr:uid="{3A85DD1C-8406-48B6-BFE7-E2D4FF0C4A4A}"/>
    <cellStyle name="Normal 5 3 4 2 3 2 4" xfId="30233" xr:uid="{08142883-1EC3-4A42-8500-DCAFD44E368F}"/>
    <cellStyle name="Normal 5 3 4 2 3 2 5" xfId="21786" xr:uid="{0B799988-3592-4CD8-AC13-87E1FE00E8B4}"/>
    <cellStyle name="Normal 5 3 4 2 3 2 6" xfId="12489" xr:uid="{BF9D5D2D-CEFF-4473-B921-AE06C7AD221D}"/>
    <cellStyle name="Normal 5 3 4 2 3 3" xfId="5235" xr:uid="{00000000-0005-0000-0000-00002D1A0000}"/>
    <cellStyle name="Normal 5 3 4 2 3 3 2" xfId="40753" xr:uid="{FF65685C-3D7F-47DB-BC64-336536D984B3}"/>
    <cellStyle name="Normal 5 3 4 2 3 3 3" xfId="32306" xr:uid="{7D247E4A-FD6C-4B3B-B248-4E32D7717E8E}"/>
    <cellStyle name="Normal 5 3 4 2 3 3 4" xfId="23858" xr:uid="{F52A0346-3A29-477C-81EF-BB5C92DD2AEC}"/>
    <cellStyle name="Normal 5 3 4 2 3 3 5" xfId="14561" xr:uid="{FB87E498-0BB5-47DD-904C-A09B113C544E}"/>
    <cellStyle name="Normal 5 3 4 2 3 4" xfId="9359" xr:uid="{FAC41203-2BC4-411F-9296-10781BA4F1AB}"/>
    <cellStyle name="Normal 5 3 4 2 3 4 2" xfId="36536" xr:uid="{DCFE7BDD-D010-4440-A3BA-C0BE165D596C}"/>
    <cellStyle name="Normal 5 3 4 2 3 4 3" xfId="18672" xr:uid="{399BF658-5733-4578-A9B6-EFE29E6BC36B}"/>
    <cellStyle name="Normal 5 3 4 2 3 5" xfId="28088" xr:uid="{6504AFC7-8D04-4233-BF1F-F64141AAC2E3}"/>
    <cellStyle name="Normal 5 3 4 2 3 6" xfId="19641" xr:uid="{44E1F62E-E2BA-45C7-9966-34EF63BAB267}"/>
    <cellStyle name="Normal 5 3 4 2 3 7" xfId="10344" xr:uid="{6840F819-603A-4D9C-808D-9295D63DE0E2}"/>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43311" xr:uid="{8D1EBEB1-09CD-43B1-B22E-48531F7EC652}"/>
    <cellStyle name="Normal 5 3 4 2 4 2 2 3" xfId="34864" xr:uid="{8DC3CF83-A420-4B65-857E-7DD07565FE07}"/>
    <cellStyle name="Normal 5 3 4 2 4 2 2 4" xfId="26416" xr:uid="{5977C465-511C-453D-98A8-1723C7EBCD98}"/>
    <cellStyle name="Normal 5 3 4 2 4 2 2 5" xfId="17119" xr:uid="{B61D37E6-AD50-49D4-B95A-085ABBE1CEF8}"/>
    <cellStyle name="Normal 5 3 4 2 4 2 3" xfId="39094" xr:uid="{BA51D323-179C-401F-A177-23AADBFF20C6}"/>
    <cellStyle name="Normal 5 3 4 2 4 2 4" xfId="30646" xr:uid="{1E349A10-3427-4C90-9338-4AC53D871120}"/>
    <cellStyle name="Normal 5 3 4 2 4 2 5" xfId="22199" xr:uid="{D95269D7-FCAD-4B46-B4C8-7FDA31F0E5C9}"/>
    <cellStyle name="Normal 5 3 4 2 4 2 6" xfId="12902" xr:uid="{F90A7BD3-E4D8-438F-84E8-57FD855B8EAD}"/>
    <cellStyle name="Normal 5 3 4 2 4 3" xfId="5648" xr:uid="{00000000-0005-0000-0000-0000311A0000}"/>
    <cellStyle name="Normal 5 3 4 2 4 3 2" xfId="41166" xr:uid="{F8AE8EEB-8716-4668-BDA1-469896CFBFFC}"/>
    <cellStyle name="Normal 5 3 4 2 4 3 3" xfId="32719" xr:uid="{20019E57-BCFF-4325-8A72-C47EB6C44725}"/>
    <cellStyle name="Normal 5 3 4 2 4 3 4" xfId="24271" xr:uid="{6668CE2F-DFD7-44B0-AFF3-8621CA5E1BD6}"/>
    <cellStyle name="Normal 5 3 4 2 4 3 5" xfId="14974" xr:uid="{559DC178-E898-483D-BFE3-CEEE7F99D342}"/>
    <cellStyle name="Normal 5 3 4 2 4 4" xfId="36949" xr:uid="{CCC03720-4392-4A72-B0C4-0B991285F916}"/>
    <cellStyle name="Normal 5 3 4 2 4 5" xfId="28501" xr:uid="{17FE8DBA-59D1-4481-8573-49C9481ECAC2}"/>
    <cellStyle name="Normal 5 3 4 2 4 6" xfId="20054" xr:uid="{25B1063F-3966-4F30-8250-28DD1915F653}"/>
    <cellStyle name="Normal 5 3 4 2 4 7" xfId="10757" xr:uid="{0A6B0B33-23DB-4EF7-901E-181DAE96B70B}"/>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43724" xr:uid="{968E0AE3-6CEC-4F42-9E76-6D51A0E1490A}"/>
    <cellStyle name="Normal 5 3 4 2 5 2 2 3" xfId="35277" xr:uid="{8C6F232A-5B46-4272-8300-81D94ADD657F}"/>
    <cellStyle name="Normal 5 3 4 2 5 2 2 4" xfId="26829" xr:uid="{50B72DA2-6FAE-4B7C-8750-1E01362B2F19}"/>
    <cellStyle name="Normal 5 3 4 2 5 2 2 5" xfId="17532" xr:uid="{65EC4641-56A2-42EE-AB03-7BB3971F6B0A}"/>
    <cellStyle name="Normal 5 3 4 2 5 2 3" xfId="39507" xr:uid="{0E88C579-4AD0-4C39-AB4A-793AD3650F15}"/>
    <cellStyle name="Normal 5 3 4 2 5 2 4" xfId="31059" xr:uid="{7CBAE009-8AD1-44DF-A939-956F112AC444}"/>
    <cellStyle name="Normal 5 3 4 2 5 2 5" xfId="22612" xr:uid="{8197C77D-3478-4284-AECF-59E0BC3C50A6}"/>
    <cellStyle name="Normal 5 3 4 2 5 2 6" xfId="13315" xr:uid="{C435C600-4F03-48A1-8BE6-4310D7E00543}"/>
    <cellStyle name="Normal 5 3 4 2 5 3" xfId="6061" xr:uid="{00000000-0005-0000-0000-0000351A0000}"/>
    <cellStyle name="Normal 5 3 4 2 5 3 2" xfId="41579" xr:uid="{BC95048D-A0A8-4744-9CBF-00C613AF2C44}"/>
    <cellStyle name="Normal 5 3 4 2 5 3 3" xfId="33132" xr:uid="{6D279403-4EBC-4F5D-8F27-65CD481FAF86}"/>
    <cellStyle name="Normal 5 3 4 2 5 3 4" xfId="24684" xr:uid="{70C682DF-A9FD-473F-B550-A2B605B8B105}"/>
    <cellStyle name="Normal 5 3 4 2 5 3 5" xfId="15387" xr:uid="{3700C94C-222A-4021-A275-9913ED54CD80}"/>
    <cellStyle name="Normal 5 3 4 2 5 4" xfId="37362" xr:uid="{DFA22A1F-FC4F-442F-9267-5F115ABB572F}"/>
    <cellStyle name="Normal 5 3 4 2 5 5" xfId="28914" xr:uid="{1C78C1BF-E288-474D-9219-15DCEA25714A}"/>
    <cellStyle name="Normal 5 3 4 2 5 6" xfId="20467" xr:uid="{E8EAD7BA-980A-4027-88D0-337AA413D767}"/>
    <cellStyle name="Normal 5 3 4 2 5 7" xfId="11170" xr:uid="{C5943126-2274-4940-A1BF-D0AD9062D3AC}"/>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44137" xr:uid="{D2705C59-FCBB-4B1E-BF9F-19A74E0989A8}"/>
    <cellStyle name="Normal 5 3 4 2 6 2 2 3" xfId="35690" xr:uid="{7EBC4875-6FBC-4A1B-A4F7-6E701B11A379}"/>
    <cellStyle name="Normal 5 3 4 2 6 2 2 4" xfId="27242" xr:uid="{C3F53A65-7340-412C-8507-A6BC77664AAB}"/>
    <cellStyle name="Normal 5 3 4 2 6 2 2 5" xfId="17945" xr:uid="{6C64FB6F-E412-4A8D-AE80-0DFCBE6CEA41}"/>
    <cellStyle name="Normal 5 3 4 2 6 2 3" xfId="39920" xr:uid="{F3662D7A-CB7F-41D7-B775-29E3557248D1}"/>
    <cellStyle name="Normal 5 3 4 2 6 2 4" xfId="31472" xr:uid="{CDC25AC5-8EC2-438B-A83A-3B72387561AB}"/>
    <cellStyle name="Normal 5 3 4 2 6 2 5" xfId="23025" xr:uid="{D479BCB8-9CC2-46EC-8442-3500505B19CD}"/>
    <cellStyle name="Normal 5 3 4 2 6 2 6" xfId="13728" xr:uid="{5E10B27A-1BDA-43AE-A11F-8E15B7C121E8}"/>
    <cellStyle name="Normal 5 3 4 2 6 3" xfId="6474" xr:uid="{00000000-0005-0000-0000-0000391A0000}"/>
    <cellStyle name="Normal 5 3 4 2 6 3 2" xfId="41992" xr:uid="{09EEDE2A-24B7-48F3-8073-21744D92F911}"/>
    <cellStyle name="Normal 5 3 4 2 6 3 3" xfId="33545" xr:uid="{2D76967E-1CEE-4DD4-9131-E5758AFF8C0B}"/>
    <cellStyle name="Normal 5 3 4 2 6 3 4" xfId="25097" xr:uid="{1DFEC95F-93E4-4BC9-A511-B295227B71EC}"/>
    <cellStyle name="Normal 5 3 4 2 6 3 5" xfId="15800" xr:uid="{2718DD10-89B9-48B4-8C76-05596236D297}"/>
    <cellStyle name="Normal 5 3 4 2 6 4" xfId="37775" xr:uid="{E920E5B6-2672-4754-8FE2-6D894C3E2CBF}"/>
    <cellStyle name="Normal 5 3 4 2 6 5" xfId="29327" xr:uid="{594D00CC-DB20-4072-9C92-0A80D2BD72CC}"/>
    <cellStyle name="Normal 5 3 4 2 6 6" xfId="20880" xr:uid="{A6CDB2EF-63D9-4B36-9EFA-4F6D49993067}"/>
    <cellStyle name="Normal 5 3 4 2 6 7" xfId="11583" xr:uid="{2E03EEE7-BF12-4702-A2E4-6D19EA81120C}"/>
    <cellStyle name="Normal 5 3 4 2 7" xfId="2604" xr:uid="{00000000-0005-0000-0000-00003A1A0000}"/>
    <cellStyle name="Normal 5 3 4 2 7 2" xfId="6887" xr:uid="{00000000-0005-0000-0000-00003B1A0000}"/>
    <cellStyle name="Normal 5 3 4 2 7 2 2" xfId="42405" xr:uid="{77BD16CB-ACDD-4971-B1FE-0B14701DC77E}"/>
    <cellStyle name="Normal 5 3 4 2 7 2 3" xfId="33958" xr:uid="{9095AC99-1100-4CA6-B673-E21EEC2029F3}"/>
    <cellStyle name="Normal 5 3 4 2 7 2 4" xfId="25510" xr:uid="{4BC47F5E-84FA-4BE5-AC0F-32E2919F1738}"/>
    <cellStyle name="Normal 5 3 4 2 7 2 5" xfId="16213" xr:uid="{A570DED4-AD87-42B6-9923-37DF73E84ADC}"/>
    <cellStyle name="Normal 5 3 4 2 7 3" xfId="38188" xr:uid="{3482A61D-862E-4C57-801B-E78946D36468}"/>
    <cellStyle name="Normal 5 3 4 2 7 4" xfId="29740" xr:uid="{4449F383-28E2-4A3B-BC70-77FFD7EA673D}"/>
    <cellStyle name="Normal 5 3 4 2 7 5" xfId="21293" xr:uid="{18439A96-0EF0-4F98-803A-996DB8959AA6}"/>
    <cellStyle name="Normal 5 3 4 2 7 6" xfId="11996" xr:uid="{322A25E9-197F-414F-9886-0C4B6C64BDA0}"/>
    <cellStyle name="Normal 5 3 4 2 8" xfId="4822" xr:uid="{00000000-0005-0000-0000-00003C1A0000}"/>
    <cellStyle name="Normal 5 3 4 2 8 2" xfId="40340" xr:uid="{87382467-F5AF-46B1-BB91-DD43DC7D016F}"/>
    <cellStyle name="Normal 5 3 4 2 8 3" xfId="31893" xr:uid="{BF0A85AF-A798-4E07-B299-28F02648D0BE}"/>
    <cellStyle name="Normal 5 3 4 2 8 4" xfId="23445" xr:uid="{B0C28BA0-81A2-49E5-BEDE-87CB0B89E157}"/>
    <cellStyle name="Normal 5 3 4 2 8 5" xfId="14148" xr:uid="{7E4B2B65-09A1-4E35-BC88-130CD2528AB0}"/>
    <cellStyle name="Normal 5 3 4 2 9" xfId="8934" xr:uid="{D16D0DF9-4576-4200-8972-8AAD50545E0D}"/>
    <cellStyle name="Normal 5 3 4 2 9 2" xfId="36123" xr:uid="{FEB19B58-B759-4862-8E8B-E32F184CA095}"/>
    <cellStyle name="Normal 5 3 4 2 9 3" xfId="18257" xr:uid="{44103E81-0F48-4FCA-A224-9D4D44C9C2DD}"/>
    <cellStyle name="Normal 5 3 4 3" xfId="452" xr:uid="{00000000-0005-0000-0000-00003D1A0000}"/>
    <cellStyle name="Normal 5 3 4 3 10" xfId="19230" xr:uid="{97BD1B5A-EE45-46D9-BCA5-8049AB12F06D}"/>
    <cellStyle name="Normal 5 3 4 3 11" xfId="9933" xr:uid="{6031DB1A-D321-4EC5-8001-A1E8CC20156D}"/>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42900" xr:uid="{5E7C13C2-D1A1-44CC-8F3A-2C222945FE0E}"/>
    <cellStyle name="Normal 5 3 4 3 2 2 2 3" xfId="34453" xr:uid="{54279A49-A09A-4ED0-8F4D-9FE49346ECF0}"/>
    <cellStyle name="Normal 5 3 4 3 2 2 2 4" xfId="26005" xr:uid="{C4B7E7B4-A082-4B37-B14B-4788F4CDD515}"/>
    <cellStyle name="Normal 5 3 4 3 2 2 2 5" xfId="16708" xr:uid="{3F3C791E-AB35-4596-9C5A-36A01EECA1E1}"/>
    <cellStyle name="Normal 5 3 4 3 2 2 3" xfId="38683" xr:uid="{AE8CD07E-8259-4682-B40A-89E7D6BB8CF3}"/>
    <cellStyle name="Normal 5 3 4 3 2 2 4" xfId="30235" xr:uid="{DF07C638-6489-4534-9FC7-9EB1371FC115}"/>
    <cellStyle name="Normal 5 3 4 3 2 2 5" xfId="21788" xr:uid="{D5871896-A018-4D19-8846-DC201954BD9D}"/>
    <cellStyle name="Normal 5 3 4 3 2 2 6" xfId="12491" xr:uid="{99C4E7A5-1304-4EC8-87F9-B1CF9AE252FA}"/>
    <cellStyle name="Normal 5 3 4 3 2 3" xfId="5237" xr:uid="{00000000-0005-0000-0000-0000411A0000}"/>
    <cellStyle name="Normal 5 3 4 3 2 3 2" xfId="40755" xr:uid="{03235BE1-6D46-4D69-9819-037100FAE661}"/>
    <cellStyle name="Normal 5 3 4 3 2 3 3" xfId="32308" xr:uid="{9E9FA918-7A54-4CEF-8F61-4162E93229C9}"/>
    <cellStyle name="Normal 5 3 4 3 2 3 4" xfId="23860" xr:uid="{EFF21EF5-938E-4ACE-87CA-F1D324DA94BD}"/>
    <cellStyle name="Normal 5 3 4 3 2 3 5" xfId="14563" xr:uid="{E95E72C4-7BC2-4136-AEF3-1FA03C0B4C14}"/>
    <cellStyle name="Normal 5 3 4 3 2 4" xfId="9463" xr:uid="{1CC38E89-013B-404F-9F3E-11BABC37F656}"/>
    <cellStyle name="Normal 5 3 4 3 2 4 2" xfId="36538" xr:uid="{BD33C843-AE1E-46EC-BBB8-AB0091418CA0}"/>
    <cellStyle name="Normal 5 3 4 3 2 4 3" xfId="18776" xr:uid="{2F59985E-97C7-4E04-B107-2709F9D292EC}"/>
    <cellStyle name="Normal 5 3 4 3 2 5" xfId="28090" xr:uid="{545DE11F-2683-4F76-AA50-A00E6B14B084}"/>
    <cellStyle name="Normal 5 3 4 3 2 6" xfId="19643" xr:uid="{7479364A-92B3-4852-A337-2CCFAAAF53BE}"/>
    <cellStyle name="Normal 5 3 4 3 2 7" xfId="10346" xr:uid="{E32C23CC-083F-4DA4-B1EA-6A227FEDEE2B}"/>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43313" xr:uid="{10CDDDBB-DFCC-4E24-BA19-F4E10DAA4CB2}"/>
    <cellStyle name="Normal 5 3 4 3 3 2 2 3" xfId="34866" xr:uid="{83A1824E-65C5-4878-8BE5-A2DA94225873}"/>
    <cellStyle name="Normal 5 3 4 3 3 2 2 4" xfId="26418" xr:uid="{398D9ED1-1FE1-41EF-961D-706D547A77EA}"/>
    <cellStyle name="Normal 5 3 4 3 3 2 2 5" xfId="17121" xr:uid="{B840F2BC-D905-4063-8650-3FA11054FE59}"/>
    <cellStyle name="Normal 5 3 4 3 3 2 3" xfId="39096" xr:uid="{E5238553-2149-4B28-9BB3-FBC2BA75B195}"/>
    <cellStyle name="Normal 5 3 4 3 3 2 4" xfId="30648" xr:uid="{204E4171-22F1-445C-A722-006BB2A6C963}"/>
    <cellStyle name="Normal 5 3 4 3 3 2 5" xfId="22201" xr:uid="{32635BDC-8A0B-4B5C-BC53-CA1B4B2FE667}"/>
    <cellStyle name="Normal 5 3 4 3 3 2 6" xfId="12904" xr:uid="{DD6B37B3-513D-4392-BDD1-A8ACFA3979A3}"/>
    <cellStyle name="Normal 5 3 4 3 3 3" xfId="5650" xr:uid="{00000000-0005-0000-0000-0000451A0000}"/>
    <cellStyle name="Normal 5 3 4 3 3 3 2" xfId="41168" xr:uid="{18EF705E-34AB-44DE-8CA6-DA4B194BC532}"/>
    <cellStyle name="Normal 5 3 4 3 3 3 3" xfId="32721" xr:uid="{257A7101-822E-4A51-8A69-6C3A54F6FD27}"/>
    <cellStyle name="Normal 5 3 4 3 3 3 4" xfId="24273" xr:uid="{34B647F6-6BE0-41F6-80E2-B985BFC444FD}"/>
    <cellStyle name="Normal 5 3 4 3 3 3 5" xfId="14976" xr:uid="{7B90806F-1D21-4B1A-BF62-3ABDE545DD34}"/>
    <cellStyle name="Normal 5 3 4 3 3 4" xfId="36951" xr:uid="{22762CF9-127C-4859-AB70-6663A9EA6C43}"/>
    <cellStyle name="Normal 5 3 4 3 3 5" xfId="28503" xr:uid="{30A6B1C7-51E5-4CCA-92CB-09C0C5531D16}"/>
    <cellStyle name="Normal 5 3 4 3 3 6" xfId="20056" xr:uid="{251C0F02-42E0-4FE6-83E3-DBD0DFECD5C4}"/>
    <cellStyle name="Normal 5 3 4 3 3 7" xfId="10759" xr:uid="{3C7BC3DE-78A4-4BDB-BEFA-0166732D1739}"/>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43726" xr:uid="{C0DAA8D7-FE19-4F0A-8FE2-2F60E6456006}"/>
    <cellStyle name="Normal 5 3 4 3 4 2 2 3" xfId="35279" xr:uid="{3F426FF3-D4A9-4E50-82FC-4DAADDA4A51E}"/>
    <cellStyle name="Normal 5 3 4 3 4 2 2 4" xfId="26831" xr:uid="{CB189415-5AF2-45A3-A708-3874C26D37EB}"/>
    <cellStyle name="Normal 5 3 4 3 4 2 2 5" xfId="17534" xr:uid="{ED06B4E8-1D17-4495-8A04-F2BC42C56EE7}"/>
    <cellStyle name="Normal 5 3 4 3 4 2 3" xfId="39509" xr:uid="{FACEC3D2-1FF8-40C2-9BD9-A07D0D3A689E}"/>
    <cellStyle name="Normal 5 3 4 3 4 2 4" xfId="31061" xr:uid="{A67566EB-9025-4681-92B1-138CA386F9F9}"/>
    <cellStyle name="Normal 5 3 4 3 4 2 5" xfId="22614" xr:uid="{ED113E94-2B6C-4B84-8B8D-1C07939E7286}"/>
    <cellStyle name="Normal 5 3 4 3 4 2 6" xfId="13317" xr:uid="{486C1E73-C735-4E23-8D06-DAFA49D62EBA}"/>
    <cellStyle name="Normal 5 3 4 3 4 3" xfId="6063" xr:uid="{00000000-0005-0000-0000-0000491A0000}"/>
    <cellStyle name="Normal 5 3 4 3 4 3 2" xfId="41581" xr:uid="{52F2BC73-D1A0-4895-88C3-A93AF8315EBA}"/>
    <cellStyle name="Normal 5 3 4 3 4 3 3" xfId="33134" xr:uid="{4508DBF5-7529-4A67-B492-68FCCF286694}"/>
    <cellStyle name="Normal 5 3 4 3 4 3 4" xfId="24686" xr:uid="{6A53DBB0-F6A1-4E52-864A-EBC215F04E17}"/>
    <cellStyle name="Normal 5 3 4 3 4 3 5" xfId="15389" xr:uid="{292C9F38-7242-4643-AE95-BCC8C6F45BEE}"/>
    <cellStyle name="Normal 5 3 4 3 4 4" xfId="37364" xr:uid="{44380555-BA75-4F5E-884A-BB9A40BB92EF}"/>
    <cellStyle name="Normal 5 3 4 3 4 5" xfId="28916" xr:uid="{49C15675-F4D7-4A6F-8850-5C9863E45CB2}"/>
    <cellStyle name="Normal 5 3 4 3 4 6" xfId="20469" xr:uid="{0B438E0C-C7B8-446C-A1F9-F22EFCBD381A}"/>
    <cellStyle name="Normal 5 3 4 3 4 7" xfId="11172" xr:uid="{38269F19-5909-435A-863C-8F5A19D8E5AC}"/>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44139" xr:uid="{006240CB-BD15-4408-8C7F-52A5D6BC49BC}"/>
    <cellStyle name="Normal 5 3 4 3 5 2 2 3" xfId="35692" xr:uid="{0182CEE2-37E1-420E-ACC2-34F826A4A1A3}"/>
    <cellStyle name="Normal 5 3 4 3 5 2 2 4" xfId="27244" xr:uid="{5DB2575F-DB64-4FB7-B1FF-3C4A083917E9}"/>
    <cellStyle name="Normal 5 3 4 3 5 2 2 5" xfId="17947" xr:uid="{13777825-367E-421A-8DF6-DA1DB2D8C365}"/>
    <cellStyle name="Normal 5 3 4 3 5 2 3" xfId="39922" xr:uid="{440F55F7-0793-451D-B64B-687315BD3419}"/>
    <cellStyle name="Normal 5 3 4 3 5 2 4" xfId="31474" xr:uid="{006059D1-84B8-40B9-B317-FABA945BBCFF}"/>
    <cellStyle name="Normal 5 3 4 3 5 2 5" xfId="23027" xr:uid="{A0DFE507-6B8D-45A1-9E3E-5F99C55579DF}"/>
    <cellStyle name="Normal 5 3 4 3 5 2 6" xfId="13730" xr:uid="{35631320-8A82-41B5-8A13-979E88D71528}"/>
    <cellStyle name="Normal 5 3 4 3 5 3" xfId="6476" xr:uid="{00000000-0005-0000-0000-00004D1A0000}"/>
    <cellStyle name="Normal 5 3 4 3 5 3 2" xfId="41994" xr:uid="{C277B75E-A191-4397-8564-F98CE4B36EAE}"/>
    <cellStyle name="Normal 5 3 4 3 5 3 3" xfId="33547" xr:uid="{C35A678A-CF25-4A4F-8CD2-E980FD2DB552}"/>
    <cellStyle name="Normal 5 3 4 3 5 3 4" xfId="25099" xr:uid="{8BFFB573-AD52-419D-AA84-86E69F24E4E7}"/>
    <cellStyle name="Normal 5 3 4 3 5 3 5" xfId="15802" xr:uid="{A7D2848D-4A6E-41B0-9F32-EA747E275C59}"/>
    <cellStyle name="Normal 5 3 4 3 5 4" xfId="37777" xr:uid="{B2D815E4-2F88-4BF4-9161-8025F9457024}"/>
    <cellStyle name="Normal 5 3 4 3 5 5" xfId="29329" xr:uid="{C0F37FD1-A0A2-480E-9F56-845F0DC207BC}"/>
    <cellStyle name="Normal 5 3 4 3 5 6" xfId="20882" xr:uid="{EECD7E00-8546-4BCA-BB54-F7E9ABB836CF}"/>
    <cellStyle name="Normal 5 3 4 3 5 7" xfId="11585" xr:uid="{17729EE3-E740-49AD-B381-66255C0938E9}"/>
    <cellStyle name="Normal 5 3 4 3 6" xfId="2606" xr:uid="{00000000-0005-0000-0000-00004E1A0000}"/>
    <cellStyle name="Normal 5 3 4 3 6 2" xfId="6889" xr:uid="{00000000-0005-0000-0000-00004F1A0000}"/>
    <cellStyle name="Normal 5 3 4 3 6 2 2" xfId="42407" xr:uid="{E6074766-15D3-4AE0-BBAC-6C80C077B262}"/>
    <cellStyle name="Normal 5 3 4 3 6 2 3" xfId="33960" xr:uid="{2B277BBB-D675-4839-857E-2171C2DCFAA8}"/>
    <cellStyle name="Normal 5 3 4 3 6 2 4" xfId="25512" xr:uid="{610C0850-95D9-4355-A32D-A51765BD3489}"/>
    <cellStyle name="Normal 5 3 4 3 6 2 5" xfId="16215" xr:uid="{FC0F1D61-C693-4026-87F7-EC18FC8FBE92}"/>
    <cellStyle name="Normal 5 3 4 3 6 3" xfId="38190" xr:uid="{07654B7F-5BFF-4E9F-B966-7E6E2CFDCC94}"/>
    <cellStyle name="Normal 5 3 4 3 6 4" xfId="29742" xr:uid="{AD613774-C22B-44A1-9EB4-10723636F8B1}"/>
    <cellStyle name="Normal 5 3 4 3 6 5" xfId="21295" xr:uid="{3079D64B-B8ED-461B-8078-867AD88F55C6}"/>
    <cellStyle name="Normal 5 3 4 3 6 6" xfId="11998" xr:uid="{E00FCC91-119A-477F-BA1F-870E0B239E22}"/>
    <cellStyle name="Normal 5 3 4 3 7" xfId="4824" xr:uid="{00000000-0005-0000-0000-0000501A0000}"/>
    <cellStyle name="Normal 5 3 4 3 7 2" xfId="40342" xr:uid="{E3C2C804-7DB9-405B-81B3-4B0EE98EFE8D}"/>
    <cellStyle name="Normal 5 3 4 3 7 3" xfId="31895" xr:uid="{F8150B00-1524-4E70-A43F-824BA412D064}"/>
    <cellStyle name="Normal 5 3 4 3 7 4" xfId="23447" xr:uid="{A3D2039E-0847-49AF-90DD-6C813F44BB39}"/>
    <cellStyle name="Normal 5 3 4 3 7 5" xfId="14150" xr:uid="{552E656F-5B76-46C4-B088-AF72171F4AC9}"/>
    <cellStyle name="Normal 5 3 4 3 8" xfId="9038" xr:uid="{15024032-E3C2-4FDD-B674-481D39A836C5}"/>
    <cellStyle name="Normal 5 3 4 3 8 2" xfId="36125" xr:uid="{3AD1AE10-6D92-4089-8D6A-C3C2B9F73567}"/>
    <cellStyle name="Normal 5 3 4 3 8 3" xfId="18361" xr:uid="{D4AF3908-E017-41ED-B0FA-C72E3619C801}"/>
    <cellStyle name="Normal 5 3 4 3 9" xfId="27677" xr:uid="{685EB771-EFA4-4EF7-97AE-34BF71DBE7D4}"/>
    <cellStyle name="Normal 5 3 4 4" xfId="923" xr:uid="{00000000-0005-0000-0000-0000511A0000}"/>
    <cellStyle name="Normal 5 3 4 4 2" xfId="3157" xr:uid="{00000000-0005-0000-0000-0000521A0000}"/>
    <cellStyle name="Normal 5 3 4 4 2 2" xfId="7379" xr:uid="{00000000-0005-0000-0000-0000531A0000}"/>
    <cellStyle name="Normal 5 3 4 4 2 2 2" xfId="42897" xr:uid="{1EAD795E-9261-4716-AB94-44B0A5D176D4}"/>
    <cellStyle name="Normal 5 3 4 4 2 2 3" xfId="34450" xr:uid="{8A13EA8D-A413-422E-8E4F-885985C1B700}"/>
    <cellStyle name="Normal 5 3 4 4 2 2 4" xfId="26002" xr:uid="{2BBD4E2C-E1E2-47BE-BF0F-B253536352F4}"/>
    <cellStyle name="Normal 5 3 4 4 2 2 5" xfId="16705" xr:uid="{BF20F07E-8B40-4704-B736-E8D68DDE2CE7}"/>
    <cellStyle name="Normal 5 3 4 4 2 3" xfId="38680" xr:uid="{66FC1A0F-7CB0-4317-A181-F2D0A903D545}"/>
    <cellStyle name="Normal 5 3 4 4 2 4" xfId="30232" xr:uid="{528C8DC9-9E2A-4DB7-8F18-7B67E59327A0}"/>
    <cellStyle name="Normal 5 3 4 4 2 5" xfId="21785" xr:uid="{8EC1EF55-5931-4AEF-B677-62B6D4993591}"/>
    <cellStyle name="Normal 5 3 4 4 2 6" xfId="12488" xr:uid="{4256BA30-5E84-4396-A257-741EDAF7A095}"/>
    <cellStyle name="Normal 5 3 4 4 3" xfId="5234" xr:uid="{00000000-0005-0000-0000-0000541A0000}"/>
    <cellStyle name="Normal 5 3 4 4 3 2" xfId="40752" xr:uid="{69D2DF26-5167-4476-958F-E6B6BF95EDD9}"/>
    <cellStyle name="Normal 5 3 4 4 3 3" xfId="32305" xr:uid="{0C108E44-3B28-4CE3-9BEF-ED240ABD08AF}"/>
    <cellStyle name="Normal 5 3 4 4 3 4" xfId="23857" xr:uid="{C2BDA56A-446F-48B6-BBA1-ED9569B1DA1F}"/>
    <cellStyle name="Normal 5 3 4 4 3 5" xfId="14560" xr:uid="{A5F0D8BD-1F10-464D-B9C1-D72B93462F35}"/>
    <cellStyle name="Normal 5 3 4 4 4" xfId="9256" xr:uid="{69A14F57-2B46-4294-8CA5-E21858516C25}"/>
    <cellStyle name="Normal 5 3 4 4 4 2" xfId="36535" xr:uid="{3D12EFDF-CF57-4562-9B87-31A5E96B906F}"/>
    <cellStyle name="Normal 5 3 4 4 4 3" xfId="18569" xr:uid="{804B3008-6A00-43D7-AD29-CC0CC8FC11A3}"/>
    <cellStyle name="Normal 5 3 4 4 5" xfId="28087" xr:uid="{2D9DC69E-23BC-4A0B-BEB3-BDE6B4C17E07}"/>
    <cellStyle name="Normal 5 3 4 4 6" xfId="19640" xr:uid="{880F27DF-6481-4B16-A3E8-199D005746AA}"/>
    <cellStyle name="Normal 5 3 4 4 7" xfId="10343" xr:uid="{4FE4FEBF-BE96-4355-8FA7-15B3AC686855}"/>
    <cellStyle name="Normal 5 3 4 5" xfId="1340" xr:uid="{00000000-0005-0000-0000-0000551A0000}"/>
    <cellStyle name="Normal 5 3 4 5 2" xfId="3570" xr:uid="{00000000-0005-0000-0000-0000561A0000}"/>
    <cellStyle name="Normal 5 3 4 5 2 2" xfId="7792" xr:uid="{00000000-0005-0000-0000-0000571A0000}"/>
    <cellStyle name="Normal 5 3 4 5 2 2 2" xfId="43310" xr:uid="{2FAE46E9-081F-47E8-87FC-F3E4CC308D31}"/>
    <cellStyle name="Normal 5 3 4 5 2 2 3" xfId="34863" xr:uid="{3F08EE95-A63A-4B2C-8767-F516E9BD0C5B}"/>
    <cellStyle name="Normal 5 3 4 5 2 2 4" xfId="26415" xr:uid="{CC4116F1-3E00-4B41-891C-9609297462C9}"/>
    <cellStyle name="Normal 5 3 4 5 2 2 5" xfId="17118" xr:uid="{545FC9BC-AA8A-4A84-B207-D0753907B1A8}"/>
    <cellStyle name="Normal 5 3 4 5 2 3" xfId="39093" xr:uid="{7E6FAC5E-F438-4407-B088-2B16BCF63EDC}"/>
    <cellStyle name="Normal 5 3 4 5 2 4" xfId="30645" xr:uid="{F70FF3E4-3152-4D07-B6AA-02AAFCF4DAAE}"/>
    <cellStyle name="Normal 5 3 4 5 2 5" xfId="22198" xr:uid="{5323F76E-00E0-4C13-9B74-B79F659ED7AA}"/>
    <cellStyle name="Normal 5 3 4 5 2 6" xfId="12901" xr:uid="{CC093391-6C0C-4B2F-B985-BCEA9CED5040}"/>
    <cellStyle name="Normal 5 3 4 5 3" xfId="5647" xr:uid="{00000000-0005-0000-0000-0000581A0000}"/>
    <cellStyle name="Normal 5 3 4 5 3 2" xfId="41165" xr:uid="{BD75B980-267E-4C79-853B-7A62E8334D67}"/>
    <cellStyle name="Normal 5 3 4 5 3 3" xfId="32718" xr:uid="{8FC6FC7A-54BC-4B61-87DB-5F55ACB81636}"/>
    <cellStyle name="Normal 5 3 4 5 3 4" xfId="24270" xr:uid="{74B9C741-BEBC-4CFC-9354-48FE1B0A7DE1}"/>
    <cellStyle name="Normal 5 3 4 5 3 5" xfId="14973" xr:uid="{0E0055F3-46E6-49FF-B53E-FD2AAAB64046}"/>
    <cellStyle name="Normal 5 3 4 5 4" xfId="36948" xr:uid="{9F8AAFF7-6F02-4457-BEFD-DFB4099E7177}"/>
    <cellStyle name="Normal 5 3 4 5 5" xfId="28500" xr:uid="{003FA242-83BF-4F27-84F4-D4B3F924CE05}"/>
    <cellStyle name="Normal 5 3 4 5 6" xfId="20053" xr:uid="{26C05AAB-FB23-4FAB-B5B9-144C34A66E88}"/>
    <cellStyle name="Normal 5 3 4 5 7" xfId="10756" xr:uid="{E6E92323-806A-474B-850C-3E2BB96F490D}"/>
    <cellStyle name="Normal 5 3 4 6" xfId="1753" xr:uid="{00000000-0005-0000-0000-0000591A0000}"/>
    <cellStyle name="Normal 5 3 4 6 2" xfId="3983" xr:uid="{00000000-0005-0000-0000-00005A1A0000}"/>
    <cellStyle name="Normal 5 3 4 6 2 2" xfId="8205" xr:uid="{00000000-0005-0000-0000-00005B1A0000}"/>
    <cellStyle name="Normal 5 3 4 6 2 2 2" xfId="43723" xr:uid="{01F02FF8-2481-49B7-B963-C7FF1E1FB177}"/>
    <cellStyle name="Normal 5 3 4 6 2 2 3" xfId="35276" xr:uid="{083F70E2-CA96-4FC2-A278-30A527F73834}"/>
    <cellStyle name="Normal 5 3 4 6 2 2 4" xfId="26828" xr:uid="{4BB2AC8D-241E-49ED-BEE2-65CAF678D14F}"/>
    <cellStyle name="Normal 5 3 4 6 2 2 5" xfId="17531" xr:uid="{5DCF76F4-91CE-41A0-8712-8F7109658C6C}"/>
    <cellStyle name="Normal 5 3 4 6 2 3" xfId="39506" xr:uid="{19032234-EE90-4282-B565-08467ADE66F8}"/>
    <cellStyle name="Normal 5 3 4 6 2 4" xfId="31058" xr:uid="{3E6FA49F-3305-48E7-9335-DFEF1A32D39C}"/>
    <cellStyle name="Normal 5 3 4 6 2 5" xfId="22611" xr:uid="{427D9F7D-7B98-457E-A904-229C89598089}"/>
    <cellStyle name="Normal 5 3 4 6 2 6" xfId="13314" xr:uid="{445F18B6-CB00-4F8D-904C-E5284913B5B8}"/>
    <cellStyle name="Normal 5 3 4 6 3" xfId="6060" xr:uid="{00000000-0005-0000-0000-00005C1A0000}"/>
    <cellStyle name="Normal 5 3 4 6 3 2" xfId="41578" xr:uid="{C78D9B94-014A-4EF7-BCCA-9880D72CDB32}"/>
    <cellStyle name="Normal 5 3 4 6 3 3" xfId="33131" xr:uid="{43E2EC9E-2DC6-41B1-80E7-46CA512895A9}"/>
    <cellStyle name="Normal 5 3 4 6 3 4" xfId="24683" xr:uid="{0FCFD07F-C8FB-4655-80DB-8B6ECB3342AB}"/>
    <cellStyle name="Normal 5 3 4 6 3 5" xfId="15386" xr:uid="{A4473401-CD4E-4EBC-9BA4-13D50BC536BA}"/>
    <cellStyle name="Normal 5 3 4 6 4" xfId="37361" xr:uid="{AEC08EBE-06C9-4F2C-999A-9E418DD220DF}"/>
    <cellStyle name="Normal 5 3 4 6 5" xfId="28913" xr:uid="{F6959030-0871-4B2D-AA33-8E4BABEA929F}"/>
    <cellStyle name="Normal 5 3 4 6 6" xfId="20466" xr:uid="{FBBC072A-6776-41DE-A2ED-88DE9BD45BE3}"/>
    <cellStyle name="Normal 5 3 4 6 7" xfId="11169" xr:uid="{82F46418-AE09-40C9-B535-A1A38495E550}"/>
    <cellStyle name="Normal 5 3 4 7" xfId="2167" xr:uid="{00000000-0005-0000-0000-00005D1A0000}"/>
    <cellStyle name="Normal 5 3 4 7 2" xfId="4396" xr:uid="{00000000-0005-0000-0000-00005E1A0000}"/>
    <cellStyle name="Normal 5 3 4 7 2 2" xfId="8618" xr:uid="{00000000-0005-0000-0000-00005F1A0000}"/>
    <cellStyle name="Normal 5 3 4 7 2 2 2" xfId="44136" xr:uid="{4701204B-DF39-48D9-A09E-C8F34C2F837F}"/>
    <cellStyle name="Normal 5 3 4 7 2 2 3" xfId="35689" xr:uid="{74BD78C1-BFB4-4ADE-866D-DF1F76AF2AB1}"/>
    <cellStyle name="Normal 5 3 4 7 2 2 4" xfId="27241" xr:uid="{26EC65AC-B7A9-4418-A2FD-41AFF4BEECAD}"/>
    <cellStyle name="Normal 5 3 4 7 2 2 5" xfId="17944" xr:uid="{32F4C756-C542-4C40-BAD3-E6F3EB81DDE2}"/>
    <cellStyle name="Normal 5 3 4 7 2 3" xfId="39919" xr:uid="{ADE14F0B-85A0-4EE6-87B6-79F72B63DFFE}"/>
    <cellStyle name="Normal 5 3 4 7 2 4" xfId="31471" xr:uid="{D1B978AD-A0D2-4C22-BA93-0F8EE8C45CFC}"/>
    <cellStyle name="Normal 5 3 4 7 2 5" xfId="23024" xr:uid="{6512CF12-061F-4CFD-A79E-75A72C128F68}"/>
    <cellStyle name="Normal 5 3 4 7 2 6" xfId="13727" xr:uid="{D0E4B1C9-0C88-4EB1-95E2-80A0A0F07137}"/>
    <cellStyle name="Normal 5 3 4 7 3" xfId="6473" xr:uid="{00000000-0005-0000-0000-0000601A0000}"/>
    <cellStyle name="Normal 5 3 4 7 3 2" xfId="41991" xr:uid="{6F264346-5576-4099-8B04-1B3172FB0895}"/>
    <cellStyle name="Normal 5 3 4 7 3 3" xfId="33544" xr:uid="{96F22928-2B15-4E01-B88F-64C286819470}"/>
    <cellStyle name="Normal 5 3 4 7 3 4" xfId="25096" xr:uid="{C0FA65CA-25B5-438D-ABF8-8ABB08147CFD}"/>
    <cellStyle name="Normal 5 3 4 7 3 5" xfId="15799" xr:uid="{957BC425-D39A-41A8-9EF8-6D431C850055}"/>
    <cellStyle name="Normal 5 3 4 7 4" xfId="37774" xr:uid="{8F1C5835-2AAC-44BD-A137-F01970F3046B}"/>
    <cellStyle name="Normal 5 3 4 7 5" xfId="29326" xr:uid="{94D65F31-F0F4-4BC0-851D-7B1BDE21218E}"/>
    <cellStyle name="Normal 5 3 4 7 6" xfId="20879" xr:uid="{6EF17BC6-74BB-4DE2-AA07-2C8E97F6F2EE}"/>
    <cellStyle name="Normal 5 3 4 7 7" xfId="11582" xr:uid="{9BF184AE-A888-4B08-8EAC-C3076FE6E7F3}"/>
    <cellStyle name="Normal 5 3 4 8" xfId="2603" xr:uid="{00000000-0005-0000-0000-0000611A0000}"/>
    <cellStyle name="Normal 5 3 4 8 2" xfId="6886" xr:uid="{00000000-0005-0000-0000-0000621A0000}"/>
    <cellStyle name="Normal 5 3 4 8 2 2" xfId="42404" xr:uid="{619FFE46-3D45-4016-A4B3-4D99338D5ACA}"/>
    <cellStyle name="Normal 5 3 4 8 2 3" xfId="33957" xr:uid="{1DB6CD98-07E6-4E46-B8B6-964B52C25897}"/>
    <cellStyle name="Normal 5 3 4 8 2 4" xfId="25509" xr:uid="{13270133-31EC-4C89-B957-D27E49F9409C}"/>
    <cellStyle name="Normal 5 3 4 8 2 5" xfId="16212" xr:uid="{251FA88F-8A89-40DC-90D7-5E5E0420DE7B}"/>
    <cellStyle name="Normal 5 3 4 8 3" xfId="38187" xr:uid="{40867B2F-92D3-48D0-A428-3641AA5D1913}"/>
    <cellStyle name="Normal 5 3 4 8 4" xfId="29739" xr:uid="{81F7B16B-DBD1-43CF-B27B-7288ACA0D9BE}"/>
    <cellStyle name="Normal 5 3 4 8 5" xfId="21292" xr:uid="{B1607A02-BB8A-4A72-B181-F51BA84AA5EF}"/>
    <cellStyle name="Normal 5 3 4 8 6" xfId="11995" xr:uid="{269A5AD0-E226-4F90-9C81-8EE42C9A5859}"/>
    <cellStyle name="Normal 5 3 4 9" xfId="4821" xr:uid="{00000000-0005-0000-0000-0000631A0000}"/>
    <cellStyle name="Normal 5 3 4 9 2" xfId="40339" xr:uid="{10C483F0-EC13-49D3-8128-8D5E67CDF6F1}"/>
    <cellStyle name="Normal 5 3 4 9 3" xfId="31892" xr:uid="{CAE54742-6BEE-4465-B65A-5D81D1A67EA4}"/>
    <cellStyle name="Normal 5 3 4 9 4" xfId="23444" xr:uid="{D6FCB15D-68FE-4518-AF96-9A1DCAED8593}"/>
    <cellStyle name="Normal 5 3 4 9 5" xfId="14147" xr:uid="{D39CCABB-04EF-4963-9FB7-840250B8B717}"/>
    <cellStyle name="Normal 5 3 5" xfId="453" xr:uid="{00000000-0005-0000-0000-0000641A0000}"/>
    <cellStyle name="Normal 5 3 5 10" xfId="27678" xr:uid="{ECFE6E98-3C3D-4C58-98A0-88157B919E3F}"/>
    <cellStyle name="Normal 5 3 5 11" xfId="19231" xr:uid="{D9BD3AF5-A19E-4033-9202-732325FFC25C}"/>
    <cellStyle name="Normal 5 3 5 12" xfId="9934" xr:uid="{0B673CE3-59FB-4FEA-BD4F-5DE562CAB366}"/>
    <cellStyle name="Normal 5 3 5 2" xfId="454" xr:uid="{00000000-0005-0000-0000-0000651A0000}"/>
    <cellStyle name="Normal 5 3 5 2 10" xfId="19232" xr:uid="{03DBC707-95DB-4821-98E7-BA06747A5CC2}"/>
    <cellStyle name="Normal 5 3 5 2 11" xfId="9935" xr:uid="{9A7643E0-3DF1-4049-A491-F88E43EA10F7}"/>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42902" xr:uid="{6F61EF05-3B2C-4ACE-9AD8-E9B2EC9E90FF}"/>
    <cellStyle name="Normal 5 3 5 2 2 2 2 3" xfId="34455" xr:uid="{688D913F-99B0-4DFF-BE2F-C22247FD947A}"/>
    <cellStyle name="Normal 5 3 5 2 2 2 2 4" xfId="26007" xr:uid="{24F1B034-9BDA-430E-9E05-FFE968091FC2}"/>
    <cellStyle name="Normal 5 3 5 2 2 2 2 5" xfId="16710" xr:uid="{0ABE7C19-9E19-458E-BC7C-C1008DDD1F6A}"/>
    <cellStyle name="Normal 5 3 5 2 2 2 3" xfId="38685" xr:uid="{BF99C48B-9631-418E-9402-61EBC6B6A679}"/>
    <cellStyle name="Normal 5 3 5 2 2 2 4" xfId="30237" xr:uid="{A614E4D6-428C-4FF1-975D-EF5637B92D01}"/>
    <cellStyle name="Normal 5 3 5 2 2 2 5" xfId="21790" xr:uid="{7A0680E7-F7B7-448A-99A7-D934F0021AF3}"/>
    <cellStyle name="Normal 5 3 5 2 2 2 6" xfId="12493" xr:uid="{ABF894CB-5F22-4BB4-BC0A-9DF8853C114E}"/>
    <cellStyle name="Normal 5 3 5 2 2 3" xfId="5239" xr:uid="{00000000-0005-0000-0000-0000691A0000}"/>
    <cellStyle name="Normal 5 3 5 2 2 3 2" xfId="40757" xr:uid="{3CB84B91-7C74-47F8-A806-AD5B79369F0C}"/>
    <cellStyle name="Normal 5 3 5 2 2 3 3" xfId="32310" xr:uid="{2880B52F-2E19-4C31-904C-FB18A0304215}"/>
    <cellStyle name="Normal 5 3 5 2 2 3 4" xfId="23862" xr:uid="{3C200D66-0413-4396-AD43-32181ED433FB}"/>
    <cellStyle name="Normal 5 3 5 2 2 3 5" xfId="14565" xr:uid="{2149C3AF-2760-41FE-AD89-AAECA8944362}"/>
    <cellStyle name="Normal 5 3 5 2 2 4" xfId="9485" xr:uid="{E88A0512-4544-44F7-B02F-696DEB177F8E}"/>
    <cellStyle name="Normal 5 3 5 2 2 4 2" xfId="36540" xr:uid="{06D28081-1260-480F-85F8-753C8834F91B}"/>
    <cellStyle name="Normal 5 3 5 2 2 4 3" xfId="18798" xr:uid="{D42969A7-444A-4B58-98BE-B55D3D03CD03}"/>
    <cellStyle name="Normal 5 3 5 2 2 5" xfId="28092" xr:uid="{43D2AFAF-3720-49D0-8134-1ACA6A2A996E}"/>
    <cellStyle name="Normal 5 3 5 2 2 6" xfId="19645" xr:uid="{37B6800A-5449-4AD9-8CE3-65E5307C0436}"/>
    <cellStyle name="Normal 5 3 5 2 2 7" xfId="10348" xr:uid="{0064D921-D3E9-418C-9D2F-FAB1AA406CC4}"/>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43315" xr:uid="{F6F78E77-6916-4F90-A486-D2110603DA45}"/>
    <cellStyle name="Normal 5 3 5 2 3 2 2 3" xfId="34868" xr:uid="{C9025175-25F2-43DD-9C18-485751D87D48}"/>
    <cellStyle name="Normal 5 3 5 2 3 2 2 4" xfId="26420" xr:uid="{A7D14378-3051-476C-A585-6C197F9DA05C}"/>
    <cellStyle name="Normal 5 3 5 2 3 2 2 5" xfId="17123" xr:uid="{375FEC0C-8537-4D37-AFDD-FF8157762A14}"/>
    <cellStyle name="Normal 5 3 5 2 3 2 3" xfId="39098" xr:uid="{59418496-4CC2-4DC3-A024-7A2E5BB95891}"/>
    <cellStyle name="Normal 5 3 5 2 3 2 4" xfId="30650" xr:uid="{8645EAF7-5FD2-4AC6-A6C6-1A00913DDC74}"/>
    <cellStyle name="Normal 5 3 5 2 3 2 5" xfId="22203" xr:uid="{D071BAD9-4FC4-4976-BD18-871593E1E9F6}"/>
    <cellStyle name="Normal 5 3 5 2 3 2 6" xfId="12906" xr:uid="{54E13543-6F61-4858-A91F-F8D086FB5DCF}"/>
    <cellStyle name="Normal 5 3 5 2 3 3" xfId="5652" xr:uid="{00000000-0005-0000-0000-00006D1A0000}"/>
    <cellStyle name="Normal 5 3 5 2 3 3 2" xfId="41170" xr:uid="{1605C280-7E91-4B30-BA8D-7EAB01BEAA42}"/>
    <cellStyle name="Normal 5 3 5 2 3 3 3" xfId="32723" xr:uid="{15563D38-9ECF-490F-AA5E-D73C1F0C36FD}"/>
    <cellStyle name="Normal 5 3 5 2 3 3 4" xfId="24275" xr:uid="{D453E454-7A1F-4DDC-B9A0-1C8C328FD63F}"/>
    <cellStyle name="Normal 5 3 5 2 3 3 5" xfId="14978" xr:uid="{FEDC4BF4-97FF-451E-97DB-B421DB1531B6}"/>
    <cellStyle name="Normal 5 3 5 2 3 4" xfId="36953" xr:uid="{5417F5A5-5E09-4F41-8868-28B4B0AFE150}"/>
    <cellStyle name="Normal 5 3 5 2 3 5" xfId="28505" xr:uid="{FBF5668E-7830-4F26-B53B-287159D4CB73}"/>
    <cellStyle name="Normal 5 3 5 2 3 6" xfId="20058" xr:uid="{43341B79-AA05-4FFF-9369-8A549036793D}"/>
    <cellStyle name="Normal 5 3 5 2 3 7" xfId="10761" xr:uid="{B24CE4D5-80A7-4CF7-AD20-60C53381BC2E}"/>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43728" xr:uid="{57035068-9074-4825-AB98-421C00CD9519}"/>
    <cellStyle name="Normal 5 3 5 2 4 2 2 3" xfId="35281" xr:uid="{8CDA9E8C-260B-4FAE-B929-DACF1A0A2FF2}"/>
    <cellStyle name="Normal 5 3 5 2 4 2 2 4" xfId="26833" xr:uid="{9E59A916-4377-47E7-A4E2-0B58E443798C}"/>
    <cellStyle name="Normal 5 3 5 2 4 2 2 5" xfId="17536" xr:uid="{8BED5F70-0CEE-4C9A-83F0-91833767E58A}"/>
    <cellStyle name="Normal 5 3 5 2 4 2 3" xfId="39511" xr:uid="{0E7606D6-0A30-4D1E-985E-8D311DAC1F55}"/>
    <cellStyle name="Normal 5 3 5 2 4 2 4" xfId="31063" xr:uid="{51D28F66-33D5-4819-94B9-B62D152EDA90}"/>
    <cellStyle name="Normal 5 3 5 2 4 2 5" xfId="22616" xr:uid="{B6641A60-0E8E-4B91-A445-F6EA4BD01479}"/>
    <cellStyle name="Normal 5 3 5 2 4 2 6" xfId="13319" xr:uid="{001A3A05-6786-46E1-BA07-6E632DB79876}"/>
    <cellStyle name="Normal 5 3 5 2 4 3" xfId="6065" xr:uid="{00000000-0005-0000-0000-0000711A0000}"/>
    <cellStyle name="Normal 5 3 5 2 4 3 2" xfId="41583" xr:uid="{FFE378D0-FE81-492A-BEBA-63D66B4F33B8}"/>
    <cellStyle name="Normal 5 3 5 2 4 3 3" xfId="33136" xr:uid="{77ED09F8-1D6B-4B31-BC9C-4B23A45F5AA2}"/>
    <cellStyle name="Normal 5 3 5 2 4 3 4" xfId="24688" xr:uid="{1A39B7C0-2B1B-4130-916C-263463112CC7}"/>
    <cellStyle name="Normal 5 3 5 2 4 3 5" xfId="15391" xr:uid="{C4FBE663-CD44-4C4B-94EB-03922998F018}"/>
    <cellStyle name="Normal 5 3 5 2 4 4" xfId="37366" xr:uid="{F9B3D8A9-E305-4A81-9835-7482409E6223}"/>
    <cellStyle name="Normal 5 3 5 2 4 5" xfId="28918" xr:uid="{6F5D28E4-E56E-4637-B7C6-94440F7F24FD}"/>
    <cellStyle name="Normal 5 3 5 2 4 6" xfId="20471" xr:uid="{18851EF1-1AB8-406D-BDBF-B9000361ED9D}"/>
    <cellStyle name="Normal 5 3 5 2 4 7" xfId="11174" xr:uid="{D8B09424-48D4-4364-AF0C-5BBBBD251438}"/>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44141" xr:uid="{A1761E26-83D3-46AA-A26B-23D85FBAC164}"/>
    <cellStyle name="Normal 5 3 5 2 5 2 2 3" xfId="35694" xr:uid="{D5041525-6F64-494E-A5D5-FFFD93D1704E}"/>
    <cellStyle name="Normal 5 3 5 2 5 2 2 4" xfId="27246" xr:uid="{E132FF3B-6F5C-4A04-A101-0F2501B33467}"/>
    <cellStyle name="Normal 5 3 5 2 5 2 2 5" xfId="17949" xr:uid="{E6141892-4C4A-43CD-9B0E-B8E7AAA5D6DE}"/>
    <cellStyle name="Normal 5 3 5 2 5 2 3" xfId="39924" xr:uid="{E4933EFE-E6D5-4AB9-9905-05215CBCA7CF}"/>
    <cellStyle name="Normal 5 3 5 2 5 2 4" xfId="31476" xr:uid="{05A5D719-A6B5-45DB-B9E3-DFCE9858E3D1}"/>
    <cellStyle name="Normal 5 3 5 2 5 2 5" xfId="23029" xr:uid="{C80431AD-A826-4269-93EB-021981EDC52A}"/>
    <cellStyle name="Normal 5 3 5 2 5 2 6" xfId="13732" xr:uid="{0D678859-4736-4C13-BF0F-5E2660FC9FBD}"/>
    <cellStyle name="Normal 5 3 5 2 5 3" xfId="6478" xr:uid="{00000000-0005-0000-0000-0000751A0000}"/>
    <cellStyle name="Normal 5 3 5 2 5 3 2" xfId="41996" xr:uid="{00F66299-C6AB-49D1-96E6-5109BD5F3ED4}"/>
    <cellStyle name="Normal 5 3 5 2 5 3 3" xfId="33549" xr:uid="{9E57BE9F-8DC6-4E8D-839A-A20EC9D723D3}"/>
    <cellStyle name="Normal 5 3 5 2 5 3 4" xfId="25101" xr:uid="{A495CF8D-EFE6-4FC2-B61D-D79C01F7C9B9}"/>
    <cellStyle name="Normal 5 3 5 2 5 3 5" xfId="15804" xr:uid="{2FE8D416-E48E-4F82-B169-79E53973DAC3}"/>
    <cellStyle name="Normal 5 3 5 2 5 4" xfId="37779" xr:uid="{B73D664C-2456-4B82-9A4F-FCE30BB2D5F0}"/>
    <cellStyle name="Normal 5 3 5 2 5 5" xfId="29331" xr:uid="{298AA954-4071-45DF-94DA-2755B9E6D108}"/>
    <cellStyle name="Normal 5 3 5 2 5 6" xfId="20884" xr:uid="{B6F4D342-D65E-4D14-998B-DD09D46D2764}"/>
    <cellStyle name="Normal 5 3 5 2 5 7" xfId="11587" xr:uid="{345EC093-2EEA-4008-86AF-E951D1D74860}"/>
    <cellStyle name="Normal 5 3 5 2 6" xfId="2608" xr:uid="{00000000-0005-0000-0000-0000761A0000}"/>
    <cellStyle name="Normal 5 3 5 2 6 2" xfId="6891" xr:uid="{00000000-0005-0000-0000-0000771A0000}"/>
    <cellStyle name="Normal 5 3 5 2 6 2 2" xfId="42409" xr:uid="{637CBBFA-492A-4F5A-BBB2-FF211C6DDF27}"/>
    <cellStyle name="Normal 5 3 5 2 6 2 3" xfId="33962" xr:uid="{48B4C5C3-E0F4-4D8F-98B0-4A8D9160DE02}"/>
    <cellStyle name="Normal 5 3 5 2 6 2 4" xfId="25514" xr:uid="{CA3FC4E6-E50D-48E1-B73F-F4D00DABDD2E}"/>
    <cellStyle name="Normal 5 3 5 2 6 2 5" xfId="16217" xr:uid="{725F1855-1054-4053-A2BB-506F1C3E4323}"/>
    <cellStyle name="Normal 5 3 5 2 6 3" xfId="38192" xr:uid="{6DBBE578-924F-47A0-951B-BAF766C790B1}"/>
    <cellStyle name="Normal 5 3 5 2 6 4" xfId="29744" xr:uid="{A8FF2C97-6CA3-476A-995A-51DB884A2362}"/>
    <cellStyle name="Normal 5 3 5 2 6 5" xfId="21297" xr:uid="{A6574DDC-FFFC-41C6-AED9-B5A4CECCBB13}"/>
    <cellStyle name="Normal 5 3 5 2 6 6" xfId="12000" xr:uid="{B26ACC89-92FD-48D5-AECE-0C20EA82A51F}"/>
    <cellStyle name="Normal 5 3 5 2 7" xfId="4826" xr:uid="{00000000-0005-0000-0000-0000781A0000}"/>
    <cellStyle name="Normal 5 3 5 2 7 2" xfId="40344" xr:uid="{59AABEA1-2FF4-4AAB-9C91-6DFCFD979D65}"/>
    <cellStyle name="Normal 5 3 5 2 7 3" xfId="31897" xr:uid="{57D22F3D-4E84-4806-B62A-C5A766A4B2E1}"/>
    <cellStyle name="Normal 5 3 5 2 7 4" xfId="23449" xr:uid="{0F98E950-6BA3-4351-B17E-E208E8AF8447}"/>
    <cellStyle name="Normal 5 3 5 2 7 5" xfId="14152" xr:uid="{4C11E994-F3B7-43AD-A0A7-659556508D94}"/>
    <cellStyle name="Normal 5 3 5 2 8" xfId="9060" xr:uid="{D76124DC-5753-46E4-97E7-1D76E6E20EEE}"/>
    <cellStyle name="Normal 5 3 5 2 8 2" xfId="36127" xr:uid="{A1C4A469-7952-4923-8ACB-090018981D13}"/>
    <cellStyle name="Normal 5 3 5 2 8 3" xfId="18383" xr:uid="{8CF797F8-8321-47A4-9D28-F9F683AA8AE2}"/>
    <cellStyle name="Normal 5 3 5 2 9" xfId="27679" xr:uid="{8A86613E-8A65-4284-9747-24CED675BFE2}"/>
    <cellStyle name="Normal 5 3 5 3" xfId="927" xr:uid="{00000000-0005-0000-0000-0000791A0000}"/>
    <cellStyle name="Normal 5 3 5 3 2" xfId="3161" xr:uid="{00000000-0005-0000-0000-00007A1A0000}"/>
    <cellStyle name="Normal 5 3 5 3 2 2" xfId="7383" xr:uid="{00000000-0005-0000-0000-00007B1A0000}"/>
    <cellStyle name="Normal 5 3 5 3 2 2 2" xfId="42901" xr:uid="{DA939B65-531B-4EDE-AC3B-C9A53874C305}"/>
    <cellStyle name="Normal 5 3 5 3 2 2 3" xfId="34454" xr:uid="{850C0A42-30B5-49EB-BE76-E69252CE170F}"/>
    <cellStyle name="Normal 5 3 5 3 2 2 4" xfId="26006" xr:uid="{A16E0699-FA9B-4D1C-A275-F6D4E691410D}"/>
    <cellStyle name="Normal 5 3 5 3 2 2 5" xfId="16709" xr:uid="{DD74996E-04C2-4940-802F-92DCE487656C}"/>
    <cellStyle name="Normal 5 3 5 3 2 3" xfId="38684" xr:uid="{1423B59D-B3CA-4197-A3ED-34C4E4FBFC7F}"/>
    <cellStyle name="Normal 5 3 5 3 2 4" xfId="30236" xr:uid="{4731860F-49B0-4B59-88FD-4057EB313E8D}"/>
    <cellStyle name="Normal 5 3 5 3 2 5" xfId="21789" xr:uid="{EE6BD961-A585-49E1-B709-933B425DFBFC}"/>
    <cellStyle name="Normal 5 3 5 3 2 6" xfId="12492" xr:uid="{29D77ADE-8008-49FA-B7F1-4E09BF0B1953}"/>
    <cellStyle name="Normal 5 3 5 3 3" xfId="5238" xr:uid="{00000000-0005-0000-0000-00007C1A0000}"/>
    <cellStyle name="Normal 5 3 5 3 3 2" xfId="40756" xr:uid="{66A4BB27-123E-47A1-B4FB-06F6078E350C}"/>
    <cellStyle name="Normal 5 3 5 3 3 3" xfId="32309" xr:uid="{F5622AC5-E1B3-4389-B15E-9FCEBE6B5512}"/>
    <cellStyle name="Normal 5 3 5 3 3 4" xfId="23861" xr:uid="{06EB8159-0D94-4251-A285-5986C22AD7CD}"/>
    <cellStyle name="Normal 5 3 5 3 3 5" xfId="14564" xr:uid="{491A2795-52BF-4FD7-BF5C-13D903BEAF94}"/>
    <cellStyle name="Normal 5 3 5 3 4" xfId="9278" xr:uid="{6197750A-97CA-41EF-A67C-63E25EE58E9E}"/>
    <cellStyle name="Normal 5 3 5 3 4 2" xfId="36539" xr:uid="{8EEEF253-2FCC-4F28-BAD0-8C967849F138}"/>
    <cellStyle name="Normal 5 3 5 3 4 3" xfId="18591" xr:uid="{4AD97788-5B93-4482-B309-93C30CDED7FF}"/>
    <cellStyle name="Normal 5 3 5 3 5" xfId="28091" xr:uid="{AEFF9732-0E19-4797-928F-439AF93BEA35}"/>
    <cellStyle name="Normal 5 3 5 3 6" xfId="19644" xr:uid="{F4A1E296-24B1-44B6-9AA7-1BA9D72BB6FD}"/>
    <cellStyle name="Normal 5 3 5 3 7" xfId="10347" xr:uid="{AA4B2157-FB7E-4B62-AD44-8D90216F35B6}"/>
    <cellStyle name="Normal 5 3 5 4" xfId="1344" xr:uid="{00000000-0005-0000-0000-00007D1A0000}"/>
    <cellStyle name="Normal 5 3 5 4 2" xfId="3574" xr:uid="{00000000-0005-0000-0000-00007E1A0000}"/>
    <cellStyle name="Normal 5 3 5 4 2 2" xfId="7796" xr:uid="{00000000-0005-0000-0000-00007F1A0000}"/>
    <cellStyle name="Normal 5 3 5 4 2 2 2" xfId="43314" xr:uid="{AD203E2F-4C94-46C6-BF85-3B021BB4DFCE}"/>
    <cellStyle name="Normal 5 3 5 4 2 2 3" xfId="34867" xr:uid="{C38F3C31-A6F7-4DC2-AE58-AF79452CCC2A}"/>
    <cellStyle name="Normal 5 3 5 4 2 2 4" xfId="26419" xr:uid="{3A679FA9-00F2-4448-A55D-E9BD5C488F38}"/>
    <cellStyle name="Normal 5 3 5 4 2 2 5" xfId="17122" xr:uid="{0C6B15A5-8AD1-42BD-B12D-71A84121BF60}"/>
    <cellStyle name="Normal 5 3 5 4 2 3" xfId="39097" xr:uid="{28CC83E1-2356-448E-9106-B32A7703824E}"/>
    <cellStyle name="Normal 5 3 5 4 2 4" xfId="30649" xr:uid="{8E11C4F5-4872-48ED-9B92-620721EAB9B3}"/>
    <cellStyle name="Normal 5 3 5 4 2 5" xfId="22202" xr:uid="{7A372A61-FE57-4777-839C-539B35BE31FF}"/>
    <cellStyle name="Normal 5 3 5 4 2 6" xfId="12905" xr:uid="{002A6655-F901-4246-8960-F802A0ED1D85}"/>
    <cellStyle name="Normal 5 3 5 4 3" xfId="5651" xr:uid="{00000000-0005-0000-0000-0000801A0000}"/>
    <cellStyle name="Normal 5 3 5 4 3 2" xfId="41169" xr:uid="{853F68BE-793B-4461-9012-9CCB5DD98AA8}"/>
    <cellStyle name="Normal 5 3 5 4 3 3" xfId="32722" xr:uid="{F7F9EA7D-B7A7-4EE3-AF6B-CADDE2240E32}"/>
    <cellStyle name="Normal 5 3 5 4 3 4" xfId="24274" xr:uid="{2789548F-09F2-4511-8137-965A937AE562}"/>
    <cellStyle name="Normal 5 3 5 4 3 5" xfId="14977" xr:uid="{9D013EBF-761F-471A-BAFF-0DB2EA7BE6DD}"/>
    <cellStyle name="Normal 5 3 5 4 4" xfId="36952" xr:uid="{E9CB481C-3878-4508-8511-CE366BF27514}"/>
    <cellStyle name="Normal 5 3 5 4 5" xfId="28504" xr:uid="{BCBF0BD9-0AF8-40CF-9E44-78A7990B98B8}"/>
    <cellStyle name="Normal 5 3 5 4 6" xfId="20057" xr:uid="{59695A15-D714-469A-AC9B-D590F44116C0}"/>
    <cellStyle name="Normal 5 3 5 4 7" xfId="10760" xr:uid="{EDFFAB5B-6E75-4ADF-B22A-0B532A56B115}"/>
    <cellStyle name="Normal 5 3 5 5" xfId="1757" xr:uid="{00000000-0005-0000-0000-0000811A0000}"/>
    <cellStyle name="Normal 5 3 5 5 2" xfId="3987" xr:uid="{00000000-0005-0000-0000-0000821A0000}"/>
    <cellStyle name="Normal 5 3 5 5 2 2" xfId="8209" xr:uid="{00000000-0005-0000-0000-0000831A0000}"/>
    <cellStyle name="Normal 5 3 5 5 2 2 2" xfId="43727" xr:uid="{354A7309-AAAE-42D8-A9B1-100FA910669F}"/>
    <cellStyle name="Normal 5 3 5 5 2 2 3" xfId="35280" xr:uid="{03B55F0E-E73D-4E07-A003-1298AE6B0978}"/>
    <cellStyle name="Normal 5 3 5 5 2 2 4" xfId="26832" xr:uid="{21A04DB4-B30D-4399-992A-D10B1D623FC5}"/>
    <cellStyle name="Normal 5 3 5 5 2 2 5" xfId="17535" xr:uid="{14B48FF1-C0BE-47DE-939D-D87CACC6DEF1}"/>
    <cellStyle name="Normal 5 3 5 5 2 3" xfId="39510" xr:uid="{9CC3C7C6-1003-4CC5-A87B-B8697BA0440B}"/>
    <cellStyle name="Normal 5 3 5 5 2 4" xfId="31062" xr:uid="{CDA0B392-509A-4473-8B5D-5BE8165A73E5}"/>
    <cellStyle name="Normal 5 3 5 5 2 5" xfId="22615" xr:uid="{4035A418-0CA5-44D9-A860-08BE3E8A387B}"/>
    <cellStyle name="Normal 5 3 5 5 2 6" xfId="13318" xr:uid="{E873FBB8-0F25-404F-AD19-ACE5C482B81C}"/>
    <cellStyle name="Normal 5 3 5 5 3" xfId="6064" xr:uid="{00000000-0005-0000-0000-0000841A0000}"/>
    <cellStyle name="Normal 5 3 5 5 3 2" xfId="41582" xr:uid="{5DD216F6-C7FE-4A45-91BB-2D07B4568B3C}"/>
    <cellStyle name="Normal 5 3 5 5 3 3" xfId="33135" xr:uid="{D5C01063-2B37-47E2-90B4-3C6067C26ADB}"/>
    <cellStyle name="Normal 5 3 5 5 3 4" xfId="24687" xr:uid="{D677A7F1-19E2-48B3-A3D6-964C2F36D8C0}"/>
    <cellStyle name="Normal 5 3 5 5 3 5" xfId="15390" xr:uid="{B5629149-A7CA-4510-8211-3CFF68B0011E}"/>
    <cellStyle name="Normal 5 3 5 5 4" xfId="37365" xr:uid="{16811CEE-401C-4A7B-ABC0-00203CAE86A6}"/>
    <cellStyle name="Normal 5 3 5 5 5" xfId="28917" xr:uid="{A393D11D-C7D3-4BC3-9D41-B0AF61F69618}"/>
    <cellStyle name="Normal 5 3 5 5 6" xfId="20470" xr:uid="{23B2BE99-E203-4F76-9B92-1294F82868DE}"/>
    <cellStyle name="Normal 5 3 5 5 7" xfId="11173" xr:uid="{9E80A3EB-F74F-4A1C-BAB8-9D19431C2695}"/>
    <cellStyle name="Normal 5 3 5 6" xfId="2171" xr:uid="{00000000-0005-0000-0000-0000851A0000}"/>
    <cellStyle name="Normal 5 3 5 6 2" xfId="4400" xr:uid="{00000000-0005-0000-0000-0000861A0000}"/>
    <cellStyle name="Normal 5 3 5 6 2 2" xfId="8622" xr:uid="{00000000-0005-0000-0000-0000871A0000}"/>
    <cellStyle name="Normal 5 3 5 6 2 2 2" xfId="44140" xr:uid="{C5EF0CE2-8798-443F-A46B-25B7184F8042}"/>
    <cellStyle name="Normal 5 3 5 6 2 2 3" xfId="35693" xr:uid="{EECCB875-20E9-4D07-9D1E-67140841EDF6}"/>
    <cellStyle name="Normal 5 3 5 6 2 2 4" xfId="27245" xr:uid="{C5390DF0-B20D-441A-B8E3-EC87C5AFE9BA}"/>
    <cellStyle name="Normal 5 3 5 6 2 2 5" xfId="17948" xr:uid="{BD677664-EF97-4E22-BADB-32B3BAFB5E9E}"/>
    <cellStyle name="Normal 5 3 5 6 2 3" xfId="39923" xr:uid="{01DD1449-A826-45D2-85CA-11C80462428F}"/>
    <cellStyle name="Normal 5 3 5 6 2 4" xfId="31475" xr:uid="{E7A2E093-791D-4EF8-8F23-3B86F4DA68EA}"/>
    <cellStyle name="Normal 5 3 5 6 2 5" xfId="23028" xr:uid="{2CCA0D99-B497-4787-9F2A-6B7EFFE6E58A}"/>
    <cellStyle name="Normal 5 3 5 6 2 6" xfId="13731" xr:uid="{84548F0A-F052-4C7D-B0FD-9EB82312005D}"/>
    <cellStyle name="Normal 5 3 5 6 3" xfId="6477" xr:uid="{00000000-0005-0000-0000-0000881A0000}"/>
    <cellStyle name="Normal 5 3 5 6 3 2" xfId="41995" xr:uid="{954F7C5D-3FF6-4601-8405-3A22D02DBA83}"/>
    <cellStyle name="Normal 5 3 5 6 3 3" xfId="33548" xr:uid="{7A0A493B-87A2-4CE5-90B6-9A931F00C6C0}"/>
    <cellStyle name="Normal 5 3 5 6 3 4" xfId="25100" xr:uid="{AC0F498D-AD10-4A28-97B2-C65C6B22AB35}"/>
    <cellStyle name="Normal 5 3 5 6 3 5" xfId="15803" xr:uid="{324B2EE7-13A6-4207-9699-DFAADF1203DC}"/>
    <cellStyle name="Normal 5 3 5 6 4" xfId="37778" xr:uid="{0FB40331-40B9-447D-B9AD-BB099048214B}"/>
    <cellStyle name="Normal 5 3 5 6 5" xfId="29330" xr:uid="{7E7B76F0-01C3-41CF-9562-31082707797B}"/>
    <cellStyle name="Normal 5 3 5 6 6" xfId="20883" xr:uid="{251861A3-85E0-4A22-BC73-E4C3496F51E6}"/>
    <cellStyle name="Normal 5 3 5 6 7" xfId="11586" xr:uid="{D0289762-F14D-4688-985D-551F92DF927F}"/>
    <cellStyle name="Normal 5 3 5 7" xfId="2607" xr:uid="{00000000-0005-0000-0000-0000891A0000}"/>
    <cellStyle name="Normal 5 3 5 7 2" xfId="6890" xr:uid="{00000000-0005-0000-0000-00008A1A0000}"/>
    <cellStyle name="Normal 5 3 5 7 2 2" xfId="42408" xr:uid="{30CBF82F-9178-4EA9-98CF-06563647CBE1}"/>
    <cellStyle name="Normal 5 3 5 7 2 3" xfId="33961" xr:uid="{07B315AE-24A6-41E2-BCA8-AB756C56F94F}"/>
    <cellStyle name="Normal 5 3 5 7 2 4" xfId="25513" xr:uid="{CFE960AA-47D4-455B-B803-CB30B2ABB1C3}"/>
    <cellStyle name="Normal 5 3 5 7 2 5" xfId="16216" xr:uid="{B9EEF9BB-641F-4DE3-931E-5AFA61FED162}"/>
    <cellStyle name="Normal 5 3 5 7 3" xfId="38191" xr:uid="{1B6E24BA-F88A-4529-AC65-7C3E15A3E660}"/>
    <cellStyle name="Normal 5 3 5 7 4" xfId="29743" xr:uid="{D361CE11-98B8-424F-AB4C-39FB0D030644}"/>
    <cellStyle name="Normal 5 3 5 7 5" xfId="21296" xr:uid="{0EBC4D3B-712D-483E-9611-0DEC4F358149}"/>
    <cellStyle name="Normal 5 3 5 7 6" xfId="11999" xr:uid="{A98D664D-3E53-4B33-9D9E-8FC09B7E92F9}"/>
    <cellStyle name="Normal 5 3 5 8" xfId="4825" xr:uid="{00000000-0005-0000-0000-00008B1A0000}"/>
    <cellStyle name="Normal 5 3 5 8 2" xfId="40343" xr:uid="{21301477-8DA6-4310-839C-5022414B6D54}"/>
    <cellStyle name="Normal 5 3 5 8 3" xfId="31896" xr:uid="{FA218DBA-D46E-459D-9444-444263731A4F}"/>
    <cellStyle name="Normal 5 3 5 8 4" xfId="23448" xr:uid="{160653CF-8E3C-4F06-BD66-ADE40B5D69DE}"/>
    <cellStyle name="Normal 5 3 5 8 5" xfId="14151" xr:uid="{B8242D45-CB7F-4014-843B-185E49CE6EB1}"/>
    <cellStyle name="Normal 5 3 5 9" xfId="8853" xr:uid="{049FA2CE-003F-47C1-A264-645323886F35}"/>
    <cellStyle name="Normal 5 3 5 9 2" xfId="36126" xr:uid="{EB840180-5203-4DBE-BB53-6AC93A67BFA1}"/>
    <cellStyle name="Normal 5 3 5 9 3" xfId="18176" xr:uid="{DC019729-079D-42A1-B3EA-AADA053CDEC6}"/>
    <cellStyle name="Normal 5 3 6" xfId="455" xr:uid="{00000000-0005-0000-0000-00008C1A0000}"/>
    <cellStyle name="Normal 5 3 6 10" xfId="19233" xr:uid="{E28AC7B9-EFF5-4FD2-92E3-8B8BC09F7010}"/>
    <cellStyle name="Normal 5 3 6 11" xfId="9936" xr:uid="{3B44FBB1-FC03-4D68-B51F-ABE1C6D51C51}"/>
    <cellStyle name="Normal 5 3 6 2" xfId="929" xr:uid="{00000000-0005-0000-0000-00008D1A0000}"/>
    <cellStyle name="Normal 5 3 6 2 2" xfId="3163" xr:uid="{00000000-0005-0000-0000-00008E1A0000}"/>
    <cellStyle name="Normal 5 3 6 2 2 2" xfId="7385" xr:uid="{00000000-0005-0000-0000-00008F1A0000}"/>
    <cellStyle name="Normal 5 3 6 2 2 2 2" xfId="42903" xr:uid="{27CE5C39-0BB2-4DB1-8E5A-644373479125}"/>
    <cellStyle name="Normal 5 3 6 2 2 2 3" xfId="34456" xr:uid="{5921FFA2-D324-4E08-8505-14DC1F067A99}"/>
    <cellStyle name="Normal 5 3 6 2 2 2 4" xfId="26008" xr:uid="{307EB96D-8470-4145-9770-567AB424E77F}"/>
    <cellStyle name="Normal 5 3 6 2 2 2 5" xfId="16711" xr:uid="{791C8A29-B8C7-4804-A92B-259D16DE4091}"/>
    <cellStyle name="Normal 5 3 6 2 2 3" xfId="38686" xr:uid="{CBD42EF2-7FC4-45FF-8982-81EF7FD0BBB0}"/>
    <cellStyle name="Normal 5 3 6 2 2 4" xfId="30238" xr:uid="{44B72859-8EB0-4618-A309-83409A9A3FCB}"/>
    <cellStyle name="Normal 5 3 6 2 2 5" xfId="21791" xr:uid="{F57E0A3D-9667-462E-AF65-4CB61CA19468}"/>
    <cellStyle name="Normal 5 3 6 2 2 6" xfId="12494" xr:uid="{60206CEC-4E4F-4ACB-BC7A-E31040289992}"/>
    <cellStyle name="Normal 5 3 6 2 3" xfId="5240" xr:uid="{00000000-0005-0000-0000-0000901A0000}"/>
    <cellStyle name="Normal 5 3 6 2 3 2" xfId="40758" xr:uid="{AF4DB330-759C-4EF7-8135-13DA800C54EE}"/>
    <cellStyle name="Normal 5 3 6 2 3 3" xfId="32311" xr:uid="{714D1304-E220-48C1-873A-E8B231700EB3}"/>
    <cellStyle name="Normal 5 3 6 2 3 4" xfId="23863" xr:uid="{2DCB1836-3E79-47C6-95C6-2A97929309D0}"/>
    <cellStyle name="Normal 5 3 6 2 3 5" xfId="14566" xr:uid="{7BAC0D05-23F4-4E62-B607-2CAB08EABCFE}"/>
    <cellStyle name="Normal 5 3 6 2 4" xfId="9394" xr:uid="{040FDD8C-10C9-4583-9A6E-8F76047ECA0C}"/>
    <cellStyle name="Normal 5 3 6 2 4 2" xfId="36541" xr:uid="{58E6F5AC-CEB4-42A1-A489-4A116003AE05}"/>
    <cellStyle name="Normal 5 3 6 2 4 3" xfId="18707" xr:uid="{C20F12A5-C98D-476F-A4DC-BF3B3BFE6D9D}"/>
    <cellStyle name="Normal 5 3 6 2 5" xfId="28093" xr:uid="{BCDE2BE1-7AA6-4073-A5BA-CE9146516421}"/>
    <cellStyle name="Normal 5 3 6 2 6" xfId="19646" xr:uid="{08AD589D-DDB1-480D-B2DF-3C5404B8E91D}"/>
    <cellStyle name="Normal 5 3 6 2 7" xfId="10349" xr:uid="{CD3A64AA-BD6B-4E78-8E58-9FCFAFB52BB8}"/>
    <cellStyle name="Normal 5 3 6 3" xfId="1346" xr:uid="{00000000-0005-0000-0000-0000911A0000}"/>
    <cellStyle name="Normal 5 3 6 3 2" xfId="3576" xr:uid="{00000000-0005-0000-0000-0000921A0000}"/>
    <cellStyle name="Normal 5 3 6 3 2 2" xfId="7798" xr:uid="{00000000-0005-0000-0000-0000931A0000}"/>
    <cellStyle name="Normal 5 3 6 3 2 2 2" xfId="43316" xr:uid="{286491A1-17F0-4C45-ABB5-7356A9326E65}"/>
    <cellStyle name="Normal 5 3 6 3 2 2 3" xfId="34869" xr:uid="{9957B311-5F21-485D-9C64-9937E52B445E}"/>
    <cellStyle name="Normal 5 3 6 3 2 2 4" xfId="26421" xr:uid="{A2DE0E2A-677B-4A67-9A81-7FEEE587EFDD}"/>
    <cellStyle name="Normal 5 3 6 3 2 2 5" xfId="17124" xr:uid="{5490FD4F-7BB0-4E47-80D4-396DC26C5FF3}"/>
    <cellStyle name="Normal 5 3 6 3 2 3" xfId="39099" xr:uid="{AC12C1AD-A214-4587-908D-3E42E334CB46}"/>
    <cellStyle name="Normal 5 3 6 3 2 4" xfId="30651" xr:uid="{7A6ABFC3-E580-47B5-9BA9-43E178DAC9D7}"/>
    <cellStyle name="Normal 5 3 6 3 2 5" xfId="22204" xr:uid="{CAA130B6-55FB-4AC7-AEC8-98187A4B02E9}"/>
    <cellStyle name="Normal 5 3 6 3 2 6" xfId="12907" xr:uid="{C55D7E7F-A374-4F8E-BF43-F880DC58955A}"/>
    <cellStyle name="Normal 5 3 6 3 3" xfId="5653" xr:uid="{00000000-0005-0000-0000-0000941A0000}"/>
    <cellStyle name="Normal 5 3 6 3 3 2" xfId="41171" xr:uid="{7C34577B-1FC3-4771-B575-26A8D35D7C84}"/>
    <cellStyle name="Normal 5 3 6 3 3 3" xfId="32724" xr:uid="{363A4C28-5315-4ED3-88F7-1E1721F43560}"/>
    <cellStyle name="Normal 5 3 6 3 3 4" xfId="24276" xr:uid="{F18143AF-1119-42A0-A5B1-000F5A1471E1}"/>
    <cellStyle name="Normal 5 3 6 3 3 5" xfId="14979" xr:uid="{7F118974-D863-4B54-89F3-5687151DD09B}"/>
    <cellStyle name="Normal 5 3 6 3 4" xfId="36954" xr:uid="{AEF68A95-78A4-4936-AE1B-13E7BE1F989F}"/>
    <cellStyle name="Normal 5 3 6 3 5" xfId="28506" xr:uid="{7A6CD542-0B3E-4398-A66E-DF441F08D234}"/>
    <cellStyle name="Normal 5 3 6 3 6" xfId="20059" xr:uid="{B9975021-9589-4298-94D8-32C14AD7E293}"/>
    <cellStyle name="Normal 5 3 6 3 7" xfId="10762" xr:uid="{2FE93CC9-403C-49C5-8DEE-141A06BB6AED}"/>
    <cellStyle name="Normal 5 3 6 4" xfId="1759" xr:uid="{00000000-0005-0000-0000-0000951A0000}"/>
    <cellStyle name="Normal 5 3 6 4 2" xfId="3989" xr:uid="{00000000-0005-0000-0000-0000961A0000}"/>
    <cellStyle name="Normal 5 3 6 4 2 2" xfId="8211" xr:uid="{00000000-0005-0000-0000-0000971A0000}"/>
    <cellStyle name="Normal 5 3 6 4 2 2 2" xfId="43729" xr:uid="{CA6C2E53-EE2C-416A-AEEA-5D0BA65159BD}"/>
    <cellStyle name="Normal 5 3 6 4 2 2 3" xfId="35282" xr:uid="{B46C3720-D8DF-460A-BE49-64BE3520D9F9}"/>
    <cellStyle name="Normal 5 3 6 4 2 2 4" xfId="26834" xr:uid="{D5ECB65D-49F9-4144-9B2D-CD2ED8D28FAD}"/>
    <cellStyle name="Normal 5 3 6 4 2 2 5" xfId="17537" xr:uid="{3D141CD8-8FDE-4105-9A58-AA7D4E91563B}"/>
    <cellStyle name="Normal 5 3 6 4 2 3" xfId="39512" xr:uid="{81813BEB-040F-47EE-83E0-62276935180E}"/>
    <cellStyle name="Normal 5 3 6 4 2 4" xfId="31064" xr:uid="{2886D310-B117-48AC-94F3-78AFB6A192B0}"/>
    <cellStyle name="Normal 5 3 6 4 2 5" xfId="22617" xr:uid="{6BD9191B-57FA-4B50-8D19-2B7C25455BA9}"/>
    <cellStyle name="Normal 5 3 6 4 2 6" xfId="13320" xr:uid="{EB128F48-5C68-4F9F-8BBB-7DFCD083724D}"/>
    <cellStyle name="Normal 5 3 6 4 3" xfId="6066" xr:uid="{00000000-0005-0000-0000-0000981A0000}"/>
    <cellStyle name="Normal 5 3 6 4 3 2" xfId="41584" xr:uid="{67F571D8-CCBB-486E-915C-7383EE912DD0}"/>
    <cellStyle name="Normal 5 3 6 4 3 3" xfId="33137" xr:uid="{DEBDEBD7-FC7D-4751-BB9C-C95FBF120C69}"/>
    <cellStyle name="Normal 5 3 6 4 3 4" xfId="24689" xr:uid="{D84E4C93-2481-4EEB-87FE-708D303CA689}"/>
    <cellStyle name="Normal 5 3 6 4 3 5" xfId="15392" xr:uid="{EC3E6156-7AB4-494D-9559-5682B327F103}"/>
    <cellStyle name="Normal 5 3 6 4 4" xfId="37367" xr:uid="{2C8C1D0C-8CB0-4AF9-A1F5-2EED1F2BA621}"/>
    <cellStyle name="Normal 5 3 6 4 5" xfId="28919" xr:uid="{4599E4B6-495A-4CC1-97F9-0293D11AEE93}"/>
    <cellStyle name="Normal 5 3 6 4 6" xfId="20472" xr:uid="{EA13C029-6710-4ACA-A388-EB9AFFABBAB7}"/>
    <cellStyle name="Normal 5 3 6 4 7" xfId="11175" xr:uid="{4BA45FF3-05BA-472B-82A0-AEB97FEB2F22}"/>
    <cellStyle name="Normal 5 3 6 5" xfId="2173" xr:uid="{00000000-0005-0000-0000-0000991A0000}"/>
    <cellStyle name="Normal 5 3 6 5 2" xfId="4402" xr:uid="{00000000-0005-0000-0000-00009A1A0000}"/>
    <cellStyle name="Normal 5 3 6 5 2 2" xfId="8624" xr:uid="{00000000-0005-0000-0000-00009B1A0000}"/>
    <cellStyle name="Normal 5 3 6 5 2 2 2" xfId="44142" xr:uid="{94E90D79-D8E2-4918-AA2C-1EFE9F44D074}"/>
    <cellStyle name="Normal 5 3 6 5 2 2 3" xfId="35695" xr:uid="{962675F6-2679-45D4-AB19-C0F0AD399A52}"/>
    <cellStyle name="Normal 5 3 6 5 2 2 4" xfId="27247" xr:uid="{D34E2DB5-B8F8-4572-8053-1D46F875AB34}"/>
    <cellStyle name="Normal 5 3 6 5 2 2 5" xfId="17950" xr:uid="{BD8733DB-7B42-49DB-8F10-C363A1A65EA6}"/>
    <cellStyle name="Normal 5 3 6 5 2 3" xfId="39925" xr:uid="{287B76B9-21ED-483A-AF8A-99932F79DF4B}"/>
    <cellStyle name="Normal 5 3 6 5 2 4" xfId="31477" xr:uid="{E41F238C-D912-47C8-95AC-5C5964461D94}"/>
    <cellStyle name="Normal 5 3 6 5 2 5" xfId="23030" xr:uid="{B385CBA5-488A-4E56-9F9C-0883E35C411B}"/>
    <cellStyle name="Normal 5 3 6 5 2 6" xfId="13733" xr:uid="{D1A51FF3-0020-462C-B18B-BD9A74FEEECC}"/>
    <cellStyle name="Normal 5 3 6 5 3" xfId="6479" xr:uid="{00000000-0005-0000-0000-00009C1A0000}"/>
    <cellStyle name="Normal 5 3 6 5 3 2" xfId="41997" xr:uid="{897300B1-BAD4-4293-BB89-A4091E91B9FD}"/>
    <cellStyle name="Normal 5 3 6 5 3 3" xfId="33550" xr:uid="{DF9CD58E-DCE7-4974-BCD2-092FB6BD5912}"/>
    <cellStyle name="Normal 5 3 6 5 3 4" xfId="25102" xr:uid="{EB66E91C-8D55-42E4-8452-D8DD32436DAB}"/>
    <cellStyle name="Normal 5 3 6 5 3 5" xfId="15805" xr:uid="{EDD32B1F-365F-4714-82E4-69EC4787854E}"/>
    <cellStyle name="Normal 5 3 6 5 4" xfId="37780" xr:uid="{A754FBF1-807E-415A-AFFA-2CA5BC63640F}"/>
    <cellStyle name="Normal 5 3 6 5 5" xfId="29332" xr:uid="{63BD7B09-6995-4BC4-A1AD-6BCEADB2A150}"/>
    <cellStyle name="Normal 5 3 6 5 6" xfId="20885" xr:uid="{21F02256-C2DF-4E28-A847-A7B390BB505F}"/>
    <cellStyle name="Normal 5 3 6 5 7" xfId="11588" xr:uid="{BD4AEDFE-8405-4A39-8E21-F902F84235C2}"/>
    <cellStyle name="Normal 5 3 6 6" xfId="2609" xr:uid="{00000000-0005-0000-0000-00009D1A0000}"/>
    <cellStyle name="Normal 5 3 6 6 2" xfId="6892" xr:uid="{00000000-0005-0000-0000-00009E1A0000}"/>
    <cellStyle name="Normal 5 3 6 6 2 2" xfId="42410" xr:uid="{D997A8B3-3C30-4E57-9828-C05E5D003E08}"/>
    <cellStyle name="Normal 5 3 6 6 2 3" xfId="33963" xr:uid="{DCFF7C7B-CAC5-43AD-88B3-ED251E3A76C9}"/>
    <cellStyle name="Normal 5 3 6 6 2 4" xfId="25515" xr:uid="{9063B0E4-3264-4932-A8F9-E86DF2846C19}"/>
    <cellStyle name="Normal 5 3 6 6 2 5" xfId="16218" xr:uid="{840242FB-042C-405D-89E6-F940355B5810}"/>
    <cellStyle name="Normal 5 3 6 6 3" xfId="38193" xr:uid="{1C8B5165-D927-4C07-BE4C-0F429262BBD3}"/>
    <cellStyle name="Normal 5 3 6 6 4" xfId="29745" xr:uid="{323916FA-0B9B-448B-9807-082648EF1750}"/>
    <cellStyle name="Normal 5 3 6 6 5" xfId="21298" xr:uid="{BBEA0D96-DD35-4E6E-AF88-06E0AC5F957C}"/>
    <cellStyle name="Normal 5 3 6 6 6" xfId="12001" xr:uid="{524020F9-B932-4A56-9F03-E335A0EAABEE}"/>
    <cellStyle name="Normal 5 3 6 7" xfId="4827" xr:uid="{00000000-0005-0000-0000-00009F1A0000}"/>
    <cellStyle name="Normal 5 3 6 7 2" xfId="40345" xr:uid="{4D0668FE-CDA8-4AEB-A551-C4A3EB8F070B}"/>
    <cellStyle name="Normal 5 3 6 7 3" xfId="31898" xr:uid="{E428C350-86D8-449E-8746-1DBC83FD4571}"/>
    <cellStyle name="Normal 5 3 6 7 4" xfId="23450" xr:uid="{96999CF8-7736-4DFF-B60D-B1BFB8CEC031}"/>
    <cellStyle name="Normal 5 3 6 7 5" xfId="14153" xr:uid="{0224937F-A25F-4E24-AC3B-910D609A3945}"/>
    <cellStyle name="Normal 5 3 6 8" xfId="8969" xr:uid="{FA7ABEAF-BFEA-4D3E-A53B-E23F3117BFD8}"/>
    <cellStyle name="Normal 5 3 6 8 2" xfId="36128" xr:uid="{D5E53BA1-3AD2-49B3-B481-2D39E3BF947B}"/>
    <cellStyle name="Normal 5 3 6 8 3" xfId="18292" xr:uid="{7BE86220-9ECA-4C65-8618-24447FEF3859}"/>
    <cellStyle name="Normal 5 3 6 9" xfId="27680" xr:uid="{4AC74BEF-3A5C-4D7C-8D73-28B06907585C}"/>
    <cellStyle name="Normal 5 3 7" xfId="913" xr:uid="{00000000-0005-0000-0000-0000A01A0000}"/>
    <cellStyle name="Normal 5 3 7 2" xfId="3148" xr:uid="{00000000-0005-0000-0000-0000A11A0000}"/>
    <cellStyle name="Normal 5 3 7 2 2" xfId="7370" xr:uid="{00000000-0005-0000-0000-0000A21A0000}"/>
    <cellStyle name="Normal 5 3 7 2 2 2" xfId="42888" xr:uid="{FA604CD2-66A3-4289-B902-CACE763B9ED2}"/>
    <cellStyle name="Normal 5 3 7 2 2 3" xfId="34441" xr:uid="{76B71183-E597-4F28-8133-BD02F00479BE}"/>
    <cellStyle name="Normal 5 3 7 2 2 4" xfId="25993" xr:uid="{9BBB6C4A-6E74-4C37-BC09-A3DDBCE7D53F}"/>
    <cellStyle name="Normal 5 3 7 2 2 5" xfId="16696" xr:uid="{22A81024-82C2-480D-896D-89B3F356C892}"/>
    <cellStyle name="Normal 5 3 7 2 3" xfId="38671" xr:uid="{39D9563B-3EB8-46BD-9001-B2B1F6A3179F}"/>
    <cellStyle name="Normal 5 3 7 2 4" xfId="30223" xr:uid="{5A62D3E8-EC9E-4EDD-820A-59F082E2EA16}"/>
    <cellStyle name="Normal 5 3 7 2 5" xfId="21776" xr:uid="{13195562-BE11-4A82-A027-3EC51FD1CCE8}"/>
    <cellStyle name="Normal 5 3 7 2 6" xfId="12479" xr:uid="{CE1C8005-76AE-492B-AF6C-A4932593F89D}"/>
    <cellStyle name="Normal 5 3 7 3" xfId="5225" xr:uid="{00000000-0005-0000-0000-0000A31A0000}"/>
    <cellStyle name="Normal 5 3 7 3 2" xfId="40743" xr:uid="{A48D4457-B0BD-4D8C-95EB-FB4A9D87E6B7}"/>
    <cellStyle name="Normal 5 3 7 3 3" xfId="32296" xr:uid="{C63C9596-C880-485E-B194-FF0E0C7018F4}"/>
    <cellStyle name="Normal 5 3 7 3 4" xfId="23848" xr:uid="{8B1C7B75-CAD6-4F74-A21A-7E4B9EAB4FEA}"/>
    <cellStyle name="Normal 5 3 7 3 5" xfId="14551" xr:uid="{0FB59D0A-D5D6-4F7F-8B8A-BC721B458BD5}"/>
    <cellStyle name="Normal 5 3 7 4" xfId="9172" xr:uid="{5609ABAF-B913-41DD-9CCE-B28C6A880815}"/>
    <cellStyle name="Normal 5 3 7 4 2" xfId="36526" xr:uid="{A08A95B3-0589-41CB-A9F7-BDF4A5DDC179}"/>
    <cellStyle name="Normal 5 3 7 4 3" xfId="18488" xr:uid="{0FE0B836-9FAE-45C7-AA6C-6628C6521EB5}"/>
    <cellStyle name="Normal 5 3 7 5" xfId="28078" xr:uid="{7E081CAB-B370-4FCE-8399-47DB7A52B326}"/>
    <cellStyle name="Normal 5 3 7 6" xfId="19631" xr:uid="{E7310D42-236F-424B-9091-BF6866BE0E19}"/>
    <cellStyle name="Normal 5 3 7 7" xfId="10334" xr:uid="{0882697D-BB19-4BD3-8DAC-DC95764E9BAF}"/>
    <cellStyle name="Normal 5 3 8" xfId="1331" xr:uid="{00000000-0005-0000-0000-0000A41A0000}"/>
    <cellStyle name="Normal 5 3 8 2" xfId="3561" xr:uid="{00000000-0005-0000-0000-0000A51A0000}"/>
    <cellStyle name="Normal 5 3 8 2 2" xfId="7783" xr:uid="{00000000-0005-0000-0000-0000A61A0000}"/>
    <cellStyle name="Normal 5 3 8 2 2 2" xfId="43301" xr:uid="{7C982CAF-DC4F-463C-B1A9-4BEA9C25BFC5}"/>
    <cellStyle name="Normal 5 3 8 2 2 3" xfId="34854" xr:uid="{BD4741E4-2C5B-4589-B79C-C121B6D69493}"/>
    <cellStyle name="Normal 5 3 8 2 2 4" xfId="26406" xr:uid="{65D0B893-7AD8-4AD1-B89E-3A117FCBA01A}"/>
    <cellStyle name="Normal 5 3 8 2 2 5" xfId="17109" xr:uid="{96ED8ACD-22F6-415C-A4A5-31735DA59B90}"/>
    <cellStyle name="Normal 5 3 8 2 3" xfId="39084" xr:uid="{78006F3E-DE60-4EA1-AE51-17B0FBFE1C45}"/>
    <cellStyle name="Normal 5 3 8 2 4" xfId="30636" xr:uid="{A512F712-512E-4E14-B5B2-81816A4A0F0F}"/>
    <cellStyle name="Normal 5 3 8 2 5" xfId="22189" xr:uid="{F05F81F7-FA89-4E9B-A3AA-82AC7E95BDAE}"/>
    <cellStyle name="Normal 5 3 8 2 6" xfId="12892" xr:uid="{B3100943-1E82-430A-B526-007E78BCA003}"/>
    <cellStyle name="Normal 5 3 8 3" xfId="5638" xr:uid="{00000000-0005-0000-0000-0000A71A0000}"/>
    <cellStyle name="Normal 5 3 8 3 2" xfId="41156" xr:uid="{AD4A0E3B-DFB3-4FE5-920A-90AB7E550BBD}"/>
    <cellStyle name="Normal 5 3 8 3 3" xfId="32709" xr:uid="{FDFF2D08-9ABF-4046-A2A1-0C958F4F460B}"/>
    <cellStyle name="Normal 5 3 8 3 4" xfId="24261" xr:uid="{BD793187-31B1-49A8-BB12-99B7655380FC}"/>
    <cellStyle name="Normal 5 3 8 3 5" xfId="14964" xr:uid="{C7D8D0FB-D237-42DB-A44B-84735ADC18EB}"/>
    <cellStyle name="Normal 5 3 8 4" xfId="36939" xr:uid="{F9CCFE3C-3E55-4A71-A654-60FE13E9CEDE}"/>
    <cellStyle name="Normal 5 3 8 5" xfId="28491" xr:uid="{FADDB619-9830-443A-A155-98F3B4158C55}"/>
    <cellStyle name="Normal 5 3 8 6" xfId="20044" xr:uid="{D9A7744B-C5FD-4668-8FFB-FFA3A68031FD}"/>
    <cellStyle name="Normal 5 3 8 7" xfId="10747" xr:uid="{19ADD776-B669-4568-B983-C42835919915}"/>
    <cellStyle name="Normal 5 3 9" xfId="1744" xr:uid="{00000000-0005-0000-0000-0000A81A0000}"/>
    <cellStyle name="Normal 5 3 9 2" xfId="3974" xr:uid="{00000000-0005-0000-0000-0000A91A0000}"/>
    <cellStyle name="Normal 5 3 9 2 2" xfId="8196" xr:uid="{00000000-0005-0000-0000-0000AA1A0000}"/>
    <cellStyle name="Normal 5 3 9 2 2 2" xfId="43714" xr:uid="{CAD1A6DA-7586-4756-B8C3-757D5FC64684}"/>
    <cellStyle name="Normal 5 3 9 2 2 3" xfId="35267" xr:uid="{3408EB34-9817-419F-AB22-BEE245E32911}"/>
    <cellStyle name="Normal 5 3 9 2 2 4" xfId="26819" xr:uid="{1A86A140-BEA3-43E5-8E21-99629AA8CBF1}"/>
    <cellStyle name="Normal 5 3 9 2 2 5" xfId="17522" xr:uid="{7FDB8C6D-E3F8-4312-BD9D-B1BC76AA4156}"/>
    <cellStyle name="Normal 5 3 9 2 3" xfId="39497" xr:uid="{FCD6644C-9BC3-49B5-BDA4-C832204CD348}"/>
    <cellStyle name="Normal 5 3 9 2 4" xfId="31049" xr:uid="{E0FB1665-6A04-4B6B-8A86-E42B01C9FE07}"/>
    <cellStyle name="Normal 5 3 9 2 5" xfId="22602" xr:uid="{678D916B-5262-4CDA-A8A0-B34A69FAC5BC}"/>
    <cellStyle name="Normal 5 3 9 2 6" xfId="13305" xr:uid="{BD105C06-214D-4CBA-8743-876E7E10E945}"/>
    <cellStyle name="Normal 5 3 9 3" xfId="6051" xr:uid="{00000000-0005-0000-0000-0000AB1A0000}"/>
    <cellStyle name="Normal 5 3 9 3 2" xfId="41569" xr:uid="{2E97D925-B12A-408E-A623-4C9C4E8A5206}"/>
    <cellStyle name="Normal 5 3 9 3 3" xfId="33122" xr:uid="{22BD0749-DEBF-43FB-997F-3EBA90A8F653}"/>
    <cellStyle name="Normal 5 3 9 3 4" xfId="24674" xr:uid="{04A0213F-F8A8-4A94-944C-D3F7B739E424}"/>
    <cellStyle name="Normal 5 3 9 3 5" xfId="15377" xr:uid="{6802BF5B-1F37-4DC2-AD4E-608E626B6F9C}"/>
    <cellStyle name="Normal 5 3 9 4" xfId="37352" xr:uid="{BB0A293D-AF78-4D9B-A622-E6B53E85EAA2}"/>
    <cellStyle name="Normal 5 3 9 5" xfId="28904" xr:uid="{EFD14289-D2C9-42C6-B090-0B09268431BE}"/>
    <cellStyle name="Normal 5 3 9 6" xfId="20457" xr:uid="{212EFB03-245A-4166-BEB2-2D947CAF43A6}"/>
    <cellStyle name="Normal 5 3 9 7" xfId="11160" xr:uid="{0B044A12-2F7E-4924-8BD0-9865CB20D3CC}"/>
    <cellStyle name="Normal 5 4" xfId="456" xr:uid="{00000000-0005-0000-0000-0000AC1A0000}"/>
    <cellStyle name="Normal 5 4 10" xfId="4828" xr:uid="{00000000-0005-0000-0000-0000AD1A0000}"/>
    <cellStyle name="Normal 5 4 10 2" xfId="40346" xr:uid="{6E9664C1-2E57-4535-9C4B-9BB0B6A909F2}"/>
    <cellStyle name="Normal 5 4 10 3" xfId="31899" xr:uid="{82557612-32D3-4509-8A3A-7BAADFAE99B2}"/>
    <cellStyle name="Normal 5 4 10 4" xfId="23451" xr:uid="{3E21E567-03FF-4DD0-82E9-84E4D7ED599C}"/>
    <cellStyle name="Normal 5 4 10 5" xfId="14154" xr:uid="{311EB3CB-4D76-4B9A-AB37-E893B04A774B}"/>
    <cellStyle name="Normal 5 4 11" xfId="8773" xr:uid="{50472F80-32FD-428C-B078-8DE338D6CA16}"/>
    <cellStyle name="Normal 5 4 11 2" xfId="36129" xr:uid="{A2F02100-A9ED-4D94-ADA0-D86AADD68972}"/>
    <cellStyle name="Normal 5 4 11 3" xfId="18096" xr:uid="{9E8904DA-7378-499B-A79D-216F424EBA81}"/>
    <cellStyle name="Normal 5 4 12" xfId="27681" xr:uid="{734F059A-2098-424E-83DF-D78F9378B0C0}"/>
    <cellStyle name="Normal 5 4 13" xfId="19234" xr:uid="{514D062E-8E0D-4D80-A1F1-B90248B6594D}"/>
    <cellStyle name="Normal 5 4 14" xfId="9937" xr:uid="{C24EF8DB-2B37-482F-9959-7378D5441978}"/>
    <cellStyle name="Normal 5 4 2" xfId="457" xr:uid="{00000000-0005-0000-0000-0000AE1A0000}"/>
    <cellStyle name="Normal 5 4 2 10" xfId="8833" xr:uid="{6EA55230-8E5B-4EF6-B83C-8DF4202F8C31}"/>
    <cellStyle name="Normal 5 4 2 10 2" xfId="36130" xr:uid="{2140F7C7-5F8D-48F5-9D67-C184AB18D551}"/>
    <cellStyle name="Normal 5 4 2 10 3" xfId="18156" xr:uid="{0395BCB9-B38A-44AD-A854-B25B3EF321B8}"/>
    <cellStyle name="Normal 5 4 2 11" xfId="27682" xr:uid="{A3EEE94B-F415-4506-9E1D-03850A6AF03F}"/>
    <cellStyle name="Normal 5 4 2 12" xfId="19235" xr:uid="{329FA44B-71B8-452D-A50F-6690EFEEE930}"/>
    <cellStyle name="Normal 5 4 2 13" xfId="9938" xr:uid="{CD1C6951-FADE-462F-B604-E8F43652D8F9}"/>
    <cellStyle name="Normal 5 4 2 2" xfId="458" xr:uid="{00000000-0005-0000-0000-0000AF1A0000}"/>
    <cellStyle name="Normal 5 4 2 2 10" xfId="27683" xr:uid="{5244CFB3-A2DA-40D3-9EE7-456D2766BB16}"/>
    <cellStyle name="Normal 5 4 2 2 11" xfId="19236" xr:uid="{4D15BA84-6C6D-4C83-BDC1-6D26B56A23CD}"/>
    <cellStyle name="Normal 5 4 2 2 12" xfId="9939" xr:uid="{B5C427EE-BA33-47BC-8316-19BA2FBC1304}"/>
    <cellStyle name="Normal 5 4 2 2 2" xfId="459" xr:uid="{00000000-0005-0000-0000-0000B01A0000}"/>
    <cellStyle name="Normal 5 4 2 2 2 10" xfId="19237" xr:uid="{BFE400B5-122B-43BD-8CB3-C404998AB32E}"/>
    <cellStyle name="Normal 5 4 2 2 2 11" xfId="9940" xr:uid="{00A5E62B-12B6-457E-9351-74B3274C093A}"/>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42907" xr:uid="{BF4EC030-69D4-4ECD-A46D-7FE45A2AA302}"/>
    <cellStyle name="Normal 5 4 2 2 2 2 2 2 3" xfId="34460" xr:uid="{326579DE-9074-4910-948E-22C13B055555}"/>
    <cellStyle name="Normal 5 4 2 2 2 2 2 2 4" xfId="26012" xr:uid="{D2980A5B-EFB2-4B99-A232-04204132D972}"/>
    <cellStyle name="Normal 5 4 2 2 2 2 2 2 5" xfId="16715" xr:uid="{2F389FAF-A87C-419E-8DA8-61776CD04A36}"/>
    <cellStyle name="Normal 5 4 2 2 2 2 2 3" xfId="38690" xr:uid="{5DE160DD-2158-48F5-B3BD-AD6F36490929}"/>
    <cellStyle name="Normal 5 4 2 2 2 2 2 4" xfId="30242" xr:uid="{C79A0FAA-5522-4AC7-9644-3335934EE0FB}"/>
    <cellStyle name="Normal 5 4 2 2 2 2 2 5" xfId="21795" xr:uid="{F8D14F0D-D7FD-4EAF-8C05-4F8FF6191F41}"/>
    <cellStyle name="Normal 5 4 2 2 2 2 2 6" xfId="12498" xr:uid="{496897F6-82BE-4AAE-B220-5EB4D67C896E}"/>
    <cellStyle name="Normal 5 4 2 2 2 2 3" xfId="5244" xr:uid="{00000000-0005-0000-0000-0000B41A0000}"/>
    <cellStyle name="Normal 5 4 2 2 2 2 3 2" xfId="40762" xr:uid="{695F65F6-E2E3-48A8-8144-BB863EC96D48}"/>
    <cellStyle name="Normal 5 4 2 2 2 2 3 3" xfId="32315" xr:uid="{6BA82B62-4537-4BEB-9123-B6662411A407}"/>
    <cellStyle name="Normal 5 4 2 2 2 2 3 4" xfId="23867" xr:uid="{7AE1E0D7-3C36-4901-8D6B-016418BFA983}"/>
    <cellStyle name="Normal 5 4 2 2 2 2 3 5" xfId="14570" xr:uid="{E726777B-BDEE-48D8-A9DD-BA110DD15E36}"/>
    <cellStyle name="Normal 5 4 2 2 2 2 4" xfId="9568" xr:uid="{C9922021-D284-4633-BD4E-F2DB1197482A}"/>
    <cellStyle name="Normal 5 4 2 2 2 2 4 2" xfId="36545" xr:uid="{FC981BB9-F0AB-4A88-9E61-3ED70D3D256F}"/>
    <cellStyle name="Normal 5 4 2 2 2 2 4 3" xfId="18881" xr:uid="{D204285D-51A8-4FB1-8D96-BF48EF53DB70}"/>
    <cellStyle name="Normal 5 4 2 2 2 2 5" xfId="28097" xr:uid="{1C783D7C-8312-445C-ABE6-AE98DBD51826}"/>
    <cellStyle name="Normal 5 4 2 2 2 2 6" xfId="19650" xr:uid="{1914410B-6F6A-4353-A7FB-5D7BE160CED2}"/>
    <cellStyle name="Normal 5 4 2 2 2 2 7" xfId="10353" xr:uid="{2AF2606B-34CA-4F52-985A-2DBB6BE5CD3B}"/>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43320" xr:uid="{2192D094-D66F-4F92-8B5B-B99977495CF4}"/>
    <cellStyle name="Normal 5 4 2 2 2 3 2 2 3" xfId="34873" xr:uid="{ABA45EBF-E4EF-4C7E-B2A1-D03ED6BC9650}"/>
    <cellStyle name="Normal 5 4 2 2 2 3 2 2 4" xfId="26425" xr:uid="{10C0A893-E4C3-4BD5-BCC5-5ED3C92C0815}"/>
    <cellStyle name="Normal 5 4 2 2 2 3 2 2 5" xfId="17128" xr:uid="{583C246A-429B-4AC3-8430-714D6052328F}"/>
    <cellStyle name="Normal 5 4 2 2 2 3 2 3" xfId="39103" xr:uid="{6F6B67BF-B573-4312-B246-33BF5F0DAA35}"/>
    <cellStyle name="Normal 5 4 2 2 2 3 2 4" xfId="30655" xr:uid="{30C530E6-3FBB-4705-BBD5-B8A6744D506A}"/>
    <cellStyle name="Normal 5 4 2 2 2 3 2 5" xfId="22208" xr:uid="{2B3D7E15-849E-42B2-8D90-E9E618C31ADE}"/>
    <cellStyle name="Normal 5 4 2 2 2 3 2 6" xfId="12911" xr:uid="{4065D032-5D00-482C-B81A-A1C9C8E11311}"/>
    <cellStyle name="Normal 5 4 2 2 2 3 3" xfId="5657" xr:uid="{00000000-0005-0000-0000-0000B81A0000}"/>
    <cellStyle name="Normal 5 4 2 2 2 3 3 2" xfId="41175" xr:uid="{6BCB098F-2594-46CC-8031-2E44B448A052}"/>
    <cellStyle name="Normal 5 4 2 2 2 3 3 3" xfId="32728" xr:uid="{DB89B613-F8C7-44C0-9104-A3D0752C35F0}"/>
    <cellStyle name="Normal 5 4 2 2 2 3 3 4" xfId="24280" xr:uid="{F918AB8F-08D9-4193-9CA4-CAF635BC540A}"/>
    <cellStyle name="Normal 5 4 2 2 2 3 3 5" xfId="14983" xr:uid="{037CB561-D6E0-4DEB-BB58-FC6BA3D86763}"/>
    <cellStyle name="Normal 5 4 2 2 2 3 4" xfId="36958" xr:uid="{BE4FDB77-8C1A-484D-BC83-0344F40D0E2F}"/>
    <cellStyle name="Normal 5 4 2 2 2 3 5" xfId="28510" xr:uid="{17E9150C-EB60-4BFF-AC2B-9A28D1D98959}"/>
    <cellStyle name="Normal 5 4 2 2 2 3 6" xfId="20063" xr:uid="{19035ECA-86A7-4FA6-95C6-5B4B5B80AD3D}"/>
    <cellStyle name="Normal 5 4 2 2 2 3 7" xfId="10766" xr:uid="{9DB97210-FB3C-4B61-90CD-24F23B0B3B88}"/>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43733" xr:uid="{D41C8795-F4A0-433D-B790-61A1EB36EF9D}"/>
    <cellStyle name="Normal 5 4 2 2 2 4 2 2 3" xfId="35286" xr:uid="{CC5D6B8B-2DFB-431B-A9C6-35BFF5D15D22}"/>
    <cellStyle name="Normal 5 4 2 2 2 4 2 2 4" xfId="26838" xr:uid="{2F72389E-CCD9-4135-A5DE-ECB89FEEF969}"/>
    <cellStyle name="Normal 5 4 2 2 2 4 2 2 5" xfId="17541" xr:uid="{CD06B311-ABB3-4500-AA82-38580F9185EC}"/>
    <cellStyle name="Normal 5 4 2 2 2 4 2 3" xfId="39516" xr:uid="{0272B7C6-82D1-4976-8E39-863B8399754F}"/>
    <cellStyle name="Normal 5 4 2 2 2 4 2 4" xfId="31068" xr:uid="{15FC7471-2149-42EA-9C0F-005AC8984DFD}"/>
    <cellStyle name="Normal 5 4 2 2 2 4 2 5" xfId="22621" xr:uid="{00823098-AE1C-4F1A-AF66-C0B6648E343D}"/>
    <cellStyle name="Normal 5 4 2 2 2 4 2 6" xfId="13324" xr:uid="{00566537-0FDF-47EA-BBC1-18704B9E5AFE}"/>
    <cellStyle name="Normal 5 4 2 2 2 4 3" xfId="6070" xr:uid="{00000000-0005-0000-0000-0000BC1A0000}"/>
    <cellStyle name="Normal 5 4 2 2 2 4 3 2" xfId="41588" xr:uid="{D0404557-B0B4-4BFA-A74F-AFD03303E8DE}"/>
    <cellStyle name="Normal 5 4 2 2 2 4 3 3" xfId="33141" xr:uid="{BD330E07-5106-4A29-A774-10098FC5269B}"/>
    <cellStyle name="Normal 5 4 2 2 2 4 3 4" xfId="24693" xr:uid="{E4944309-F23A-4D78-B62A-E9D047749B76}"/>
    <cellStyle name="Normal 5 4 2 2 2 4 3 5" xfId="15396" xr:uid="{7FBF95F1-208F-4F35-9118-CBB6535A9CE2}"/>
    <cellStyle name="Normal 5 4 2 2 2 4 4" xfId="37371" xr:uid="{427EF279-B57F-46B6-9BBA-15E3CDCDA541}"/>
    <cellStyle name="Normal 5 4 2 2 2 4 5" xfId="28923" xr:uid="{80AEBC2B-87ED-4F12-8C0F-7CA5D1704051}"/>
    <cellStyle name="Normal 5 4 2 2 2 4 6" xfId="20476" xr:uid="{19356C32-CD76-4916-BC0C-C3A3A7F339E0}"/>
    <cellStyle name="Normal 5 4 2 2 2 4 7" xfId="11179" xr:uid="{4A5598AD-59FA-4398-9027-AE12AF2D4D39}"/>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44146" xr:uid="{D7ADA087-D1E9-48B3-8EFD-FB28361F85FE}"/>
    <cellStyle name="Normal 5 4 2 2 2 5 2 2 3" xfId="35699" xr:uid="{C2F6C3F3-2C4F-47E1-BD7D-91E41FD25653}"/>
    <cellStyle name="Normal 5 4 2 2 2 5 2 2 4" xfId="27251" xr:uid="{33AF2408-34E1-4DF5-B890-8695747B3E02}"/>
    <cellStyle name="Normal 5 4 2 2 2 5 2 2 5" xfId="17954" xr:uid="{BF0D534F-0E85-4785-9F4B-497FB4D8C672}"/>
    <cellStyle name="Normal 5 4 2 2 2 5 2 3" xfId="39929" xr:uid="{2766C912-5C37-4AD6-B7BE-3ABE2295E030}"/>
    <cellStyle name="Normal 5 4 2 2 2 5 2 4" xfId="31481" xr:uid="{F6ADF06A-5EF3-435D-BF4A-FC7FA63496AB}"/>
    <cellStyle name="Normal 5 4 2 2 2 5 2 5" xfId="23034" xr:uid="{349B0C45-D92C-4087-8896-E51C022D17B2}"/>
    <cellStyle name="Normal 5 4 2 2 2 5 2 6" xfId="13737" xr:uid="{C8934905-4A5B-4A78-97A4-19F991EFD5B3}"/>
    <cellStyle name="Normal 5 4 2 2 2 5 3" xfId="6483" xr:uid="{00000000-0005-0000-0000-0000C01A0000}"/>
    <cellStyle name="Normal 5 4 2 2 2 5 3 2" xfId="42001" xr:uid="{7A359164-5C54-419D-822B-3972698193A8}"/>
    <cellStyle name="Normal 5 4 2 2 2 5 3 3" xfId="33554" xr:uid="{8A4FD988-1612-466D-BF57-AE597EA65EBC}"/>
    <cellStyle name="Normal 5 4 2 2 2 5 3 4" xfId="25106" xr:uid="{2EC51D43-B50B-49BB-A8B0-4EEAFD532FBC}"/>
    <cellStyle name="Normal 5 4 2 2 2 5 3 5" xfId="15809" xr:uid="{6485A8AB-550A-4AB7-A26D-9D667B92FD24}"/>
    <cellStyle name="Normal 5 4 2 2 2 5 4" xfId="37784" xr:uid="{400A415E-B9C1-4139-A21C-FA76120DCD89}"/>
    <cellStyle name="Normal 5 4 2 2 2 5 5" xfId="29336" xr:uid="{9434E42D-06C2-426F-AF83-A68C8690BBA4}"/>
    <cellStyle name="Normal 5 4 2 2 2 5 6" xfId="20889" xr:uid="{D6F208C4-9A34-4A69-837E-7D0967FF5347}"/>
    <cellStyle name="Normal 5 4 2 2 2 5 7" xfId="11592" xr:uid="{C4FAFB8C-3001-4D6F-8642-4934450C1E00}"/>
    <cellStyle name="Normal 5 4 2 2 2 6" xfId="2613" xr:uid="{00000000-0005-0000-0000-0000C11A0000}"/>
    <cellStyle name="Normal 5 4 2 2 2 6 2" xfId="6896" xr:uid="{00000000-0005-0000-0000-0000C21A0000}"/>
    <cellStyle name="Normal 5 4 2 2 2 6 2 2" xfId="42414" xr:uid="{A62DF380-D873-48BD-B466-657637FB2767}"/>
    <cellStyle name="Normal 5 4 2 2 2 6 2 3" xfId="33967" xr:uid="{C686B71B-480A-48B4-B6FF-A1C77807F09E}"/>
    <cellStyle name="Normal 5 4 2 2 2 6 2 4" xfId="25519" xr:uid="{82FDFDDF-C92C-4E3D-A662-E20DF73BCDBA}"/>
    <cellStyle name="Normal 5 4 2 2 2 6 2 5" xfId="16222" xr:uid="{3D2B7E0C-46BB-4052-A0D3-C0F7BCB15ACD}"/>
    <cellStyle name="Normal 5 4 2 2 2 6 3" xfId="38197" xr:uid="{31B141C7-E49A-4A54-ADAF-339E782F4C10}"/>
    <cellStyle name="Normal 5 4 2 2 2 6 4" xfId="29749" xr:uid="{E3D0A977-FD75-4B2C-8379-B66FDD95DFF8}"/>
    <cellStyle name="Normal 5 4 2 2 2 6 5" xfId="21302" xr:uid="{4BD408C7-97AB-4CBF-AC11-5CAB82FACDA6}"/>
    <cellStyle name="Normal 5 4 2 2 2 6 6" xfId="12005" xr:uid="{B0FFD549-2792-4E03-84CF-D26874CC5DFC}"/>
    <cellStyle name="Normal 5 4 2 2 2 7" xfId="4831" xr:uid="{00000000-0005-0000-0000-0000C31A0000}"/>
    <cellStyle name="Normal 5 4 2 2 2 7 2" xfId="40349" xr:uid="{AA51E2EC-E129-47BF-871F-A3D1136F9361}"/>
    <cellStyle name="Normal 5 4 2 2 2 7 3" xfId="31902" xr:uid="{6B4C00DD-3FD0-49E9-8E07-194E8237336D}"/>
    <cellStyle name="Normal 5 4 2 2 2 7 4" xfId="23454" xr:uid="{755D8111-0A9A-458C-875D-6F886D295B96}"/>
    <cellStyle name="Normal 5 4 2 2 2 7 5" xfId="14157" xr:uid="{3DDAAE38-51E0-4D7D-9F03-28DEB1D579CF}"/>
    <cellStyle name="Normal 5 4 2 2 2 8" xfId="9143" xr:uid="{C8F15FA9-FDFE-4358-95A8-17B14299B14C}"/>
    <cellStyle name="Normal 5 4 2 2 2 8 2" xfId="36132" xr:uid="{76F8B966-1112-407D-ACEF-BCE9E0DDCDF2}"/>
    <cellStyle name="Normal 5 4 2 2 2 8 3" xfId="18466" xr:uid="{E2198CF1-1191-4EEB-B60B-F019087A6E18}"/>
    <cellStyle name="Normal 5 4 2 2 2 9" xfId="27684" xr:uid="{079DBCAA-AFFE-4EC5-83DE-AC21532945F8}"/>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42906" xr:uid="{EE8F6708-FC31-4DC7-A52F-717339666482}"/>
    <cellStyle name="Normal 5 4 2 2 3 2 2 3" xfId="34459" xr:uid="{3A5030F7-A600-4E04-B256-F5B34188A0C0}"/>
    <cellStyle name="Normal 5 4 2 2 3 2 2 4" xfId="26011" xr:uid="{4CE4E4F9-E2BA-4FC6-95EB-E0A9B3519BEE}"/>
    <cellStyle name="Normal 5 4 2 2 3 2 2 5" xfId="16714" xr:uid="{F8A5712A-407A-416D-8CCB-B09F6B8EEB10}"/>
    <cellStyle name="Normal 5 4 2 2 3 2 3" xfId="38689" xr:uid="{AD031C24-E811-4C5F-AAD9-976777CEFD56}"/>
    <cellStyle name="Normal 5 4 2 2 3 2 4" xfId="30241" xr:uid="{87D4B853-62D4-4B16-86EA-897A22A65FE2}"/>
    <cellStyle name="Normal 5 4 2 2 3 2 5" xfId="21794" xr:uid="{9D61656C-24D1-40FF-A882-9B4818323934}"/>
    <cellStyle name="Normal 5 4 2 2 3 2 6" xfId="12497" xr:uid="{71A96066-81E5-454D-B4CD-30C886CCA037}"/>
    <cellStyle name="Normal 5 4 2 2 3 3" xfId="5243" xr:uid="{00000000-0005-0000-0000-0000C71A0000}"/>
    <cellStyle name="Normal 5 4 2 2 3 3 2" xfId="40761" xr:uid="{F221DDB4-2331-4C70-A70B-911EB61D2C48}"/>
    <cellStyle name="Normal 5 4 2 2 3 3 3" xfId="32314" xr:uid="{A9FBE23A-D4F1-4667-B10D-178777C4F26A}"/>
    <cellStyle name="Normal 5 4 2 2 3 3 4" xfId="23866" xr:uid="{E8EF2B21-5CD9-4DCA-B4EE-6DE4674C0756}"/>
    <cellStyle name="Normal 5 4 2 2 3 3 5" xfId="14569" xr:uid="{5EBA3C1A-F866-4A6B-B95F-DB54AF719FB8}"/>
    <cellStyle name="Normal 5 4 2 2 3 4" xfId="9361" xr:uid="{421F0FC8-8E8F-498F-BD31-B00CB58D5B43}"/>
    <cellStyle name="Normal 5 4 2 2 3 4 2" xfId="36544" xr:uid="{D2280D77-02B3-45C1-96DA-D3D1F56CEAE0}"/>
    <cellStyle name="Normal 5 4 2 2 3 4 3" xfId="18674" xr:uid="{D738E52C-F8A2-4DF0-AF8F-7E87519BC01C}"/>
    <cellStyle name="Normal 5 4 2 2 3 5" xfId="28096" xr:uid="{C7E2B002-73E9-4E0A-A5E1-D263E1C617FF}"/>
    <cellStyle name="Normal 5 4 2 2 3 6" xfId="19649" xr:uid="{F9B20D50-2E8F-436A-8ED6-7114D6472BC4}"/>
    <cellStyle name="Normal 5 4 2 2 3 7" xfId="10352" xr:uid="{FEBA8706-77A5-4642-9E25-73C1E1DC8000}"/>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43319" xr:uid="{08CD4953-350D-4399-98D5-2BB943090C1D}"/>
    <cellStyle name="Normal 5 4 2 2 4 2 2 3" xfId="34872" xr:uid="{B2E298E8-8259-4940-A0CC-025D5F9E149E}"/>
    <cellStyle name="Normal 5 4 2 2 4 2 2 4" xfId="26424" xr:uid="{3E5236B0-3AB3-4797-9C02-3B603FDD41D4}"/>
    <cellStyle name="Normal 5 4 2 2 4 2 2 5" xfId="17127" xr:uid="{4070C95D-903D-4321-816F-D8C80DCE54D8}"/>
    <cellStyle name="Normal 5 4 2 2 4 2 3" xfId="39102" xr:uid="{CA0C4D79-D842-4912-B093-0EEE2B3A0140}"/>
    <cellStyle name="Normal 5 4 2 2 4 2 4" xfId="30654" xr:uid="{9BF3D6EB-1BD4-4014-A42E-A54C63FBDE7B}"/>
    <cellStyle name="Normal 5 4 2 2 4 2 5" xfId="22207" xr:uid="{573A7063-20EF-49FC-8722-6775B4C26B93}"/>
    <cellStyle name="Normal 5 4 2 2 4 2 6" xfId="12910" xr:uid="{03AA9223-CD9B-43C5-A51D-F960C59D3EBE}"/>
    <cellStyle name="Normal 5 4 2 2 4 3" xfId="5656" xr:uid="{00000000-0005-0000-0000-0000CB1A0000}"/>
    <cellStyle name="Normal 5 4 2 2 4 3 2" xfId="41174" xr:uid="{C18A24E5-0D7A-4EB0-B186-DCB22850EBE7}"/>
    <cellStyle name="Normal 5 4 2 2 4 3 3" xfId="32727" xr:uid="{AE7FF037-EB83-4ECA-A272-05B1C5A2C065}"/>
    <cellStyle name="Normal 5 4 2 2 4 3 4" xfId="24279" xr:uid="{C1170D21-51A8-43A0-B178-1D3F0A55A85C}"/>
    <cellStyle name="Normal 5 4 2 2 4 3 5" xfId="14982" xr:uid="{B2F42BBD-C2A2-4EB9-962E-6B9DE0EF2B1A}"/>
    <cellStyle name="Normal 5 4 2 2 4 4" xfId="36957" xr:uid="{18204614-BC34-410C-BB8C-60DEF7D96368}"/>
    <cellStyle name="Normal 5 4 2 2 4 5" xfId="28509" xr:uid="{66266032-224D-432D-819F-9DF662FDFEE1}"/>
    <cellStyle name="Normal 5 4 2 2 4 6" xfId="20062" xr:uid="{DCD726C2-F348-4935-89AB-5669816D3AC6}"/>
    <cellStyle name="Normal 5 4 2 2 4 7" xfId="10765" xr:uid="{C6CA1FC8-C0BF-4E93-B1D1-EDB9EDD3282D}"/>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43732" xr:uid="{91D22118-7F52-4C15-A7DE-554378801AF0}"/>
    <cellStyle name="Normal 5 4 2 2 5 2 2 3" xfId="35285" xr:uid="{CE2377C8-371A-48D3-AE85-D06AB85C0897}"/>
    <cellStyle name="Normal 5 4 2 2 5 2 2 4" xfId="26837" xr:uid="{A0AC989B-34BC-4DB0-A674-36603D6900BE}"/>
    <cellStyle name="Normal 5 4 2 2 5 2 2 5" xfId="17540" xr:uid="{7AFF9FF2-328D-480D-8882-8FB0E70FCFE7}"/>
    <cellStyle name="Normal 5 4 2 2 5 2 3" xfId="39515" xr:uid="{96796736-9E9E-4D78-8D17-5E8A66EFE3B9}"/>
    <cellStyle name="Normal 5 4 2 2 5 2 4" xfId="31067" xr:uid="{1356FE39-6249-43CE-9FF0-9B10A5F14335}"/>
    <cellStyle name="Normal 5 4 2 2 5 2 5" xfId="22620" xr:uid="{B9F27FAF-859F-4A77-BAD9-9608EBB5AF08}"/>
    <cellStyle name="Normal 5 4 2 2 5 2 6" xfId="13323" xr:uid="{9B1F4CC2-0F41-46C3-B84D-9C88FBDDE552}"/>
    <cellStyle name="Normal 5 4 2 2 5 3" xfId="6069" xr:uid="{00000000-0005-0000-0000-0000CF1A0000}"/>
    <cellStyle name="Normal 5 4 2 2 5 3 2" xfId="41587" xr:uid="{0C507C07-6C5B-43A5-A97A-24FAF7E6E05C}"/>
    <cellStyle name="Normal 5 4 2 2 5 3 3" xfId="33140" xr:uid="{CA9ABBD2-E7AA-41DE-8869-D9E32C435FB9}"/>
    <cellStyle name="Normal 5 4 2 2 5 3 4" xfId="24692" xr:uid="{BF2002A4-D384-4EAC-A1ED-CABB56168BD8}"/>
    <cellStyle name="Normal 5 4 2 2 5 3 5" xfId="15395" xr:uid="{01D1118C-3820-4352-9281-B9BC6581CE6B}"/>
    <cellStyle name="Normal 5 4 2 2 5 4" xfId="37370" xr:uid="{F31FD9AF-FFE7-4E23-AC41-9E28576C08E1}"/>
    <cellStyle name="Normal 5 4 2 2 5 5" xfId="28922" xr:uid="{A4B9444D-2B8B-435A-B44F-7902B891905E}"/>
    <cellStyle name="Normal 5 4 2 2 5 6" xfId="20475" xr:uid="{9CC8AABF-EF1D-4146-B6A4-D5FE9FE79092}"/>
    <cellStyle name="Normal 5 4 2 2 5 7" xfId="11178" xr:uid="{229ED108-61AB-4580-B095-0194A815F945}"/>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44145" xr:uid="{A50500C3-56F9-486D-A872-1489F756BDA5}"/>
    <cellStyle name="Normal 5 4 2 2 6 2 2 3" xfId="35698" xr:uid="{4039C4B8-CD13-433D-87D5-BA32BF7D4C9A}"/>
    <cellStyle name="Normal 5 4 2 2 6 2 2 4" xfId="27250" xr:uid="{3CA5556E-2D29-4449-8F08-2D1C4B80E7B8}"/>
    <cellStyle name="Normal 5 4 2 2 6 2 2 5" xfId="17953" xr:uid="{3FE8E9B1-0115-40F3-A388-558B55C5B1E4}"/>
    <cellStyle name="Normal 5 4 2 2 6 2 3" xfId="39928" xr:uid="{92269F56-063C-45E8-8FB1-7D34EE2D550B}"/>
    <cellStyle name="Normal 5 4 2 2 6 2 4" xfId="31480" xr:uid="{0B9C72AD-D220-4521-867E-32425DB5C16A}"/>
    <cellStyle name="Normal 5 4 2 2 6 2 5" xfId="23033" xr:uid="{EC901217-6045-4DEB-A38C-848BE58B2FB9}"/>
    <cellStyle name="Normal 5 4 2 2 6 2 6" xfId="13736" xr:uid="{FA4D32A5-B739-40C1-BE62-F2D71B1EC0EE}"/>
    <cellStyle name="Normal 5 4 2 2 6 3" xfId="6482" xr:uid="{00000000-0005-0000-0000-0000D31A0000}"/>
    <cellStyle name="Normal 5 4 2 2 6 3 2" xfId="42000" xr:uid="{058B1CF9-091F-4931-9E49-4B823B2D42A3}"/>
    <cellStyle name="Normal 5 4 2 2 6 3 3" xfId="33553" xr:uid="{F80F5129-94DD-4339-86D4-1F04DB4B600E}"/>
    <cellStyle name="Normal 5 4 2 2 6 3 4" xfId="25105" xr:uid="{A92037D0-1A4F-4F8E-A2B1-E03A23BF115C}"/>
    <cellStyle name="Normal 5 4 2 2 6 3 5" xfId="15808" xr:uid="{E9625CF8-FA92-4053-A559-8E8839174D6A}"/>
    <cellStyle name="Normal 5 4 2 2 6 4" xfId="37783" xr:uid="{9087EBFB-ED66-4735-A41F-3B068B11721A}"/>
    <cellStyle name="Normal 5 4 2 2 6 5" xfId="29335" xr:uid="{D6FA1341-0B03-4A6D-BED0-1EB9BA526B3A}"/>
    <cellStyle name="Normal 5 4 2 2 6 6" xfId="20888" xr:uid="{8EB85AD7-A888-4D35-9496-9B1E4479D507}"/>
    <cellStyle name="Normal 5 4 2 2 6 7" xfId="11591" xr:uid="{D8BA3DD2-2153-4B7E-B80C-BC0BAC59AFA1}"/>
    <cellStyle name="Normal 5 4 2 2 7" xfId="2612" xr:uid="{00000000-0005-0000-0000-0000D41A0000}"/>
    <cellStyle name="Normal 5 4 2 2 7 2" xfId="6895" xr:uid="{00000000-0005-0000-0000-0000D51A0000}"/>
    <cellStyle name="Normal 5 4 2 2 7 2 2" xfId="42413" xr:uid="{55BF7470-A6ED-4B63-B4ED-969AF7920B74}"/>
    <cellStyle name="Normal 5 4 2 2 7 2 3" xfId="33966" xr:uid="{EF2E6D7C-BA3C-4815-B022-1B080A90C174}"/>
    <cellStyle name="Normal 5 4 2 2 7 2 4" xfId="25518" xr:uid="{E979F31F-9B2C-4EED-8932-00131558FD1B}"/>
    <cellStyle name="Normal 5 4 2 2 7 2 5" xfId="16221" xr:uid="{2E9CABC8-5CCF-4435-9FAA-0347F9471EE2}"/>
    <cellStyle name="Normal 5 4 2 2 7 3" xfId="38196" xr:uid="{AD43843B-C30C-4CDD-985E-875DE330512B}"/>
    <cellStyle name="Normal 5 4 2 2 7 4" xfId="29748" xr:uid="{04FD92ED-FAB6-468E-AF9C-F7726FDCBFA8}"/>
    <cellStyle name="Normal 5 4 2 2 7 5" xfId="21301" xr:uid="{F90F3477-0335-4655-B9BA-521D20725FF7}"/>
    <cellStyle name="Normal 5 4 2 2 7 6" xfId="12004" xr:uid="{42FAF5F2-A7F4-46B4-9CC2-D0B3C2D5B5A2}"/>
    <cellStyle name="Normal 5 4 2 2 8" xfId="4830" xr:uid="{00000000-0005-0000-0000-0000D61A0000}"/>
    <cellStyle name="Normal 5 4 2 2 8 2" xfId="40348" xr:uid="{7B6F4C2E-ABE7-46EE-8F9C-8A379743F0BB}"/>
    <cellStyle name="Normal 5 4 2 2 8 3" xfId="31901" xr:uid="{9D93D6F1-973B-42E3-93E8-7BB95F0F05DB}"/>
    <cellStyle name="Normal 5 4 2 2 8 4" xfId="23453" xr:uid="{918D4279-5D0B-458E-BEA9-A589834B0570}"/>
    <cellStyle name="Normal 5 4 2 2 8 5" xfId="14156" xr:uid="{4C368EF0-C744-4FE2-8676-B142664C4961}"/>
    <cellStyle name="Normal 5 4 2 2 9" xfId="8936" xr:uid="{31CF7A09-919D-40D2-B5FD-098CEA44D314}"/>
    <cellStyle name="Normal 5 4 2 2 9 2" xfId="36131" xr:uid="{F07F1D6C-FE42-4411-98D9-03D3CF3D112D}"/>
    <cellStyle name="Normal 5 4 2 2 9 3" xfId="18259" xr:uid="{3C31C937-E699-4D53-A2AF-15639BCD5DC4}"/>
    <cellStyle name="Normal 5 4 2 3" xfId="460" xr:uid="{00000000-0005-0000-0000-0000D71A0000}"/>
    <cellStyle name="Normal 5 4 2 3 10" xfId="19238" xr:uid="{A66F519C-E7E3-4265-B6CB-CFD29DBD202A}"/>
    <cellStyle name="Normal 5 4 2 3 11" xfId="9941" xr:uid="{22FAFCC9-D9C4-480D-9053-C2F057522BBC}"/>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42908" xr:uid="{539E6FB1-FF38-47BB-B3D0-C0858A51DC28}"/>
    <cellStyle name="Normal 5 4 2 3 2 2 2 3" xfId="34461" xr:uid="{E73883CE-7C92-4833-B850-BE59E3338835}"/>
    <cellStyle name="Normal 5 4 2 3 2 2 2 4" xfId="26013" xr:uid="{F2B3C70A-4C1B-4316-88C8-FD6B1C1F389A}"/>
    <cellStyle name="Normal 5 4 2 3 2 2 2 5" xfId="16716" xr:uid="{4547B452-6549-404B-ABCE-96DA9187313D}"/>
    <cellStyle name="Normal 5 4 2 3 2 2 3" xfId="38691" xr:uid="{8FA76574-FED5-4E48-9229-DE0ABB5FB0F9}"/>
    <cellStyle name="Normal 5 4 2 3 2 2 4" xfId="30243" xr:uid="{B6499B8C-6308-428E-B358-DB39FB8F9AAA}"/>
    <cellStyle name="Normal 5 4 2 3 2 2 5" xfId="21796" xr:uid="{F4DA60B8-8A36-4EA0-84CE-5B732E2E1507}"/>
    <cellStyle name="Normal 5 4 2 3 2 2 6" xfId="12499" xr:uid="{94977235-E547-40DC-9DBA-8752C5571F73}"/>
    <cellStyle name="Normal 5 4 2 3 2 3" xfId="5245" xr:uid="{00000000-0005-0000-0000-0000DB1A0000}"/>
    <cellStyle name="Normal 5 4 2 3 2 3 2" xfId="40763" xr:uid="{49F7615D-F1C4-42D9-9AC0-F330B7A0613A}"/>
    <cellStyle name="Normal 5 4 2 3 2 3 3" xfId="32316" xr:uid="{C5BB01BE-1A77-485C-97B4-8D18102D0325}"/>
    <cellStyle name="Normal 5 4 2 3 2 3 4" xfId="23868" xr:uid="{6B9354DB-958E-41CE-B46A-DD6EE4A7ECC8}"/>
    <cellStyle name="Normal 5 4 2 3 2 3 5" xfId="14571" xr:uid="{9F641566-84E3-4DE7-8439-03E62E470B89}"/>
    <cellStyle name="Normal 5 4 2 3 2 4" xfId="9465" xr:uid="{B8459C73-266B-467B-A163-FFDFF015A460}"/>
    <cellStyle name="Normal 5 4 2 3 2 4 2" xfId="36546" xr:uid="{D5273701-0477-4F51-AE6B-9AE37C12C9E2}"/>
    <cellStyle name="Normal 5 4 2 3 2 4 3" xfId="18778" xr:uid="{A4794809-CC8D-460B-A2F4-0E3C44338049}"/>
    <cellStyle name="Normal 5 4 2 3 2 5" xfId="28098" xr:uid="{B6FBCB18-0FD9-4FFC-A23C-506B9464B6AF}"/>
    <cellStyle name="Normal 5 4 2 3 2 6" xfId="19651" xr:uid="{267582F7-1D37-4162-B446-D66DB2014FE4}"/>
    <cellStyle name="Normal 5 4 2 3 2 7" xfId="10354" xr:uid="{4726D380-6108-4912-892D-FB3FD1CAA798}"/>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43321" xr:uid="{EDF06E35-E546-461B-B398-AFEF62F5B141}"/>
    <cellStyle name="Normal 5 4 2 3 3 2 2 3" xfId="34874" xr:uid="{1DD03087-F3F5-46CF-8C7A-F51C0A2262DB}"/>
    <cellStyle name="Normal 5 4 2 3 3 2 2 4" xfId="26426" xr:uid="{616A108E-BBAF-4329-8C91-BD41ADBB425C}"/>
    <cellStyle name="Normal 5 4 2 3 3 2 2 5" xfId="17129" xr:uid="{32EC55B0-CA79-4AF0-8272-CD1C13988AE0}"/>
    <cellStyle name="Normal 5 4 2 3 3 2 3" xfId="39104" xr:uid="{ACCCEA38-4287-42C7-AA36-AAC4D28D0A1C}"/>
    <cellStyle name="Normal 5 4 2 3 3 2 4" xfId="30656" xr:uid="{A502EF73-0081-40B5-9E8B-A4C69E26779C}"/>
    <cellStyle name="Normal 5 4 2 3 3 2 5" xfId="22209" xr:uid="{4D5F8A70-E37A-4019-9863-388299065DA0}"/>
    <cellStyle name="Normal 5 4 2 3 3 2 6" xfId="12912" xr:uid="{4459B7CA-44A8-4740-A957-5E46497363F4}"/>
    <cellStyle name="Normal 5 4 2 3 3 3" xfId="5658" xr:uid="{00000000-0005-0000-0000-0000DF1A0000}"/>
    <cellStyle name="Normal 5 4 2 3 3 3 2" xfId="41176" xr:uid="{038B0C73-FBB8-4AB6-A72A-25461B66CB4E}"/>
    <cellStyle name="Normal 5 4 2 3 3 3 3" xfId="32729" xr:uid="{21E80AD8-CA58-4D8C-B376-37365543CBFC}"/>
    <cellStyle name="Normal 5 4 2 3 3 3 4" xfId="24281" xr:uid="{27AE51E5-556D-45CA-8B7C-3C87A21D7653}"/>
    <cellStyle name="Normal 5 4 2 3 3 3 5" xfId="14984" xr:uid="{8582E2B4-0A87-44CE-B6BF-40163D0F4255}"/>
    <cellStyle name="Normal 5 4 2 3 3 4" xfId="36959" xr:uid="{17C91D9A-D6C0-4B4B-9E77-F540741DC71B}"/>
    <cellStyle name="Normal 5 4 2 3 3 5" xfId="28511" xr:uid="{18885B3D-8020-4D0D-B071-128BA5AD6A6F}"/>
    <cellStyle name="Normal 5 4 2 3 3 6" xfId="20064" xr:uid="{508E62FC-2E21-466A-8D26-5D3494853E31}"/>
    <cellStyle name="Normal 5 4 2 3 3 7" xfId="10767" xr:uid="{428E6156-7745-4689-8A01-0CD5B5220AF9}"/>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43734" xr:uid="{85DFB492-8F59-49B3-AB0A-DC532D58B8B0}"/>
    <cellStyle name="Normal 5 4 2 3 4 2 2 3" xfId="35287" xr:uid="{080C59F2-A5DE-4133-B6EA-D742C907BBE9}"/>
    <cellStyle name="Normal 5 4 2 3 4 2 2 4" xfId="26839" xr:uid="{B9E3D75F-F327-494E-89BC-4B8303BA7425}"/>
    <cellStyle name="Normal 5 4 2 3 4 2 2 5" xfId="17542" xr:uid="{8B33EE33-9B6A-4BBE-89E7-0D6734DDF3C2}"/>
    <cellStyle name="Normal 5 4 2 3 4 2 3" xfId="39517" xr:uid="{41BFFBFA-FA70-4674-944E-45E5478D961D}"/>
    <cellStyle name="Normal 5 4 2 3 4 2 4" xfId="31069" xr:uid="{96486B14-F4CA-4DB9-A5F2-14CA4EA14734}"/>
    <cellStyle name="Normal 5 4 2 3 4 2 5" xfId="22622" xr:uid="{7B9103D5-91AF-4FED-9598-12985FAC01D5}"/>
    <cellStyle name="Normal 5 4 2 3 4 2 6" xfId="13325" xr:uid="{E54A54EC-58C7-43F5-BD83-690C2D73D6EE}"/>
    <cellStyle name="Normal 5 4 2 3 4 3" xfId="6071" xr:uid="{00000000-0005-0000-0000-0000E31A0000}"/>
    <cellStyle name="Normal 5 4 2 3 4 3 2" xfId="41589" xr:uid="{5A9B4B11-A9E6-4D5B-9D44-8F22740EA4B6}"/>
    <cellStyle name="Normal 5 4 2 3 4 3 3" xfId="33142" xr:uid="{76FC2727-ED5B-4C34-9C06-35DA780D401D}"/>
    <cellStyle name="Normal 5 4 2 3 4 3 4" xfId="24694" xr:uid="{F06AE901-E611-42CA-876A-230C9392B966}"/>
    <cellStyle name="Normal 5 4 2 3 4 3 5" xfId="15397" xr:uid="{12B07AD0-35A0-4480-A34D-4DFE64C56B99}"/>
    <cellStyle name="Normal 5 4 2 3 4 4" xfId="37372" xr:uid="{7A7F1147-79E1-4B37-A589-3248579545DD}"/>
    <cellStyle name="Normal 5 4 2 3 4 5" xfId="28924" xr:uid="{CBFFF43E-AF2E-4940-AB44-8626FA0F4B48}"/>
    <cellStyle name="Normal 5 4 2 3 4 6" xfId="20477" xr:uid="{0928A4FC-5363-4965-82A9-25A72F8C25A1}"/>
    <cellStyle name="Normal 5 4 2 3 4 7" xfId="11180" xr:uid="{150D22E5-951B-4FD6-A27A-1A6E7B408BEB}"/>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44147" xr:uid="{557CF2A4-D542-46E8-AC91-23F32BF37243}"/>
    <cellStyle name="Normal 5 4 2 3 5 2 2 3" xfId="35700" xr:uid="{48B2AE2B-38B4-401D-B399-4592080EA2E2}"/>
    <cellStyle name="Normal 5 4 2 3 5 2 2 4" xfId="27252" xr:uid="{874F772D-7492-4A26-BBA2-11D8C1D5EA1D}"/>
    <cellStyle name="Normal 5 4 2 3 5 2 2 5" xfId="17955" xr:uid="{01FE9623-DB7E-4199-9C2F-C65D84A026C5}"/>
    <cellStyle name="Normal 5 4 2 3 5 2 3" xfId="39930" xr:uid="{BE9D4BA2-9336-4245-AD6A-834779C12662}"/>
    <cellStyle name="Normal 5 4 2 3 5 2 4" xfId="31482" xr:uid="{01E6C07C-BA80-44CF-92BD-3E2ADA677DBA}"/>
    <cellStyle name="Normal 5 4 2 3 5 2 5" xfId="23035" xr:uid="{EA28F2E3-F19D-4BEB-BFB6-E2D11D61B536}"/>
    <cellStyle name="Normal 5 4 2 3 5 2 6" xfId="13738" xr:uid="{C152B51D-DFCD-45D8-873A-775DAF8B66B6}"/>
    <cellStyle name="Normal 5 4 2 3 5 3" xfId="6484" xr:uid="{00000000-0005-0000-0000-0000E71A0000}"/>
    <cellStyle name="Normal 5 4 2 3 5 3 2" xfId="42002" xr:uid="{07331402-B188-4877-8469-0AC02793D14A}"/>
    <cellStyle name="Normal 5 4 2 3 5 3 3" xfId="33555" xr:uid="{7D2F19A0-B032-4777-9291-80F33F8D86A2}"/>
    <cellStyle name="Normal 5 4 2 3 5 3 4" xfId="25107" xr:uid="{1563DD52-CDC4-4D4A-99AA-94C13ED532D9}"/>
    <cellStyle name="Normal 5 4 2 3 5 3 5" xfId="15810" xr:uid="{0FCAC85B-A5D7-43CE-9C5D-09DDAD0EF5CE}"/>
    <cellStyle name="Normal 5 4 2 3 5 4" xfId="37785" xr:uid="{91EF36D8-CDB1-491C-BE4B-319A4106E913}"/>
    <cellStyle name="Normal 5 4 2 3 5 5" xfId="29337" xr:uid="{940731CC-224A-4B25-A973-EBC3B6197BB3}"/>
    <cellStyle name="Normal 5 4 2 3 5 6" xfId="20890" xr:uid="{EBB17217-7BB7-41DE-8A07-897DCE33365E}"/>
    <cellStyle name="Normal 5 4 2 3 5 7" xfId="11593" xr:uid="{F4A3B7AB-3EF9-4DFE-AD17-5C618708235F}"/>
    <cellStyle name="Normal 5 4 2 3 6" xfId="2614" xr:uid="{00000000-0005-0000-0000-0000E81A0000}"/>
    <cellStyle name="Normal 5 4 2 3 6 2" xfId="6897" xr:uid="{00000000-0005-0000-0000-0000E91A0000}"/>
    <cellStyle name="Normal 5 4 2 3 6 2 2" xfId="42415" xr:uid="{48539A56-B64C-4CCF-9E70-DB6A364B762A}"/>
    <cellStyle name="Normal 5 4 2 3 6 2 3" xfId="33968" xr:uid="{BA957110-9FD4-4B8A-ABA6-6F12CBCC703F}"/>
    <cellStyle name="Normal 5 4 2 3 6 2 4" xfId="25520" xr:uid="{592B763C-F3A7-44E6-91D0-F636F16D00C9}"/>
    <cellStyle name="Normal 5 4 2 3 6 2 5" xfId="16223" xr:uid="{37254621-0F93-4EE0-B530-5E86FE0A2631}"/>
    <cellStyle name="Normal 5 4 2 3 6 3" xfId="38198" xr:uid="{B6B02844-0E73-4C5F-A422-7639F61A7DE4}"/>
    <cellStyle name="Normal 5 4 2 3 6 4" xfId="29750" xr:uid="{5AE3C0E8-6AC8-4792-8B36-2722C2AB9C74}"/>
    <cellStyle name="Normal 5 4 2 3 6 5" xfId="21303" xr:uid="{7E213EFF-561B-426E-BE8C-8230B3E8C4CB}"/>
    <cellStyle name="Normal 5 4 2 3 6 6" xfId="12006" xr:uid="{16AD85D6-4890-4D24-811B-3917C84EE4C2}"/>
    <cellStyle name="Normal 5 4 2 3 7" xfId="4832" xr:uid="{00000000-0005-0000-0000-0000EA1A0000}"/>
    <cellStyle name="Normal 5 4 2 3 7 2" xfId="40350" xr:uid="{1433F7AD-B199-4C6D-8D80-636A6DE41A60}"/>
    <cellStyle name="Normal 5 4 2 3 7 3" xfId="31903" xr:uid="{5367D57D-3D71-48D2-97D6-099011010F84}"/>
    <cellStyle name="Normal 5 4 2 3 7 4" xfId="23455" xr:uid="{25F006FE-9A2B-45A4-9DE2-06F9DD705EFE}"/>
    <cellStyle name="Normal 5 4 2 3 7 5" xfId="14158" xr:uid="{CEBE2775-2C19-461A-98F8-3D72732A21BB}"/>
    <cellStyle name="Normal 5 4 2 3 8" xfId="9040" xr:uid="{D68CAB17-BB41-4D9B-AA76-76FE511392DC}"/>
    <cellStyle name="Normal 5 4 2 3 8 2" xfId="36133" xr:uid="{F355BF91-9A28-43BB-8598-3D54957015BC}"/>
    <cellStyle name="Normal 5 4 2 3 8 3" xfId="18363" xr:uid="{BE1CF527-8DBB-4E93-B56C-B04A6F923D75}"/>
    <cellStyle name="Normal 5 4 2 3 9" xfId="27685" xr:uid="{1AA722D3-A0E1-4D82-B919-178C47726845}"/>
    <cellStyle name="Normal 5 4 2 4" xfId="931" xr:uid="{00000000-0005-0000-0000-0000EB1A0000}"/>
    <cellStyle name="Normal 5 4 2 4 2" xfId="3165" xr:uid="{00000000-0005-0000-0000-0000EC1A0000}"/>
    <cellStyle name="Normal 5 4 2 4 2 2" xfId="7387" xr:uid="{00000000-0005-0000-0000-0000ED1A0000}"/>
    <cellStyle name="Normal 5 4 2 4 2 2 2" xfId="42905" xr:uid="{293F719C-1DA1-40AB-95ED-050F5AA93C77}"/>
    <cellStyle name="Normal 5 4 2 4 2 2 3" xfId="34458" xr:uid="{1420A96A-65C7-45C5-9172-0B430F694A9F}"/>
    <cellStyle name="Normal 5 4 2 4 2 2 4" xfId="26010" xr:uid="{EED7F500-0111-4D51-B37A-45E9E583B86A}"/>
    <cellStyle name="Normal 5 4 2 4 2 2 5" xfId="16713" xr:uid="{0542B22C-8852-4ED7-9B95-009E9895E370}"/>
    <cellStyle name="Normal 5 4 2 4 2 3" xfId="38688" xr:uid="{0747B2F6-BF3B-4E6F-B5E8-ED1B78465C1C}"/>
    <cellStyle name="Normal 5 4 2 4 2 4" xfId="30240" xr:uid="{8BE351EF-FDBA-45D9-BBCA-F3335FDB48B3}"/>
    <cellStyle name="Normal 5 4 2 4 2 5" xfId="21793" xr:uid="{E0D730FB-6635-4140-9B19-EC6CFF264261}"/>
    <cellStyle name="Normal 5 4 2 4 2 6" xfId="12496" xr:uid="{42994077-E983-47B8-8B7F-6068FA375E97}"/>
    <cellStyle name="Normal 5 4 2 4 3" xfId="5242" xr:uid="{00000000-0005-0000-0000-0000EE1A0000}"/>
    <cellStyle name="Normal 5 4 2 4 3 2" xfId="40760" xr:uid="{2E9AC509-705E-48B4-BDFB-31A272B8AC29}"/>
    <cellStyle name="Normal 5 4 2 4 3 3" xfId="32313" xr:uid="{4EAD3203-DF31-4208-8C87-53E205810B7C}"/>
    <cellStyle name="Normal 5 4 2 4 3 4" xfId="23865" xr:uid="{ECD74225-6302-48DE-B8D9-52AB6E03D97A}"/>
    <cellStyle name="Normal 5 4 2 4 3 5" xfId="14568" xr:uid="{7A4F9732-65E7-423B-BBB5-5987918CEAD6}"/>
    <cellStyle name="Normal 5 4 2 4 4" xfId="9258" xr:uid="{971C48A9-8200-405B-A9BE-B3AFD2CDDA76}"/>
    <cellStyle name="Normal 5 4 2 4 4 2" xfId="36543" xr:uid="{94525B57-6575-42CF-86E9-8081AEE4E499}"/>
    <cellStyle name="Normal 5 4 2 4 4 3" xfId="18571" xr:uid="{D93F652E-6802-492E-B990-2758F0EEF51C}"/>
    <cellStyle name="Normal 5 4 2 4 5" xfId="28095" xr:uid="{4192EA2B-A70B-4CDD-98BF-32AD7D3B60EE}"/>
    <cellStyle name="Normal 5 4 2 4 6" xfId="19648" xr:uid="{D69C009F-AD9C-4348-A006-7D843DE9D5EE}"/>
    <cellStyle name="Normal 5 4 2 4 7" xfId="10351" xr:uid="{1E51FF16-4390-4BF5-8A33-91ABD50E9201}"/>
    <cellStyle name="Normal 5 4 2 5" xfId="1348" xr:uid="{00000000-0005-0000-0000-0000EF1A0000}"/>
    <cellStyle name="Normal 5 4 2 5 2" xfId="3578" xr:uid="{00000000-0005-0000-0000-0000F01A0000}"/>
    <cellStyle name="Normal 5 4 2 5 2 2" xfId="7800" xr:uid="{00000000-0005-0000-0000-0000F11A0000}"/>
    <cellStyle name="Normal 5 4 2 5 2 2 2" xfId="43318" xr:uid="{00FB67C0-0323-43B8-8761-6B3DE68DAD60}"/>
    <cellStyle name="Normal 5 4 2 5 2 2 3" xfId="34871" xr:uid="{DBB278A0-0BBD-41A0-BA18-A54A441881BF}"/>
    <cellStyle name="Normal 5 4 2 5 2 2 4" xfId="26423" xr:uid="{C0DC9E46-EBAD-458C-8E03-4CDBBCCD27C6}"/>
    <cellStyle name="Normal 5 4 2 5 2 2 5" xfId="17126" xr:uid="{8E6573AA-0DDD-4697-9290-FEEA74CDBFFC}"/>
    <cellStyle name="Normal 5 4 2 5 2 3" xfId="39101" xr:uid="{EACC2192-4AFF-40D4-800C-6A675E855768}"/>
    <cellStyle name="Normal 5 4 2 5 2 4" xfId="30653" xr:uid="{20DC6857-2613-4F3F-BEB1-69A01E83B2E1}"/>
    <cellStyle name="Normal 5 4 2 5 2 5" xfId="22206" xr:uid="{E0039BD2-A244-4563-8566-68659DAD0A6C}"/>
    <cellStyle name="Normal 5 4 2 5 2 6" xfId="12909" xr:uid="{DC55A3CB-74AF-457A-8471-405D6B7328CC}"/>
    <cellStyle name="Normal 5 4 2 5 3" xfId="5655" xr:uid="{00000000-0005-0000-0000-0000F21A0000}"/>
    <cellStyle name="Normal 5 4 2 5 3 2" xfId="41173" xr:uid="{17E8C9B1-C17A-414F-8FEF-DC8E545BB134}"/>
    <cellStyle name="Normal 5 4 2 5 3 3" xfId="32726" xr:uid="{99373816-ACB9-4FF2-B78A-91327EC665CB}"/>
    <cellStyle name="Normal 5 4 2 5 3 4" xfId="24278" xr:uid="{D558369D-B4D2-4454-8D6E-683D273BBBA6}"/>
    <cellStyle name="Normal 5 4 2 5 3 5" xfId="14981" xr:uid="{13E0AA8F-D7BF-4564-ABBB-983D9625A257}"/>
    <cellStyle name="Normal 5 4 2 5 4" xfId="36956" xr:uid="{D3BD962D-4575-489A-98F1-B0ADC9714919}"/>
    <cellStyle name="Normal 5 4 2 5 5" xfId="28508" xr:uid="{7D71683A-4411-406B-863C-C69CEA8520E9}"/>
    <cellStyle name="Normal 5 4 2 5 6" xfId="20061" xr:uid="{C637C472-6FFA-4EBB-B177-8EF5E8FFD1D4}"/>
    <cellStyle name="Normal 5 4 2 5 7" xfId="10764" xr:uid="{E00DBAE0-6340-4C92-A182-9F7C9DFC04C4}"/>
    <cellStyle name="Normal 5 4 2 6" xfId="1761" xr:uid="{00000000-0005-0000-0000-0000F31A0000}"/>
    <cellStyle name="Normal 5 4 2 6 2" xfId="3991" xr:uid="{00000000-0005-0000-0000-0000F41A0000}"/>
    <cellStyle name="Normal 5 4 2 6 2 2" xfId="8213" xr:uid="{00000000-0005-0000-0000-0000F51A0000}"/>
    <cellStyle name="Normal 5 4 2 6 2 2 2" xfId="43731" xr:uid="{9B3388F2-42CC-4BCE-8B5A-40E054D23D5E}"/>
    <cellStyle name="Normal 5 4 2 6 2 2 3" xfId="35284" xr:uid="{86B0C9DA-618B-4B44-B75D-ADD16FC880CE}"/>
    <cellStyle name="Normal 5 4 2 6 2 2 4" xfId="26836" xr:uid="{F8202298-0A89-4D5E-BC85-D339FDD6DC2B}"/>
    <cellStyle name="Normal 5 4 2 6 2 2 5" xfId="17539" xr:uid="{9C9D6A42-85F7-4B1D-B46E-BB134F941C7B}"/>
    <cellStyle name="Normal 5 4 2 6 2 3" xfId="39514" xr:uid="{C0984173-7CE2-45D0-8062-1C435AE40E3F}"/>
    <cellStyle name="Normal 5 4 2 6 2 4" xfId="31066" xr:uid="{E59E305D-39A1-4B6C-A430-04257FEE4986}"/>
    <cellStyle name="Normal 5 4 2 6 2 5" xfId="22619" xr:uid="{C62E566C-0EF1-4343-9587-C70F7786726A}"/>
    <cellStyle name="Normal 5 4 2 6 2 6" xfId="13322" xr:uid="{F48AE09E-3928-46DF-8BA3-D7E7B6ADDCB4}"/>
    <cellStyle name="Normal 5 4 2 6 3" xfId="6068" xr:uid="{00000000-0005-0000-0000-0000F61A0000}"/>
    <cellStyle name="Normal 5 4 2 6 3 2" xfId="41586" xr:uid="{4BCE8AA9-E527-42FF-A1AB-6DC3BFB57B4F}"/>
    <cellStyle name="Normal 5 4 2 6 3 3" xfId="33139" xr:uid="{E2FDDD3F-5844-4B1C-A0BC-ABC8E4F8BEFD}"/>
    <cellStyle name="Normal 5 4 2 6 3 4" xfId="24691" xr:uid="{2B645562-5DFB-42C0-806E-AA9AD09D45AD}"/>
    <cellStyle name="Normal 5 4 2 6 3 5" xfId="15394" xr:uid="{1D4D157A-CE6E-4DE9-AF97-A6B8FED18738}"/>
    <cellStyle name="Normal 5 4 2 6 4" xfId="37369" xr:uid="{494F4E51-A640-4AA3-9E12-9AEF5B5974E7}"/>
    <cellStyle name="Normal 5 4 2 6 5" xfId="28921" xr:uid="{8AB62FC3-1276-4ACB-97C7-1538F072EA35}"/>
    <cellStyle name="Normal 5 4 2 6 6" xfId="20474" xr:uid="{1CFEF73E-C2D9-48D9-BD4A-92CBA3ED6E2B}"/>
    <cellStyle name="Normal 5 4 2 6 7" xfId="11177" xr:uid="{86CDAD05-87B9-4811-8A5D-E6F0790EA00D}"/>
    <cellStyle name="Normal 5 4 2 7" xfId="2175" xr:uid="{00000000-0005-0000-0000-0000F71A0000}"/>
    <cellStyle name="Normal 5 4 2 7 2" xfId="4404" xr:uid="{00000000-0005-0000-0000-0000F81A0000}"/>
    <cellStyle name="Normal 5 4 2 7 2 2" xfId="8626" xr:uid="{00000000-0005-0000-0000-0000F91A0000}"/>
    <cellStyle name="Normal 5 4 2 7 2 2 2" xfId="44144" xr:uid="{9D697F3F-D4DB-4725-850F-A914D252900C}"/>
    <cellStyle name="Normal 5 4 2 7 2 2 3" xfId="35697" xr:uid="{991D492A-FF02-4C7C-A273-DD01A9C9A773}"/>
    <cellStyle name="Normal 5 4 2 7 2 2 4" xfId="27249" xr:uid="{F5E87C0C-933F-41F2-8106-52265D91D385}"/>
    <cellStyle name="Normal 5 4 2 7 2 2 5" xfId="17952" xr:uid="{B61BC46C-5CB8-4BE6-A8C9-97BA10C0F916}"/>
    <cellStyle name="Normal 5 4 2 7 2 3" xfId="39927" xr:uid="{724727E2-C751-43D2-A90D-04E1F5D9182F}"/>
    <cellStyle name="Normal 5 4 2 7 2 4" xfId="31479" xr:uid="{48734035-FCC5-4253-9F45-2C6D87E97EA7}"/>
    <cellStyle name="Normal 5 4 2 7 2 5" xfId="23032" xr:uid="{F3C6C8A6-A062-4EDE-9ACB-5B5BB61FCCEF}"/>
    <cellStyle name="Normal 5 4 2 7 2 6" xfId="13735" xr:uid="{04BBDA52-95DB-4E2B-98D8-D1D7EA9AEA43}"/>
    <cellStyle name="Normal 5 4 2 7 3" xfId="6481" xr:uid="{00000000-0005-0000-0000-0000FA1A0000}"/>
    <cellStyle name="Normal 5 4 2 7 3 2" xfId="41999" xr:uid="{16BDCD14-231C-408B-AB2B-F78371F61D19}"/>
    <cellStyle name="Normal 5 4 2 7 3 3" xfId="33552" xr:uid="{E91CD1FB-F69E-40A2-9170-4D1ABE2E83EB}"/>
    <cellStyle name="Normal 5 4 2 7 3 4" xfId="25104" xr:uid="{78B9A09C-DBD1-4968-944D-39F822D92425}"/>
    <cellStyle name="Normal 5 4 2 7 3 5" xfId="15807" xr:uid="{315458C1-DE0C-44C3-A0A6-F695973C5E8D}"/>
    <cellStyle name="Normal 5 4 2 7 4" xfId="37782" xr:uid="{57C2AAD3-E7C7-4E41-8A7F-C17ED783825F}"/>
    <cellStyle name="Normal 5 4 2 7 5" xfId="29334" xr:uid="{0F57BDC9-3364-4013-8516-EF8519A644BF}"/>
    <cellStyle name="Normal 5 4 2 7 6" xfId="20887" xr:uid="{511BAB8E-18DF-48C4-ADF0-5BACB156D7A3}"/>
    <cellStyle name="Normal 5 4 2 7 7" xfId="11590" xr:uid="{A3D9FF8F-9EF2-4532-8935-05B09CFC56DB}"/>
    <cellStyle name="Normal 5 4 2 8" xfId="2611" xr:uid="{00000000-0005-0000-0000-0000FB1A0000}"/>
    <cellStyle name="Normal 5 4 2 8 2" xfId="6894" xr:uid="{00000000-0005-0000-0000-0000FC1A0000}"/>
    <cellStyle name="Normal 5 4 2 8 2 2" xfId="42412" xr:uid="{99D07F53-8C33-4864-9DB7-FC33A02CFBDC}"/>
    <cellStyle name="Normal 5 4 2 8 2 3" xfId="33965" xr:uid="{EA683FDD-86AF-4F76-B149-3EBD753CA33B}"/>
    <cellStyle name="Normal 5 4 2 8 2 4" xfId="25517" xr:uid="{1507076A-6D82-48E4-B6CE-3B272D6EB985}"/>
    <cellStyle name="Normal 5 4 2 8 2 5" xfId="16220" xr:uid="{8E26E385-4972-4D4D-BE23-469031CC041F}"/>
    <cellStyle name="Normal 5 4 2 8 3" xfId="38195" xr:uid="{57B60D45-F444-4752-B014-FD9F44F8831F}"/>
    <cellStyle name="Normal 5 4 2 8 4" xfId="29747" xr:uid="{E2980241-F279-4AAC-B3D1-AA61B967B58D}"/>
    <cellStyle name="Normal 5 4 2 8 5" xfId="21300" xr:uid="{994F49A9-62A4-4825-9710-2CC3715A2896}"/>
    <cellStyle name="Normal 5 4 2 8 6" xfId="12003" xr:uid="{8709D41E-FDBA-408C-AF46-CED340886E8C}"/>
    <cellStyle name="Normal 5 4 2 9" xfId="4829" xr:uid="{00000000-0005-0000-0000-0000FD1A0000}"/>
    <cellStyle name="Normal 5 4 2 9 2" xfId="40347" xr:uid="{53A2DBB1-A661-45AC-BA97-E7D5120BE894}"/>
    <cellStyle name="Normal 5 4 2 9 3" xfId="31900" xr:uid="{7B588B7C-1F2F-49A4-950A-8DDF550408FE}"/>
    <cellStyle name="Normal 5 4 2 9 4" xfId="23452" xr:uid="{4F7B5D43-EBEA-4FC1-BD09-DAACBCA88B1E}"/>
    <cellStyle name="Normal 5 4 2 9 5" xfId="14155" xr:uid="{243B8270-2204-45DB-9F13-71DD35D6E956}"/>
    <cellStyle name="Normal 5 4 3" xfId="461" xr:uid="{00000000-0005-0000-0000-0000FE1A0000}"/>
    <cellStyle name="Normal 5 4 3 10" xfId="27686" xr:uid="{DC1B9400-889B-40FF-B6B2-EBE7AE19377A}"/>
    <cellStyle name="Normal 5 4 3 11" xfId="19239" xr:uid="{17C081F8-FADA-4338-86E6-ED9563701CC1}"/>
    <cellStyle name="Normal 5 4 3 12" xfId="9942" xr:uid="{013CFE2E-8152-4185-A760-36D4E94EBAC6}"/>
    <cellStyle name="Normal 5 4 3 2" xfId="462" xr:uid="{00000000-0005-0000-0000-0000FF1A0000}"/>
    <cellStyle name="Normal 5 4 3 2 10" xfId="19240" xr:uid="{1ABFD0DC-89BA-4858-B785-F93FD7830D0E}"/>
    <cellStyle name="Normal 5 4 3 2 11" xfId="9943" xr:uid="{D55C86F0-F218-45F9-AE62-F51A94FF1B03}"/>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42910" xr:uid="{250F9435-8FF9-474B-848E-9A6C8001C976}"/>
    <cellStyle name="Normal 5 4 3 2 2 2 2 3" xfId="34463" xr:uid="{1EE84508-13E5-4DA5-ABAC-21C6AB913AA0}"/>
    <cellStyle name="Normal 5 4 3 2 2 2 2 4" xfId="26015" xr:uid="{381C151A-5BCA-4FA6-B267-47779C579EA7}"/>
    <cellStyle name="Normal 5 4 3 2 2 2 2 5" xfId="16718" xr:uid="{C37A0CFC-3201-4676-9074-C305033E389A}"/>
    <cellStyle name="Normal 5 4 3 2 2 2 3" xfId="38693" xr:uid="{66575453-3395-42B4-9AF1-19783D80502D}"/>
    <cellStyle name="Normal 5 4 3 2 2 2 4" xfId="30245" xr:uid="{1F2B6B93-2F1B-48B0-A1D4-5C5852F9831F}"/>
    <cellStyle name="Normal 5 4 3 2 2 2 5" xfId="21798" xr:uid="{B321800F-9846-42AB-9406-BEBCA71720A1}"/>
    <cellStyle name="Normal 5 4 3 2 2 2 6" xfId="12501" xr:uid="{1F73E99A-80D1-4784-954B-457277037B08}"/>
    <cellStyle name="Normal 5 4 3 2 2 3" xfId="5247" xr:uid="{00000000-0005-0000-0000-0000031B0000}"/>
    <cellStyle name="Normal 5 4 3 2 2 3 2" xfId="40765" xr:uid="{C750C573-0242-4B1C-B91B-A155B6D2D625}"/>
    <cellStyle name="Normal 5 4 3 2 2 3 3" xfId="32318" xr:uid="{9B38C8E0-D723-4506-B811-FF132AC8ECE1}"/>
    <cellStyle name="Normal 5 4 3 2 2 3 4" xfId="23870" xr:uid="{1FEC9A13-3FCD-4D7B-9632-1ACA2762DB29}"/>
    <cellStyle name="Normal 5 4 3 2 2 3 5" xfId="14573" xr:uid="{9F69D913-5079-4B33-90A2-40B9943309D6}"/>
    <cellStyle name="Normal 5 4 3 2 2 4" xfId="9508" xr:uid="{1F9B5A8F-2A45-43C5-9422-E8BC84424A55}"/>
    <cellStyle name="Normal 5 4 3 2 2 4 2" xfId="36548" xr:uid="{B0F46E03-2261-42C3-A300-786B6AB7E329}"/>
    <cellStyle name="Normal 5 4 3 2 2 4 3" xfId="18821" xr:uid="{526368CB-03B1-46B5-81FA-7E7E73E243AE}"/>
    <cellStyle name="Normal 5 4 3 2 2 5" xfId="28100" xr:uid="{6FABE07B-0529-46FE-8C75-647566BCADCC}"/>
    <cellStyle name="Normal 5 4 3 2 2 6" xfId="19653" xr:uid="{A208EC1C-364C-40BF-A482-D0D2E70E88E0}"/>
    <cellStyle name="Normal 5 4 3 2 2 7" xfId="10356" xr:uid="{786F00F9-FACB-4CD4-9E14-A3E3D5B8807E}"/>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43323" xr:uid="{807E4F1F-6BB4-4E1B-8230-2D2592BC8C1E}"/>
    <cellStyle name="Normal 5 4 3 2 3 2 2 3" xfId="34876" xr:uid="{D21A719C-8A32-4695-8DB9-CEF61E9ECB42}"/>
    <cellStyle name="Normal 5 4 3 2 3 2 2 4" xfId="26428" xr:uid="{6229EA2D-23A9-48DA-871D-51132E3BAA3E}"/>
    <cellStyle name="Normal 5 4 3 2 3 2 2 5" xfId="17131" xr:uid="{3D2FFBC9-9BD6-4B1A-81C2-1A7203AF0C76}"/>
    <cellStyle name="Normal 5 4 3 2 3 2 3" xfId="39106" xr:uid="{90623FD5-7CC7-4B98-8928-396536649EEF}"/>
    <cellStyle name="Normal 5 4 3 2 3 2 4" xfId="30658" xr:uid="{E1F04EBC-517C-4146-AC46-6B40FB1A7349}"/>
    <cellStyle name="Normal 5 4 3 2 3 2 5" xfId="22211" xr:uid="{90F0524A-756A-48AA-8648-EFB011CFFF7F}"/>
    <cellStyle name="Normal 5 4 3 2 3 2 6" xfId="12914" xr:uid="{854157AA-5449-4699-9BD2-AC6E8ACF3F8B}"/>
    <cellStyle name="Normal 5 4 3 2 3 3" xfId="5660" xr:uid="{00000000-0005-0000-0000-0000071B0000}"/>
    <cellStyle name="Normal 5 4 3 2 3 3 2" xfId="41178" xr:uid="{87B3BD8F-2C99-4C34-B455-8FAD81A820C2}"/>
    <cellStyle name="Normal 5 4 3 2 3 3 3" xfId="32731" xr:uid="{379E185B-2FA4-4CCA-A2B9-676F7B1F0D73}"/>
    <cellStyle name="Normal 5 4 3 2 3 3 4" xfId="24283" xr:uid="{5E8FCD3C-F675-4524-ACA2-0C67B9762FF7}"/>
    <cellStyle name="Normal 5 4 3 2 3 3 5" xfId="14986" xr:uid="{381095EA-483E-4CF6-8138-88B22D35C111}"/>
    <cellStyle name="Normal 5 4 3 2 3 4" xfId="36961" xr:uid="{1E699749-1316-4652-AA00-6B6DF1C76462}"/>
    <cellStyle name="Normal 5 4 3 2 3 5" xfId="28513" xr:uid="{F5FA6CF4-0C57-4E94-9507-2635D53B8F1B}"/>
    <cellStyle name="Normal 5 4 3 2 3 6" xfId="20066" xr:uid="{442932A6-EBB8-4BB7-8E35-072172F0DF48}"/>
    <cellStyle name="Normal 5 4 3 2 3 7" xfId="10769" xr:uid="{B75FBE16-1062-4FD5-8FF0-9155E60120C6}"/>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43736" xr:uid="{0DB777B4-C641-4D29-A51C-7F6753D34AC7}"/>
    <cellStyle name="Normal 5 4 3 2 4 2 2 3" xfId="35289" xr:uid="{E79B1CFC-AA06-47B6-8595-3A08E4819483}"/>
    <cellStyle name="Normal 5 4 3 2 4 2 2 4" xfId="26841" xr:uid="{A573A75E-F990-4736-9BC6-C1243FB4BE59}"/>
    <cellStyle name="Normal 5 4 3 2 4 2 2 5" xfId="17544" xr:uid="{D635FC23-9FBD-4D40-B616-B17DAEA1D093}"/>
    <cellStyle name="Normal 5 4 3 2 4 2 3" xfId="39519" xr:uid="{8C630F4D-DBBC-456E-910C-0ECB1D8507B4}"/>
    <cellStyle name="Normal 5 4 3 2 4 2 4" xfId="31071" xr:uid="{82604206-12B9-4C9D-92C5-4C4E4430306E}"/>
    <cellStyle name="Normal 5 4 3 2 4 2 5" xfId="22624" xr:uid="{69E42782-EE1F-4A69-9481-8D33B707A98D}"/>
    <cellStyle name="Normal 5 4 3 2 4 2 6" xfId="13327" xr:uid="{85AD8A55-7763-42CC-A98C-E78C3A92BB06}"/>
    <cellStyle name="Normal 5 4 3 2 4 3" xfId="6073" xr:uid="{00000000-0005-0000-0000-00000B1B0000}"/>
    <cellStyle name="Normal 5 4 3 2 4 3 2" xfId="41591" xr:uid="{D1F76CEB-59CE-45E7-9B78-01119C14AD3E}"/>
    <cellStyle name="Normal 5 4 3 2 4 3 3" xfId="33144" xr:uid="{FDEE09EB-58A5-4E1A-9CF7-A19918C454B5}"/>
    <cellStyle name="Normal 5 4 3 2 4 3 4" xfId="24696" xr:uid="{E8467DB8-81DE-4F58-80AA-2139EC1B6B8B}"/>
    <cellStyle name="Normal 5 4 3 2 4 3 5" xfId="15399" xr:uid="{61B5E8E6-D414-49DE-960E-4B47B1E6891C}"/>
    <cellStyle name="Normal 5 4 3 2 4 4" xfId="37374" xr:uid="{06053AD8-7C16-449E-958B-3AA8308CBB56}"/>
    <cellStyle name="Normal 5 4 3 2 4 5" xfId="28926" xr:uid="{447B3E46-50AE-4EAF-AD08-82FADB42AD6C}"/>
    <cellStyle name="Normal 5 4 3 2 4 6" xfId="20479" xr:uid="{A35628D0-E442-489D-A3DE-D184390DB003}"/>
    <cellStyle name="Normal 5 4 3 2 4 7" xfId="11182" xr:uid="{354DD7B2-E0E7-401F-87C8-83F9EF7267C9}"/>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44149" xr:uid="{50633988-FC75-4F21-A152-060F96EF404A}"/>
    <cellStyle name="Normal 5 4 3 2 5 2 2 3" xfId="35702" xr:uid="{3E4EAD32-43DA-43F8-9447-E387AEFF7A13}"/>
    <cellStyle name="Normal 5 4 3 2 5 2 2 4" xfId="27254" xr:uid="{92DCE0B0-7714-4CB6-9128-124610C76C38}"/>
    <cellStyle name="Normal 5 4 3 2 5 2 2 5" xfId="17957" xr:uid="{9D3B2F17-9462-4A5E-B0EC-3BC88C75C55A}"/>
    <cellStyle name="Normal 5 4 3 2 5 2 3" xfId="39932" xr:uid="{0A937399-94CD-4E8D-9249-400C3D3E69C6}"/>
    <cellStyle name="Normal 5 4 3 2 5 2 4" xfId="31484" xr:uid="{E5D6EF70-F836-4A14-996A-DB5BCED4A2C8}"/>
    <cellStyle name="Normal 5 4 3 2 5 2 5" xfId="23037" xr:uid="{E89CF7DF-586F-430D-A807-68DEBE6F6272}"/>
    <cellStyle name="Normal 5 4 3 2 5 2 6" xfId="13740" xr:uid="{B87BFC96-E4E5-40C0-915A-D9EB83842709}"/>
    <cellStyle name="Normal 5 4 3 2 5 3" xfId="6486" xr:uid="{00000000-0005-0000-0000-00000F1B0000}"/>
    <cellStyle name="Normal 5 4 3 2 5 3 2" xfId="42004" xr:uid="{AD364A2F-580D-428B-A09C-CF7F39F43374}"/>
    <cellStyle name="Normal 5 4 3 2 5 3 3" xfId="33557" xr:uid="{CDFABC4E-79BF-499E-819D-8809C6C47D68}"/>
    <cellStyle name="Normal 5 4 3 2 5 3 4" xfId="25109" xr:uid="{9488DFB1-5E20-4388-AE5E-3117092BB258}"/>
    <cellStyle name="Normal 5 4 3 2 5 3 5" xfId="15812" xr:uid="{35CABA28-9250-46EA-8DE7-3C2EA3105265}"/>
    <cellStyle name="Normal 5 4 3 2 5 4" xfId="37787" xr:uid="{F3CA7FF7-B842-4B6D-9252-3F70EF5A0379}"/>
    <cellStyle name="Normal 5 4 3 2 5 5" xfId="29339" xr:uid="{BDA447A4-3994-483B-8837-CECC8C00B05F}"/>
    <cellStyle name="Normal 5 4 3 2 5 6" xfId="20892" xr:uid="{5D9FAA84-09D1-467D-A8DF-A770C462E43E}"/>
    <cellStyle name="Normal 5 4 3 2 5 7" xfId="11595" xr:uid="{5ADB696F-790A-41F8-A938-63989645B44D}"/>
    <cellStyle name="Normal 5 4 3 2 6" xfId="2616" xr:uid="{00000000-0005-0000-0000-0000101B0000}"/>
    <cellStyle name="Normal 5 4 3 2 6 2" xfId="6899" xr:uid="{00000000-0005-0000-0000-0000111B0000}"/>
    <cellStyle name="Normal 5 4 3 2 6 2 2" xfId="42417" xr:uid="{A1671DEC-1F67-4EE6-8DC9-F1571D6C77EC}"/>
    <cellStyle name="Normal 5 4 3 2 6 2 3" xfId="33970" xr:uid="{50A9406E-8149-47F8-ABB5-B22191681784}"/>
    <cellStyle name="Normal 5 4 3 2 6 2 4" xfId="25522" xr:uid="{7C64DB8C-6C4D-44B6-8519-AC2E28454901}"/>
    <cellStyle name="Normal 5 4 3 2 6 2 5" xfId="16225" xr:uid="{109FCA36-845B-4740-959C-18C848999F1B}"/>
    <cellStyle name="Normal 5 4 3 2 6 3" xfId="38200" xr:uid="{709F854E-2823-4ED6-9170-B15BC85D04B6}"/>
    <cellStyle name="Normal 5 4 3 2 6 4" xfId="29752" xr:uid="{6AA80BD3-AA42-4CF9-938F-5B1979E2EF3B}"/>
    <cellStyle name="Normal 5 4 3 2 6 5" xfId="21305" xr:uid="{C9F36580-0DA7-46B3-A07E-69D4712E8CCA}"/>
    <cellStyle name="Normal 5 4 3 2 6 6" xfId="12008" xr:uid="{EB85DE52-9B8F-4025-A380-4660A3BEE44E}"/>
    <cellStyle name="Normal 5 4 3 2 7" xfId="4834" xr:uid="{00000000-0005-0000-0000-0000121B0000}"/>
    <cellStyle name="Normal 5 4 3 2 7 2" xfId="40352" xr:uid="{0B58D6D1-2A99-4580-99A1-CFB94A612E56}"/>
    <cellStyle name="Normal 5 4 3 2 7 3" xfId="31905" xr:uid="{F7355873-8B96-4F82-9B67-0563DDFE0915}"/>
    <cellStyle name="Normal 5 4 3 2 7 4" xfId="23457" xr:uid="{71FA7121-B67D-43B4-8AAB-37D9F3B7DAD7}"/>
    <cellStyle name="Normal 5 4 3 2 7 5" xfId="14160" xr:uid="{A72CD609-237B-463B-883C-9682D17690C1}"/>
    <cellStyle name="Normal 5 4 3 2 8" xfId="9083" xr:uid="{206384C8-6AD8-4D28-8F99-3033A80D68FC}"/>
    <cellStyle name="Normal 5 4 3 2 8 2" xfId="36135" xr:uid="{BA56698D-FBAD-4F10-AA01-4D7EB9ABDBDE}"/>
    <cellStyle name="Normal 5 4 3 2 8 3" xfId="18406" xr:uid="{36DC75C1-4720-420D-A89C-F38A5D303D87}"/>
    <cellStyle name="Normal 5 4 3 2 9" xfId="27687" xr:uid="{AF1B0367-C3AB-440D-AB10-E60E1471BDE9}"/>
    <cellStyle name="Normal 5 4 3 3" xfId="935" xr:uid="{00000000-0005-0000-0000-0000131B0000}"/>
    <cellStyle name="Normal 5 4 3 3 2" xfId="3169" xr:uid="{00000000-0005-0000-0000-0000141B0000}"/>
    <cellStyle name="Normal 5 4 3 3 2 2" xfId="7391" xr:uid="{00000000-0005-0000-0000-0000151B0000}"/>
    <cellStyle name="Normal 5 4 3 3 2 2 2" xfId="42909" xr:uid="{DF6C03B7-C34F-4A3A-A580-EE6F70E5D5F6}"/>
    <cellStyle name="Normal 5 4 3 3 2 2 3" xfId="34462" xr:uid="{36A61E6D-D550-47CA-BAFF-6CAF9E45C597}"/>
    <cellStyle name="Normal 5 4 3 3 2 2 4" xfId="26014" xr:uid="{E2623089-A972-44F6-ACFF-3E83970427F0}"/>
    <cellStyle name="Normal 5 4 3 3 2 2 5" xfId="16717" xr:uid="{8DADA084-F4AC-409E-83CC-0089C83367B1}"/>
    <cellStyle name="Normal 5 4 3 3 2 3" xfId="38692" xr:uid="{6582482F-D048-4838-80DB-C83A5FE9348A}"/>
    <cellStyle name="Normal 5 4 3 3 2 4" xfId="30244" xr:uid="{EC89D841-92D6-40EE-9C0E-7D2B650E4644}"/>
    <cellStyle name="Normal 5 4 3 3 2 5" xfId="21797" xr:uid="{57CEE49D-DC4F-4CF1-93BC-A1CB3D7EB742}"/>
    <cellStyle name="Normal 5 4 3 3 2 6" xfId="12500" xr:uid="{B66F90E2-BD2E-4C4A-9422-86E688EB7BB6}"/>
    <cellStyle name="Normal 5 4 3 3 3" xfId="5246" xr:uid="{00000000-0005-0000-0000-0000161B0000}"/>
    <cellStyle name="Normal 5 4 3 3 3 2" xfId="40764" xr:uid="{EE68FF32-0CF5-4E47-BACD-9CEB379AD28A}"/>
    <cellStyle name="Normal 5 4 3 3 3 3" xfId="32317" xr:uid="{DD33AEA0-EFF1-45D4-B38C-F00F1A8D7947}"/>
    <cellStyle name="Normal 5 4 3 3 3 4" xfId="23869" xr:uid="{69A34182-E2D1-4FE4-8325-2D7337D7DF6F}"/>
    <cellStyle name="Normal 5 4 3 3 3 5" xfId="14572" xr:uid="{2DC5B845-1133-46CF-852C-321BF5B58333}"/>
    <cellStyle name="Normal 5 4 3 3 4" xfId="9301" xr:uid="{CB02BBE7-2E3D-4C67-A62E-BA84DE882039}"/>
    <cellStyle name="Normal 5 4 3 3 4 2" xfId="36547" xr:uid="{B4253FE2-6C58-4991-B75D-B79821BEDFDC}"/>
    <cellStyle name="Normal 5 4 3 3 4 3" xfId="18614" xr:uid="{C767BF18-BAAE-4CAD-9CC2-96905DCF9686}"/>
    <cellStyle name="Normal 5 4 3 3 5" xfId="28099" xr:uid="{5A5EC62F-CA0E-4D6A-B577-09732A522DDA}"/>
    <cellStyle name="Normal 5 4 3 3 6" xfId="19652" xr:uid="{21BB32C1-CE82-4614-B051-050C8B721FCA}"/>
    <cellStyle name="Normal 5 4 3 3 7" xfId="10355" xr:uid="{83FBF884-1C59-48BC-825D-F78A050AB9FC}"/>
    <cellStyle name="Normal 5 4 3 4" xfId="1352" xr:uid="{00000000-0005-0000-0000-0000171B0000}"/>
    <cellStyle name="Normal 5 4 3 4 2" xfId="3582" xr:uid="{00000000-0005-0000-0000-0000181B0000}"/>
    <cellStyle name="Normal 5 4 3 4 2 2" xfId="7804" xr:uid="{00000000-0005-0000-0000-0000191B0000}"/>
    <cellStyle name="Normal 5 4 3 4 2 2 2" xfId="43322" xr:uid="{67DDFEB9-3E6E-404D-A912-12724F70EB3E}"/>
    <cellStyle name="Normal 5 4 3 4 2 2 3" xfId="34875" xr:uid="{BD68F79A-BB4C-4C91-B857-56915BA75E2B}"/>
    <cellStyle name="Normal 5 4 3 4 2 2 4" xfId="26427" xr:uid="{CDFEEBF4-B032-481A-9C43-66DE2825DB58}"/>
    <cellStyle name="Normal 5 4 3 4 2 2 5" xfId="17130" xr:uid="{2CDAF98A-6648-444B-82E3-48922E7D20CE}"/>
    <cellStyle name="Normal 5 4 3 4 2 3" xfId="39105" xr:uid="{16061B1E-F071-45C0-ABAC-178B2A01EC92}"/>
    <cellStyle name="Normal 5 4 3 4 2 4" xfId="30657" xr:uid="{33294A19-97CE-4D85-83B1-A38FE39E4D71}"/>
    <cellStyle name="Normal 5 4 3 4 2 5" xfId="22210" xr:uid="{5A345B92-0C16-4AEC-B7B2-EDF04F189DCC}"/>
    <cellStyle name="Normal 5 4 3 4 2 6" xfId="12913" xr:uid="{6C1EA5E3-C0DB-433D-8616-2C2BBD25733B}"/>
    <cellStyle name="Normal 5 4 3 4 3" xfId="5659" xr:uid="{00000000-0005-0000-0000-00001A1B0000}"/>
    <cellStyle name="Normal 5 4 3 4 3 2" xfId="41177" xr:uid="{B1392912-EC99-4AEF-8A13-6D814842FC81}"/>
    <cellStyle name="Normal 5 4 3 4 3 3" xfId="32730" xr:uid="{8B5AE340-95F1-449E-8AB5-D3288F35321A}"/>
    <cellStyle name="Normal 5 4 3 4 3 4" xfId="24282" xr:uid="{FD44BEEE-CAD9-45A5-BE0A-F31FE3091FA2}"/>
    <cellStyle name="Normal 5 4 3 4 3 5" xfId="14985" xr:uid="{EDADCB40-290A-41E3-8E60-8F7F47CBD556}"/>
    <cellStyle name="Normal 5 4 3 4 4" xfId="36960" xr:uid="{BC04C2C2-98F4-4C74-BD09-6427BF81A629}"/>
    <cellStyle name="Normal 5 4 3 4 5" xfId="28512" xr:uid="{4B75833E-BBEF-4157-8EC9-D96A9CEEE542}"/>
    <cellStyle name="Normal 5 4 3 4 6" xfId="20065" xr:uid="{C5E7926E-00E0-4F46-9620-569457B262AF}"/>
    <cellStyle name="Normal 5 4 3 4 7" xfId="10768" xr:uid="{0E2A93FE-D293-4D80-9631-1AA50099020E}"/>
    <cellStyle name="Normal 5 4 3 5" xfId="1765" xr:uid="{00000000-0005-0000-0000-00001B1B0000}"/>
    <cellStyle name="Normal 5 4 3 5 2" xfId="3995" xr:uid="{00000000-0005-0000-0000-00001C1B0000}"/>
    <cellStyle name="Normal 5 4 3 5 2 2" xfId="8217" xr:uid="{00000000-0005-0000-0000-00001D1B0000}"/>
    <cellStyle name="Normal 5 4 3 5 2 2 2" xfId="43735" xr:uid="{F939CB6A-B600-464B-AD73-889DAE2ADF2B}"/>
    <cellStyle name="Normal 5 4 3 5 2 2 3" xfId="35288" xr:uid="{22B7DB96-9966-4FAA-85D3-8C686B3D7028}"/>
    <cellStyle name="Normal 5 4 3 5 2 2 4" xfId="26840" xr:uid="{EAE71ECF-C36D-45EE-B7F7-58D59F424E3B}"/>
    <cellStyle name="Normal 5 4 3 5 2 2 5" xfId="17543" xr:uid="{DACBE255-1643-4187-AD00-9B4949E797CA}"/>
    <cellStyle name="Normal 5 4 3 5 2 3" xfId="39518" xr:uid="{AE444BA3-E9D9-4D45-A1BA-130DEF13583F}"/>
    <cellStyle name="Normal 5 4 3 5 2 4" xfId="31070" xr:uid="{3081343C-D0D7-4148-B6E8-F602F4B0B943}"/>
    <cellStyle name="Normal 5 4 3 5 2 5" xfId="22623" xr:uid="{0EAAAF48-CFD0-49A3-9174-6222B87E7BE3}"/>
    <cellStyle name="Normal 5 4 3 5 2 6" xfId="13326" xr:uid="{509D80A1-1931-4855-9D7A-68968D6CBFEF}"/>
    <cellStyle name="Normal 5 4 3 5 3" xfId="6072" xr:uid="{00000000-0005-0000-0000-00001E1B0000}"/>
    <cellStyle name="Normal 5 4 3 5 3 2" xfId="41590" xr:uid="{33E9E1B5-A53C-4483-B851-0210D7569B90}"/>
    <cellStyle name="Normal 5 4 3 5 3 3" xfId="33143" xr:uid="{FFD7E338-9ED3-4230-B015-DEB77DF2089D}"/>
    <cellStyle name="Normal 5 4 3 5 3 4" xfId="24695" xr:uid="{A62380F6-205E-4719-8087-9918DE5583BA}"/>
    <cellStyle name="Normal 5 4 3 5 3 5" xfId="15398" xr:uid="{ACADA644-605E-4D5B-B11D-BA0907A23AAB}"/>
    <cellStyle name="Normal 5 4 3 5 4" xfId="37373" xr:uid="{66455E40-787C-4480-918A-34AFBFD76739}"/>
    <cellStyle name="Normal 5 4 3 5 5" xfId="28925" xr:uid="{8DD21D2E-C407-49D7-8B15-B648B821116D}"/>
    <cellStyle name="Normal 5 4 3 5 6" xfId="20478" xr:uid="{830E76F0-7522-4121-8325-353B20C62122}"/>
    <cellStyle name="Normal 5 4 3 5 7" xfId="11181" xr:uid="{33A0F9E7-AC6E-49BD-ABE5-9228D41FE6DB}"/>
    <cellStyle name="Normal 5 4 3 6" xfId="2179" xr:uid="{00000000-0005-0000-0000-00001F1B0000}"/>
    <cellStyle name="Normal 5 4 3 6 2" xfId="4408" xr:uid="{00000000-0005-0000-0000-0000201B0000}"/>
    <cellStyle name="Normal 5 4 3 6 2 2" xfId="8630" xr:uid="{00000000-0005-0000-0000-0000211B0000}"/>
    <cellStyle name="Normal 5 4 3 6 2 2 2" xfId="44148" xr:uid="{FFE3F7ED-E1F5-41B8-B1FA-ECE2D98A1715}"/>
    <cellStyle name="Normal 5 4 3 6 2 2 3" xfId="35701" xr:uid="{19BD4568-4B15-4CD2-9436-C19D94F280DF}"/>
    <cellStyle name="Normal 5 4 3 6 2 2 4" xfId="27253" xr:uid="{3FC0F3AE-E257-44EA-AEB1-E4E74DC92755}"/>
    <cellStyle name="Normal 5 4 3 6 2 2 5" xfId="17956" xr:uid="{8244430E-CED1-4AB9-AD32-4E2C7759AC14}"/>
    <cellStyle name="Normal 5 4 3 6 2 3" xfId="39931" xr:uid="{7DDA65EC-70AD-40F7-8D66-785743565C62}"/>
    <cellStyle name="Normal 5 4 3 6 2 4" xfId="31483" xr:uid="{FB8EB3BD-CCAB-412F-A08A-A65832D319BB}"/>
    <cellStyle name="Normal 5 4 3 6 2 5" xfId="23036" xr:uid="{B354073B-81FF-4E1D-A9F0-D000A0DD6076}"/>
    <cellStyle name="Normal 5 4 3 6 2 6" xfId="13739" xr:uid="{D52CD269-364C-45D1-8A89-32648344C63D}"/>
    <cellStyle name="Normal 5 4 3 6 3" xfId="6485" xr:uid="{00000000-0005-0000-0000-0000221B0000}"/>
    <cellStyle name="Normal 5 4 3 6 3 2" xfId="42003" xr:uid="{A482A00A-1E91-40D4-94B2-5FE92E196BE6}"/>
    <cellStyle name="Normal 5 4 3 6 3 3" xfId="33556" xr:uid="{1B7F5796-69B3-4BED-BC79-3FCC85B1332B}"/>
    <cellStyle name="Normal 5 4 3 6 3 4" xfId="25108" xr:uid="{54BE8448-C599-4A98-A4F5-4FA4385393A0}"/>
    <cellStyle name="Normal 5 4 3 6 3 5" xfId="15811" xr:uid="{5D74C2DE-2415-4099-BC5A-C9C7A7202FBE}"/>
    <cellStyle name="Normal 5 4 3 6 4" xfId="37786" xr:uid="{1110B977-C7CE-4672-A553-40F1D860B079}"/>
    <cellStyle name="Normal 5 4 3 6 5" xfId="29338" xr:uid="{73A47D2F-7519-4B12-9BE6-84642C7EA889}"/>
    <cellStyle name="Normal 5 4 3 6 6" xfId="20891" xr:uid="{81D178A6-338E-4573-85FD-6BA170705C84}"/>
    <cellStyle name="Normal 5 4 3 6 7" xfId="11594" xr:uid="{2D345D68-0BBD-48AB-A664-EC5ED1A3BABE}"/>
    <cellStyle name="Normal 5 4 3 7" xfId="2615" xr:uid="{00000000-0005-0000-0000-0000231B0000}"/>
    <cellStyle name="Normal 5 4 3 7 2" xfId="6898" xr:uid="{00000000-0005-0000-0000-0000241B0000}"/>
    <cellStyle name="Normal 5 4 3 7 2 2" xfId="42416" xr:uid="{B5A4BC08-4370-428E-A26C-764388C02E04}"/>
    <cellStyle name="Normal 5 4 3 7 2 3" xfId="33969" xr:uid="{28177559-F14F-4A3A-A16E-FBD007A701C5}"/>
    <cellStyle name="Normal 5 4 3 7 2 4" xfId="25521" xr:uid="{637440DD-711A-4206-A77F-27B2C2E35720}"/>
    <cellStyle name="Normal 5 4 3 7 2 5" xfId="16224" xr:uid="{D2ED8544-EE11-4F2E-A91A-91B4B14CC9AF}"/>
    <cellStyle name="Normal 5 4 3 7 3" xfId="38199" xr:uid="{56D8794B-1ADB-4754-9382-99D6BACD5AB1}"/>
    <cellStyle name="Normal 5 4 3 7 4" xfId="29751" xr:uid="{D4E4D321-3EB8-4C75-8E94-956D96E8FCD1}"/>
    <cellStyle name="Normal 5 4 3 7 5" xfId="21304" xr:uid="{51DAFA64-671A-4A7D-BCE0-D8C6D2288B9D}"/>
    <cellStyle name="Normal 5 4 3 7 6" xfId="12007" xr:uid="{61A28115-4BA7-4F9C-B0B6-442A37A70C94}"/>
    <cellStyle name="Normal 5 4 3 8" xfId="4833" xr:uid="{00000000-0005-0000-0000-0000251B0000}"/>
    <cellStyle name="Normal 5 4 3 8 2" xfId="40351" xr:uid="{4BD7C7BA-5DFF-41D3-BB15-DAEBA4131126}"/>
    <cellStyle name="Normal 5 4 3 8 3" xfId="31904" xr:uid="{2E0F6B32-E8A8-4EE8-B603-0A1E11940FC0}"/>
    <cellStyle name="Normal 5 4 3 8 4" xfId="23456" xr:uid="{2E4816CE-CF58-4B37-889B-585C3D3A7D2E}"/>
    <cellStyle name="Normal 5 4 3 8 5" xfId="14159" xr:uid="{BFD65D56-585A-4259-B7DE-21865CD84CAD}"/>
    <cellStyle name="Normal 5 4 3 9" xfId="8876" xr:uid="{D636A598-175F-46A4-8005-1A20EC6CCEC9}"/>
    <cellStyle name="Normal 5 4 3 9 2" xfId="36134" xr:uid="{E7972254-FD93-4C2E-9394-F099815A2C22}"/>
    <cellStyle name="Normal 5 4 3 9 3" xfId="18199" xr:uid="{EAE24D15-7732-4741-8E29-41D0C14C165C}"/>
    <cellStyle name="Normal 5 4 4" xfId="463" xr:uid="{00000000-0005-0000-0000-0000261B0000}"/>
    <cellStyle name="Normal 5 4 4 10" xfId="19241" xr:uid="{2CD727CB-A31C-4328-A939-430D471F316A}"/>
    <cellStyle name="Normal 5 4 4 11" xfId="9944" xr:uid="{0488B9EA-B246-4CA0-A393-03506D1784DD}"/>
    <cellStyle name="Normal 5 4 4 2" xfId="937" xr:uid="{00000000-0005-0000-0000-0000271B0000}"/>
    <cellStyle name="Normal 5 4 4 2 2" xfId="3171" xr:uid="{00000000-0005-0000-0000-0000281B0000}"/>
    <cellStyle name="Normal 5 4 4 2 2 2" xfId="7393" xr:uid="{00000000-0005-0000-0000-0000291B0000}"/>
    <cellStyle name="Normal 5 4 4 2 2 2 2" xfId="42911" xr:uid="{7EEFEEA5-F27F-4ED8-B3B3-3B5796B97FB9}"/>
    <cellStyle name="Normal 5 4 4 2 2 2 3" xfId="34464" xr:uid="{4D5B7BED-D8E3-4F7C-8E96-81B36E53BA9E}"/>
    <cellStyle name="Normal 5 4 4 2 2 2 4" xfId="26016" xr:uid="{D9AA7472-40A2-47F7-8D7F-C5D875C1CFB7}"/>
    <cellStyle name="Normal 5 4 4 2 2 2 5" xfId="16719" xr:uid="{2D687824-0AC2-4AF7-AEB6-EC171ABB52AD}"/>
    <cellStyle name="Normal 5 4 4 2 2 3" xfId="38694" xr:uid="{A4599863-C84F-4613-AEA1-1ACA384747CB}"/>
    <cellStyle name="Normal 5 4 4 2 2 4" xfId="30246" xr:uid="{06D2FB7F-34D6-476F-B2CE-0688BC438CB4}"/>
    <cellStyle name="Normal 5 4 4 2 2 5" xfId="21799" xr:uid="{A4C4204C-4BCB-4324-A700-507DC3FD3EE2}"/>
    <cellStyle name="Normal 5 4 4 2 2 6" xfId="12502" xr:uid="{25535BC1-718B-4B18-92A1-2388A9752C16}"/>
    <cellStyle name="Normal 5 4 4 2 3" xfId="5248" xr:uid="{00000000-0005-0000-0000-00002A1B0000}"/>
    <cellStyle name="Normal 5 4 4 2 3 2" xfId="40766" xr:uid="{450FFAFF-FEE2-46B9-9AD1-70D7B745F3B4}"/>
    <cellStyle name="Normal 5 4 4 2 3 3" xfId="32319" xr:uid="{4949BC97-27D2-4812-A9F1-3E2CCDCAEDB0}"/>
    <cellStyle name="Normal 5 4 4 2 3 4" xfId="23871" xr:uid="{04A88D5F-D62D-4BEE-9A95-96FA7B60A18A}"/>
    <cellStyle name="Normal 5 4 4 2 3 5" xfId="14574" xr:uid="{DC1B507D-48A7-4477-9D5A-162499A54F10}"/>
    <cellStyle name="Normal 5 4 4 2 4" xfId="9405" xr:uid="{F05DE0DC-A0AA-4CEB-9ABC-0D70F781B819}"/>
    <cellStyle name="Normal 5 4 4 2 4 2" xfId="36549" xr:uid="{8D36CF04-1CED-4B20-8347-0DFA92F1C93F}"/>
    <cellStyle name="Normal 5 4 4 2 4 3" xfId="18718" xr:uid="{D824EF85-03BE-46BF-B4C9-5BB58B1E2A21}"/>
    <cellStyle name="Normal 5 4 4 2 5" xfId="28101" xr:uid="{C603CFAE-8DF7-427C-AC73-5850C4C1194E}"/>
    <cellStyle name="Normal 5 4 4 2 6" xfId="19654" xr:uid="{07DE2BBF-6BBB-4BCB-9AC5-DA953FDC81AF}"/>
    <cellStyle name="Normal 5 4 4 2 7" xfId="10357" xr:uid="{2E2688F9-AF05-4313-8E2D-1ECA832EDF13}"/>
    <cellStyle name="Normal 5 4 4 3" xfId="1354" xr:uid="{00000000-0005-0000-0000-00002B1B0000}"/>
    <cellStyle name="Normal 5 4 4 3 2" xfId="3584" xr:uid="{00000000-0005-0000-0000-00002C1B0000}"/>
    <cellStyle name="Normal 5 4 4 3 2 2" xfId="7806" xr:uid="{00000000-0005-0000-0000-00002D1B0000}"/>
    <cellStyle name="Normal 5 4 4 3 2 2 2" xfId="43324" xr:uid="{28D07CF5-88B9-4A9A-9D64-4999151C1358}"/>
    <cellStyle name="Normal 5 4 4 3 2 2 3" xfId="34877" xr:uid="{01AA007E-EE14-4D7A-A55B-B8EAFD96E6E0}"/>
    <cellStyle name="Normal 5 4 4 3 2 2 4" xfId="26429" xr:uid="{58B869EF-FAD4-44DB-9D80-79E1752CF14B}"/>
    <cellStyle name="Normal 5 4 4 3 2 2 5" xfId="17132" xr:uid="{59603E8B-ADCC-459D-BBFE-835C24BB6858}"/>
    <cellStyle name="Normal 5 4 4 3 2 3" xfId="39107" xr:uid="{4E5453D8-6DE5-43AB-B0CA-14C9EEAA746D}"/>
    <cellStyle name="Normal 5 4 4 3 2 4" xfId="30659" xr:uid="{5AA8EA64-3AB9-44BD-9275-AAE2A03FB1CA}"/>
    <cellStyle name="Normal 5 4 4 3 2 5" xfId="22212" xr:uid="{2CB3CFEF-07CD-4FD7-9F6B-B4690954FC81}"/>
    <cellStyle name="Normal 5 4 4 3 2 6" xfId="12915" xr:uid="{D6F78DA1-0E90-470F-820E-F6124DF922BF}"/>
    <cellStyle name="Normal 5 4 4 3 3" xfId="5661" xr:uid="{00000000-0005-0000-0000-00002E1B0000}"/>
    <cellStyle name="Normal 5 4 4 3 3 2" xfId="41179" xr:uid="{1E5E0AB6-7D62-449B-8B7B-37543D3A454C}"/>
    <cellStyle name="Normal 5 4 4 3 3 3" xfId="32732" xr:uid="{4B673F9A-EA90-46F7-A40D-971B99A36A5F}"/>
    <cellStyle name="Normal 5 4 4 3 3 4" xfId="24284" xr:uid="{1BD32414-C7E4-40F1-9BCC-658AD8251BF5}"/>
    <cellStyle name="Normal 5 4 4 3 3 5" xfId="14987" xr:uid="{AB076F54-2620-4044-9E8C-BFA35074DB58}"/>
    <cellStyle name="Normal 5 4 4 3 4" xfId="36962" xr:uid="{33378530-6305-4BF7-AEDF-A4F5990BE70C}"/>
    <cellStyle name="Normal 5 4 4 3 5" xfId="28514" xr:uid="{99E46D1C-C34C-493D-AAE7-16AFCC210030}"/>
    <cellStyle name="Normal 5 4 4 3 6" xfId="20067" xr:uid="{20887CE8-CB37-4BFA-8312-E0667D3A9BB9}"/>
    <cellStyle name="Normal 5 4 4 3 7" xfId="10770" xr:uid="{71A101D5-C2A8-4036-89C5-236FD6168E7F}"/>
    <cellStyle name="Normal 5 4 4 4" xfId="1767" xr:uid="{00000000-0005-0000-0000-00002F1B0000}"/>
    <cellStyle name="Normal 5 4 4 4 2" xfId="3997" xr:uid="{00000000-0005-0000-0000-0000301B0000}"/>
    <cellStyle name="Normal 5 4 4 4 2 2" xfId="8219" xr:uid="{00000000-0005-0000-0000-0000311B0000}"/>
    <cellStyle name="Normal 5 4 4 4 2 2 2" xfId="43737" xr:uid="{05907305-21C3-431F-9BC6-D17192B55FAF}"/>
    <cellStyle name="Normal 5 4 4 4 2 2 3" xfId="35290" xr:uid="{B974C13D-4199-4846-8D78-3F9054359FB8}"/>
    <cellStyle name="Normal 5 4 4 4 2 2 4" xfId="26842" xr:uid="{707BC876-D5E4-4B58-A17F-259EA3F1356A}"/>
    <cellStyle name="Normal 5 4 4 4 2 2 5" xfId="17545" xr:uid="{1890AC05-7D74-4C81-BDC2-D4E050CD5135}"/>
    <cellStyle name="Normal 5 4 4 4 2 3" xfId="39520" xr:uid="{9D51E66D-AECB-46D7-965C-0657CF2EAA74}"/>
    <cellStyle name="Normal 5 4 4 4 2 4" xfId="31072" xr:uid="{3450E046-D167-4D68-B517-5DFB19B8BE05}"/>
    <cellStyle name="Normal 5 4 4 4 2 5" xfId="22625" xr:uid="{5ADBC767-A901-4FB9-9386-34F950D34387}"/>
    <cellStyle name="Normal 5 4 4 4 2 6" xfId="13328" xr:uid="{22F691AF-69CC-4641-8575-99EBFD7B2061}"/>
    <cellStyle name="Normal 5 4 4 4 3" xfId="6074" xr:uid="{00000000-0005-0000-0000-0000321B0000}"/>
    <cellStyle name="Normal 5 4 4 4 3 2" xfId="41592" xr:uid="{99CB4652-2F1E-40B5-9203-C880D5A6AA86}"/>
    <cellStyle name="Normal 5 4 4 4 3 3" xfId="33145" xr:uid="{D63AA486-38FA-4D92-B292-70956B637BB7}"/>
    <cellStyle name="Normal 5 4 4 4 3 4" xfId="24697" xr:uid="{FE34D487-2457-48A6-80C5-EF4384A62F6B}"/>
    <cellStyle name="Normal 5 4 4 4 3 5" xfId="15400" xr:uid="{221E1EE1-8C3B-46B4-8E27-CDC6CCF2F566}"/>
    <cellStyle name="Normal 5 4 4 4 4" xfId="37375" xr:uid="{6024AD8C-5720-4F3F-B294-3FE8AABF3688}"/>
    <cellStyle name="Normal 5 4 4 4 5" xfId="28927" xr:uid="{692CB2D9-7FD7-4E50-ACA0-1F86455F2234}"/>
    <cellStyle name="Normal 5 4 4 4 6" xfId="20480" xr:uid="{9F1BED2E-A3F9-48AD-A1C2-76BD51D6CF52}"/>
    <cellStyle name="Normal 5 4 4 4 7" xfId="11183" xr:uid="{CD525EDD-A784-4BD4-ACA7-C4320766A35C}"/>
    <cellStyle name="Normal 5 4 4 5" xfId="2181" xr:uid="{00000000-0005-0000-0000-0000331B0000}"/>
    <cellStyle name="Normal 5 4 4 5 2" xfId="4410" xr:uid="{00000000-0005-0000-0000-0000341B0000}"/>
    <cellStyle name="Normal 5 4 4 5 2 2" xfId="8632" xr:uid="{00000000-0005-0000-0000-0000351B0000}"/>
    <cellStyle name="Normal 5 4 4 5 2 2 2" xfId="44150" xr:uid="{3F1CD412-CD45-42AC-9811-948AC7D505E5}"/>
    <cellStyle name="Normal 5 4 4 5 2 2 3" xfId="35703" xr:uid="{7FA58713-64AF-4722-BE79-0D5557304606}"/>
    <cellStyle name="Normal 5 4 4 5 2 2 4" xfId="27255" xr:uid="{2C901383-B240-4C60-B4B5-55D72B03299C}"/>
    <cellStyle name="Normal 5 4 4 5 2 2 5" xfId="17958" xr:uid="{FFEEABF9-FB6E-410C-A9AE-5659E22CB8F4}"/>
    <cellStyle name="Normal 5 4 4 5 2 3" xfId="39933" xr:uid="{C8EE39C6-E324-4381-8639-456F8D160EDC}"/>
    <cellStyle name="Normal 5 4 4 5 2 4" xfId="31485" xr:uid="{0FCB1E84-0BE9-4DB5-A507-7BE6B9042029}"/>
    <cellStyle name="Normal 5 4 4 5 2 5" xfId="23038" xr:uid="{2A9D0615-7B7A-40D0-AF79-06CA9ED875F3}"/>
    <cellStyle name="Normal 5 4 4 5 2 6" xfId="13741" xr:uid="{C1906550-AF90-4CF2-B36A-95CFD7DF9487}"/>
    <cellStyle name="Normal 5 4 4 5 3" xfId="6487" xr:uid="{00000000-0005-0000-0000-0000361B0000}"/>
    <cellStyle name="Normal 5 4 4 5 3 2" xfId="42005" xr:uid="{168A09F1-BB27-415F-9C89-5FFD6E2992B5}"/>
    <cellStyle name="Normal 5 4 4 5 3 3" xfId="33558" xr:uid="{416E001E-A629-4360-B862-D747D1F7A37C}"/>
    <cellStyle name="Normal 5 4 4 5 3 4" xfId="25110" xr:uid="{8EE7F560-3173-4C3B-99BF-B267B5FCC488}"/>
    <cellStyle name="Normal 5 4 4 5 3 5" xfId="15813" xr:uid="{337F1608-ECB3-4071-B7E3-434EB548F29D}"/>
    <cellStyle name="Normal 5 4 4 5 4" xfId="37788" xr:uid="{F24AFEB4-16DD-42A8-A142-9D7F5B51B262}"/>
    <cellStyle name="Normal 5 4 4 5 5" xfId="29340" xr:uid="{4718E31D-0517-4798-982F-A6C3036B98CE}"/>
    <cellStyle name="Normal 5 4 4 5 6" xfId="20893" xr:uid="{71AC6546-E908-4897-98F2-BDD7293CE3B6}"/>
    <cellStyle name="Normal 5 4 4 5 7" xfId="11596" xr:uid="{15F5D7EE-D6C8-480B-A2F9-694EC89A0EAA}"/>
    <cellStyle name="Normal 5 4 4 6" xfId="2617" xr:uid="{00000000-0005-0000-0000-0000371B0000}"/>
    <cellStyle name="Normal 5 4 4 6 2" xfId="6900" xr:uid="{00000000-0005-0000-0000-0000381B0000}"/>
    <cellStyle name="Normal 5 4 4 6 2 2" xfId="42418" xr:uid="{25F9F9D4-E128-458E-9B8B-F5ED1D2ADB80}"/>
    <cellStyle name="Normal 5 4 4 6 2 3" xfId="33971" xr:uid="{B1042F50-1407-46DF-9118-98571722F24E}"/>
    <cellStyle name="Normal 5 4 4 6 2 4" xfId="25523" xr:uid="{AB73AD9B-F67C-4067-BF32-29EEC46C7BE0}"/>
    <cellStyle name="Normal 5 4 4 6 2 5" xfId="16226" xr:uid="{A6020B70-35ED-4683-857A-D9107199B938}"/>
    <cellStyle name="Normal 5 4 4 6 3" xfId="38201" xr:uid="{F79641A1-159A-4DAB-B7FF-F738DD217B76}"/>
    <cellStyle name="Normal 5 4 4 6 4" xfId="29753" xr:uid="{AE1298A1-1174-4F8A-B177-3D53E1E82FF1}"/>
    <cellStyle name="Normal 5 4 4 6 5" xfId="21306" xr:uid="{DE1C565D-C593-47DE-9174-DA575F9981F4}"/>
    <cellStyle name="Normal 5 4 4 6 6" xfId="12009" xr:uid="{7AE8A65A-275B-4184-9505-AAF87C7F6643}"/>
    <cellStyle name="Normal 5 4 4 7" xfId="4835" xr:uid="{00000000-0005-0000-0000-0000391B0000}"/>
    <cellStyle name="Normal 5 4 4 7 2" xfId="40353" xr:uid="{5409A435-44D0-4C4D-BC65-3578BFA94B54}"/>
    <cellStyle name="Normal 5 4 4 7 3" xfId="31906" xr:uid="{DDD64148-1245-444D-8CBC-0D6D11074C10}"/>
    <cellStyle name="Normal 5 4 4 7 4" xfId="23458" xr:uid="{DA8FB1F7-FDB6-4A3B-A89C-B0773A0BA35E}"/>
    <cellStyle name="Normal 5 4 4 7 5" xfId="14161" xr:uid="{333280D7-390C-489C-8789-247F2ACB469C}"/>
    <cellStyle name="Normal 5 4 4 8" xfId="8980" xr:uid="{B1DB48A4-94CB-4CC2-8D4B-8FD478363D48}"/>
    <cellStyle name="Normal 5 4 4 8 2" xfId="36136" xr:uid="{C4A87D71-4E4A-41E1-A1C5-87623860406E}"/>
    <cellStyle name="Normal 5 4 4 8 3" xfId="18303" xr:uid="{C1F78BD0-2B74-4A6C-A6E0-CC08E6CBDA48}"/>
    <cellStyle name="Normal 5 4 4 9" xfId="27688" xr:uid="{5BD3DCA3-E9FC-421C-87EF-5D89ED140E31}"/>
    <cellStyle name="Normal 5 4 5" xfId="930" xr:uid="{00000000-0005-0000-0000-00003A1B0000}"/>
    <cellStyle name="Normal 5 4 5 2" xfId="3164" xr:uid="{00000000-0005-0000-0000-00003B1B0000}"/>
    <cellStyle name="Normal 5 4 5 2 2" xfId="7386" xr:uid="{00000000-0005-0000-0000-00003C1B0000}"/>
    <cellStyle name="Normal 5 4 5 2 2 2" xfId="42904" xr:uid="{3FAF3210-BC78-490D-B1D4-E3B49F1EEDE6}"/>
    <cellStyle name="Normal 5 4 5 2 2 3" xfId="34457" xr:uid="{CD6B6F04-1992-4596-BA9C-2DF48D4CD594}"/>
    <cellStyle name="Normal 5 4 5 2 2 4" xfId="26009" xr:uid="{0F679175-D652-4EC1-AF2B-26DF52A5A971}"/>
    <cellStyle name="Normal 5 4 5 2 2 5" xfId="16712" xr:uid="{E365CE07-B09E-4D7F-9781-C8BDCDE2FF86}"/>
    <cellStyle name="Normal 5 4 5 2 3" xfId="38687" xr:uid="{9C6F4242-A600-42EC-B869-1CFCE94BD96A}"/>
    <cellStyle name="Normal 5 4 5 2 4" xfId="30239" xr:uid="{21392D4F-CD4F-4956-AB53-985974734E68}"/>
    <cellStyle name="Normal 5 4 5 2 5" xfId="21792" xr:uid="{6F34B286-7538-4494-BF84-17683EE0832B}"/>
    <cellStyle name="Normal 5 4 5 2 6" xfId="12495" xr:uid="{D05C63FF-A16F-4BA9-9556-FA9FCE1529C4}"/>
    <cellStyle name="Normal 5 4 5 3" xfId="5241" xr:uid="{00000000-0005-0000-0000-00003D1B0000}"/>
    <cellStyle name="Normal 5 4 5 3 2" xfId="40759" xr:uid="{8AF4EF8B-9691-48B2-A44A-7A87FC568E39}"/>
    <cellStyle name="Normal 5 4 5 3 3" xfId="32312" xr:uid="{E0308DE0-0BD4-476E-B40A-D6765F1631B2}"/>
    <cellStyle name="Normal 5 4 5 3 4" xfId="23864" xr:uid="{6F16708E-0784-4728-BB7C-77E0852FEE36}"/>
    <cellStyle name="Normal 5 4 5 3 5" xfId="14567" xr:uid="{5D0FBA62-B414-4BCC-939E-C0BCFD287D53}"/>
    <cellStyle name="Normal 5 4 5 4" xfId="9197" xr:uid="{44FF0EFB-444B-4C40-B695-8C256ADB5563}"/>
    <cellStyle name="Normal 5 4 5 4 2" xfId="36542" xr:uid="{05FFAAAC-D75D-4C8B-9FA5-507EAC4E50DA}"/>
    <cellStyle name="Normal 5 4 5 4 3" xfId="18511" xr:uid="{19977390-7703-4262-AC5F-2305C65D4674}"/>
    <cellStyle name="Normal 5 4 5 5" xfId="28094" xr:uid="{DECAEC5A-991B-4BCE-94B1-F103154FA68D}"/>
    <cellStyle name="Normal 5 4 5 6" xfId="19647" xr:uid="{0E2AC21A-72A7-4BC4-B22D-E40B5867C155}"/>
    <cellStyle name="Normal 5 4 5 7" xfId="10350" xr:uid="{5EC8A422-303A-4AC4-80C8-6545AE20095F}"/>
    <cellStyle name="Normal 5 4 6" xfId="1347" xr:uid="{00000000-0005-0000-0000-00003E1B0000}"/>
    <cellStyle name="Normal 5 4 6 2" xfId="3577" xr:uid="{00000000-0005-0000-0000-00003F1B0000}"/>
    <cellStyle name="Normal 5 4 6 2 2" xfId="7799" xr:uid="{00000000-0005-0000-0000-0000401B0000}"/>
    <cellStyle name="Normal 5 4 6 2 2 2" xfId="43317" xr:uid="{71EF390C-15B8-4AA1-81BF-90BC3469E742}"/>
    <cellStyle name="Normal 5 4 6 2 2 3" xfId="34870" xr:uid="{28EF1A46-9528-4CB5-BF1E-53616B15C176}"/>
    <cellStyle name="Normal 5 4 6 2 2 4" xfId="26422" xr:uid="{207EE49A-A463-4AB5-99FC-A35D73857EA9}"/>
    <cellStyle name="Normal 5 4 6 2 2 5" xfId="17125" xr:uid="{E1DB9AFD-505C-4BF0-AD81-B8F60F45A086}"/>
    <cellStyle name="Normal 5 4 6 2 3" xfId="39100" xr:uid="{72788030-21DC-4388-A8D3-AEEA665B6FC2}"/>
    <cellStyle name="Normal 5 4 6 2 4" xfId="30652" xr:uid="{ADF012F4-4DB7-48BC-A994-18B8FDC75335}"/>
    <cellStyle name="Normal 5 4 6 2 5" xfId="22205" xr:uid="{B248E862-EC92-4C8E-B872-74AD8DD125AA}"/>
    <cellStyle name="Normal 5 4 6 2 6" xfId="12908" xr:uid="{3D989A19-067F-45E4-A868-66D0DFA22CB1}"/>
    <cellStyle name="Normal 5 4 6 3" xfId="5654" xr:uid="{00000000-0005-0000-0000-0000411B0000}"/>
    <cellStyle name="Normal 5 4 6 3 2" xfId="41172" xr:uid="{6F72997F-795D-4D7F-A2A3-98022A9230B5}"/>
    <cellStyle name="Normal 5 4 6 3 3" xfId="32725" xr:uid="{1953EE23-B9A6-47FD-921C-429DEAFA439A}"/>
    <cellStyle name="Normal 5 4 6 3 4" xfId="24277" xr:uid="{84AA491E-0146-45E2-8CCC-97A1AC789BFB}"/>
    <cellStyle name="Normal 5 4 6 3 5" xfId="14980" xr:uid="{15FDF949-DF80-4238-A2F3-FED5D85E054E}"/>
    <cellStyle name="Normal 5 4 6 4" xfId="36955" xr:uid="{496FBEAA-6C70-4B16-9706-470A82563A63}"/>
    <cellStyle name="Normal 5 4 6 5" xfId="28507" xr:uid="{4FB2AD98-6258-4DA0-99C5-2523958684AB}"/>
    <cellStyle name="Normal 5 4 6 6" xfId="20060" xr:uid="{3A76AC9E-3D50-4D03-B4DE-9CA13C756053}"/>
    <cellStyle name="Normal 5 4 6 7" xfId="10763" xr:uid="{5A002532-05AD-4A83-9B24-4B01B4CD707E}"/>
    <cellStyle name="Normal 5 4 7" xfId="1760" xr:uid="{00000000-0005-0000-0000-0000421B0000}"/>
    <cellStyle name="Normal 5 4 7 2" xfId="3990" xr:uid="{00000000-0005-0000-0000-0000431B0000}"/>
    <cellStyle name="Normal 5 4 7 2 2" xfId="8212" xr:uid="{00000000-0005-0000-0000-0000441B0000}"/>
    <cellStyle name="Normal 5 4 7 2 2 2" xfId="43730" xr:uid="{5D919852-BF44-4014-B0A7-CA9BB6724EAF}"/>
    <cellStyle name="Normal 5 4 7 2 2 3" xfId="35283" xr:uid="{FD621C3A-7B4F-44F8-8A3E-A4B6E6DA045F}"/>
    <cellStyle name="Normal 5 4 7 2 2 4" xfId="26835" xr:uid="{A8549590-9B27-4C6B-932E-23A9A60A9768}"/>
    <cellStyle name="Normal 5 4 7 2 2 5" xfId="17538" xr:uid="{5541C2A8-48A3-4A00-9E42-2A2675297044}"/>
    <cellStyle name="Normal 5 4 7 2 3" xfId="39513" xr:uid="{D81F57A8-68F1-4AE9-BCAF-0AC317282182}"/>
    <cellStyle name="Normal 5 4 7 2 4" xfId="31065" xr:uid="{D143E7A9-2C63-40A7-BD54-14573F4A708B}"/>
    <cellStyle name="Normal 5 4 7 2 5" xfId="22618" xr:uid="{5C4B0213-6AC0-442B-8D9A-B88910B8134D}"/>
    <cellStyle name="Normal 5 4 7 2 6" xfId="13321" xr:uid="{4775EB76-C19D-465D-BEDA-74096EFE5543}"/>
    <cellStyle name="Normal 5 4 7 3" xfId="6067" xr:uid="{00000000-0005-0000-0000-0000451B0000}"/>
    <cellStyle name="Normal 5 4 7 3 2" xfId="41585" xr:uid="{32A15ECD-F1EA-4376-9CEF-E0EF0A306572}"/>
    <cellStyle name="Normal 5 4 7 3 3" xfId="33138" xr:uid="{6AB4F62C-2599-4F5F-9F9E-35C89344C3EE}"/>
    <cellStyle name="Normal 5 4 7 3 4" xfId="24690" xr:uid="{F790CBF7-5F43-4AAB-ADA3-D04AADBD5F9E}"/>
    <cellStyle name="Normal 5 4 7 3 5" xfId="15393" xr:uid="{A6A92CE3-E658-4885-97A4-08899B3DDC7F}"/>
    <cellStyle name="Normal 5 4 7 4" xfId="37368" xr:uid="{7570BC17-3DC5-4810-869F-2D724DE8CC30}"/>
    <cellStyle name="Normal 5 4 7 5" xfId="28920" xr:uid="{9269E732-2372-4374-8418-905AB7739A5F}"/>
    <cellStyle name="Normal 5 4 7 6" xfId="20473" xr:uid="{A9A0A5BB-8163-41D0-BCB3-F43722FD9104}"/>
    <cellStyle name="Normal 5 4 7 7" xfId="11176" xr:uid="{0C894660-19AB-466E-B184-F7E9ED3934F9}"/>
    <cellStyle name="Normal 5 4 8" xfId="2174" xr:uid="{00000000-0005-0000-0000-0000461B0000}"/>
    <cellStyle name="Normal 5 4 8 2" xfId="4403" xr:uid="{00000000-0005-0000-0000-0000471B0000}"/>
    <cellStyle name="Normal 5 4 8 2 2" xfId="8625" xr:uid="{00000000-0005-0000-0000-0000481B0000}"/>
    <cellStyle name="Normal 5 4 8 2 2 2" xfId="44143" xr:uid="{29A39CDC-DDD5-455E-B784-20C845683987}"/>
    <cellStyle name="Normal 5 4 8 2 2 3" xfId="35696" xr:uid="{C575CC73-55CF-4E2A-96B4-E414D8C1E0AF}"/>
    <cellStyle name="Normal 5 4 8 2 2 4" xfId="27248" xr:uid="{978B2431-2AC1-4D74-B528-2E67AF88AA0F}"/>
    <cellStyle name="Normal 5 4 8 2 2 5" xfId="17951" xr:uid="{99F6C402-D20C-49FA-AC40-E8C301053823}"/>
    <cellStyle name="Normal 5 4 8 2 3" xfId="39926" xr:uid="{6DD1FB20-1A7D-45F7-A1CE-102F42C342E1}"/>
    <cellStyle name="Normal 5 4 8 2 4" xfId="31478" xr:uid="{58B216C6-3793-4967-BE5B-3239F38E1BB8}"/>
    <cellStyle name="Normal 5 4 8 2 5" xfId="23031" xr:uid="{F6376643-57EA-4669-9D38-2459B6A688E6}"/>
    <cellStyle name="Normal 5 4 8 2 6" xfId="13734" xr:uid="{C96F4702-0476-4E28-BDA4-36A50CCD1236}"/>
    <cellStyle name="Normal 5 4 8 3" xfId="6480" xr:uid="{00000000-0005-0000-0000-0000491B0000}"/>
    <cellStyle name="Normal 5 4 8 3 2" xfId="41998" xr:uid="{1861C23F-6149-4032-BAAA-5A46324359E4}"/>
    <cellStyle name="Normal 5 4 8 3 3" xfId="33551" xr:uid="{7CE95FE2-8DD1-4548-BB7C-316FCF9B0074}"/>
    <cellStyle name="Normal 5 4 8 3 4" xfId="25103" xr:uid="{7683B6A8-228C-4B51-A53E-E6CC3FA2D667}"/>
    <cellStyle name="Normal 5 4 8 3 5" xfId="15806" xr:uid="{A1E96630-2831-413E-B149-66A92E0B5532}"/>
    <cellStyle name="Normal 5 4 8 4" xfId="37781" xr:uid="{FF5F2FA4-22A9-46C5-AC58-04E838D349E5}"/>
    <cellStyle name="Normal 5 4 8 5" xfId="29333" xr:uid="{9246985A-49D9-407F-B003-CBE5005A6235}"/>
    <cellStyle name="Normal 5 4 8 6" xfId="20886" xr:uid="{2CDBC293-5C84-454E-8E44-71157C1111E8}"/>
    <cellStyle name="Normal 5 4 8 7" xfId="11589" xr:uid="{F943FC3E-EE8C-480E-B318-80CFA4E0B354}"/>
    <cellStyle name="Normal 5 4 9" xfId="2610" xr:uid="{00000000-0005-0000-0000-00004A1B0000}"/>
    <cellStyle name="Normal 5 4 9 2" xfId="6893" xr:uid="{00000000-0005-0000-0000-00004B1B0000}"/>
    <cellStyle name="Normal 5 4 9 2 2" xfId="42411" xr:uid="{525A9B1D-FC56-4ACF-8463-8E65337A0EF8}"/>
    <cellStyle name="Normal 5 4 9 2 3" xfId="33964" xr:uid="{97ABC4D6-9AAE-4CBA-A114-592C7C78A780}"/>
    <cellStyle name="Normal 5 4 9 2 4" xfId="25516" xr:uid="{EDC1CA2F-210A-481B-892C-7EC6DF5540A7}"/>
    <cellStyle name="Normal 5 4 9 2 5" xfId="16219" xr:uid="{DC1CAFC1-90A4-434B-8E02-A6A5FC405C9F}"/>
    <cellStyle name="Normal 5 4 9 3" xfId="38194" xr:uid="{4893009A-B5A8-4EDB-9F91-706A763AE8C2}"/>
    <cellStyle name="Normal 5 4 9 4" xfId="29746" xr:uid="{085D251E-E680-4625-AD1C-03764F4201AE}"/>
    <cellStyle name="Normal 5 4 9 5" xfId="21299" xr:uid="{2043C0A8-3D5F-4B7F-B83C-11BA1AD44B80}"/>
    <cellStyle name="Normal 5 4 9 6" xfId="12002" xr:uid="{4F776671-DC4D-4724-9038-12B9DFAA0A18}"/>
    <cellStyle name="Normal 5 5" xfId="464" xr:uid="{00000000-0005-0000-0000-00004C1B0000}"/>
    <cellStyle name="Normal 5 5 10" xfId="8826" xr:uid="{5746674A-546A-44BF-97FB-6D298BF3AD61}"/>
    <cellStyle name="Normal 5 5 10 2" xfId="36137" xr:uid="{58DE65D4-21A1-41A5-9A18-1CC401373591}"/>
    <cellStyle name="Normal 5 5 10 3" xfId="18149" xr:uid="{5BBD557A-032E-4B1C-8826-318CFB8C9E4D}"/>
    <cellStyle name="Normal 5 5 11" xfId="27689" xr:uid="{40952358-F5D9-4BF9-A516-1E49C036FDDD}"/>
    <cellStyle name="Normal 5 5 12" xfId="19242" xr:uid="{A6811C14-A686-4435-8D89-30C899FEA1D9}"/>
    <cellStyle name="Normal 5 5 13" xfId="9945" xr:uid="{92D539BA-8C16-4E0B-B6AF-2D413689D480}"/>
    <cellStyle name="Normal 5 5 2" xfId="465" xr:uid="{00000000-0005-0000-0000-00004D1B0000}"/>
    <cellStyle name="Normal 5 5 2 10" xfId="27690" xr:uid="{9AAE6E9C-51BE-4AEA-A64B-6F004A895EC0}"/>
    <cellStyle name="Normal 5 5 2 11" xfId="19243" xr:uid="{FBB845D7-6244-497E-AB24-9348EAECC296}"/>
    <cellStyle name="Normal 5 5 2 12" xfId="9946" xr:uid="{7B01CA5B-56FE-47B1-893E-6390E9E9F82A}"/>
    <cellStyle name="Normal 5 5 2 2" xfId="466" xr:uid="{00000000-0005-0000-0000-00004E1B0000}"/>
    <cellStyle name="Normal 5 5 2 2 10" xfId="19244" xr:uid="{DF665A06-52EE-44EF-99B2-16DA4D5F5017}"/>
    <cellStyle name="Normal 5 5 2 2 11" xfId="9947" xr:uid="{2002CA2C-5ECD-48B3-925C-9BBC5282ECD2}"/>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42914" xr:uid="{A17F05FB-00E2-404B-AE97-5228B95C1CF6}"/>
    <cellStyle name="Normal 5 5 2 2 2 2 2 3" xfId="34467" xr:uid="{623EAB83-4F09-42C1-8058-E39208062769}"/>
    <cellStyle name="Normal 5 5 2 2 2 2 2 4" xfId="26019" xr:uid="{B34EA8FA-527D-4780-9977-9E666FBE8A84}"/>
    <cellStyle name="Normal 5 5 2 2 2 2 2 5" xfId="16722" xr:uid="{3A9495B1-FAE3-45CD-96DE-339E4AB27293}"/>
    <cellStyle name="Normal 5 5 2 2 2 2 3" xfId="38697" xr:uid="{B897731A-C9D5-4679-97C3-79D46F9E5422}"/>
    <cellStyle name="Normal 5 5 2 2 2 2 4" xfId="30249" xr:uid="{291DDD16-ACE7-4B7F-9454-768EAA6F22DC}"/>
    <cellStyle name="Normal 5 5 2 2 2 2 5" xfId="21802" xr:uid="{0E9966B6-1560-4A52-BD8F-BC4086F38ED9}"/>
    <cellStyle name="Normal 5 5 2 2 2 2 6" xfId="12505" xr:uid="{E61EBFB7-BE46-4DF2-AB3D-ADAE064801FA}"/>
    <cellStyle name="Normal 5 5 2 2 2 3" xfId="5251" xr:uid="{00000000-0005-0000-0000-0000521B0000}"/>
    <cellStyle name="Normal 5 5 2 2 2 3 2" xfId="40769" xr:uid="{52568C42-A2DF-4784-A499-102946C1F557}"/>
    <cellStyle name="Normal 5 5 2 2 2 3 3" xfId="32322" xr:uid="{2FC73B21-BA32-499C-8BCE-FB9C7CA1C7B9}"/>
    <cellStyle name="Normal 5 5 2 2 2 3 4" xfId="23874" xr:uid="{3B79B38B-BD31-4F49-BA80-3CEC8B8E34D4}"/>
    <cellStyle name="Normal 5 5 2 2 2 3 5" xfId="14577" xr:uid="{B9F9C1B6-71EB-4433-9D6E-5E993A0048A9}"/>
    <cellStyle name="Normal 5 5 2 2 2 4" xfId="9561" xr:uid="{FF1EB4DD-E23E-4228-816B-D59B021F724D}"/>
    <cellStyle name="Normal 5 5 2 2 2 4 2" xfId="36552" xr:uid="{54FDD62E-2C24-4E75-B809-62BAC0C3A578}"/>
    <cellStyle name="Normal 5 5 2 2 2 4 3" xfId="18874" xr:uid="{6750F368-D8F6-4216-ACFF-7895313AFEAF}"/>
    <cellStyle name="Normal 5 5 2 2 2 5" xfId="28104" xr:uid="{95755E0B-55C7-4B07-98B9-0BDC0627AEEC}"/>
    <cellStyle name="Normal 5 5 2 2 2 6" xfId="19657" xr:uid="{5ED30533-7208-45D7-90C1-029F05FF1D37}"/>
    <cellStyle name="Normal 5 5 2 2 2 7" xfId="10360" xr:uid="{C9834F33-55CA-4E13-8498-F672CE164D8E}"/>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43327" xr:uid="{96AC5720-BC33-4B54-A45B-0C49D298F405}"/>
    <cellStyle name="Normal 5 5 2 2 3 2 2 3" xfId="34880" xr:uid="{48305CFA-D14B-4F14-9AB2-3ADE8AEC5973}"/>
    <cellStyle name="Normal 5 5 2 2 3 2 2 4" xfId="26432" xr:uid="{2DE467AD-748A-4321-992A-9354ED621FBB}"/>
    <cellStyle name="Normal 5 5 2 2 3 2 2 5" xfId="17135" xr:uid="{596E7C88-21A6-4502-B0FA-9177494C4DA8}"/>
    <cellStyle name="Normal 5 5 2 2 3 2 3" xfId="39110" xr:uid="{B088BA6F-1025-49B2-9A37-5E92B794E3FA}"/>
    <cellStyle name="Normal 5 5 2 2 3 2 4" xfId="30662" xr:uid="{867044BE-F5E7-4A90-A981-A4EEAFDF8598}"/>
    <cellStyle name="Normal 5 5 2 2 3 2 5" xfId="22215" xr:uid="{BB8274CF-B522-4867-A489-39D3EE389136}"/>
    <cellStyle name="Normal 5 5 2 2 3 2 6" xfId="12918" xr:uid="{41BA0F3E-1081-487F-8CB0-5C1FADFAC407}"/>
    <cellStyle name="Normal 5 5 2 2 3 3" xfId="5664" xr:uid="{00000000-0005-0000-0000-0000561B0000}"/>
    <cellStyle name="Normal 5 5 2 2 3 3 2" xfId="41182" xr:uid="{43B2E637-99C5-4344-BE8E-1EAF997166BC}"/>
    <cellStyle name="Normal 5 5 2 2 3 3 3" xfId="32735" xr:uid="{7E413100-DC03-4F54-B9A1-BEFF9B755A74}"/>
    <cellStyle name="Normal 5 5 2 2 3 3 4" xfId="24287" xr:uid="{ECE30104-30A5-46FC-86F4-09E6F57434E0}"/>
    <cellStyle name="Normal 5 5 2 2 3 3 5" xfId="14990" xr:uid="{DD433D90-0685-4967-9183-AD2D265A68E6}"/>
    <cellStyle name="Normal 5 5 2 2 3 4" xfId="36965" xr:uid="{6E6BC182-6FBB-4F38-95BF-8D77E5D7DE49}"/>
    <cellStyle name="Normal 5 5 2 2 3 5" xfId="28517" xr:uid="{6247A29F-0381-4ADC-8906-3EC462FF124D}"/>
    <cellStyle name="Normal 5 5 2 2 3 6" xfId="20070" xr:uid="{AB7FD48A-9DA7-4AC7-9D72-13B811BF3C29}"/>
    <cellStyle name="Normal 5 5 2 2 3 7" xfId="10773" xr:uid="{2275C3D5-CDB0-4845-8732-A73086B263CB}"/>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43740" xr:uid="{057E61FB-D4CB-486F-8E11-FDA4B4BACCFB}"/>
    <cellStyle name="Normal 5 5 2 2 4 2 2 3" xfId="35293" xr:uid="{E8C4466B-8343-4307-B154-696DAE5681DA}"/>
    <cellStyle name="Normal 5 5 2 2 4 2 2 4" xfId="26845" xr:uid="{A4CA8DC8-D279-4124-A031-73A7B4199719}"/>
    <cellStyle name="Normal 5 5 2 2 4 2 2 5" xfId="17548" xr:uid="{6B2BA740-545D-4666-9E6D-73FDAA7B5776}"/>
    <cellStyle name="Normal 5 5 2 2 4 2 3" xfId="39523" xr:uid="{FFCA4798-5939-49EF-A64D-66A0BD12F2AE}"/>
    <cellStyle name="Normal 5 5 2 2 4 2 4" xfId="31075" xr:uid="{05953A71-A5D9-48B9-AF40-C4F31FD3F293}"/>
    <cellStyle name="Normal 5 5 2 2 4 2 5" xfId="22628" xr:uid="{79F5149E-D2F1-48C9-B7F0-F2A6EA02A1B4}"/>
    <cellStyle name="Normal 5 5 2 2 4 2 6" xfId="13331" xr:uid="{6760CBFB-A79E-423D-B873-7B0F4DF10FEC}"/>
    <cellStyle name="Normal 5 5 2 2 4 3" xfId="6077" xr:uid="{00000000-0005-0000-0000-00005A1B0000}"/>
    <cellStyle name="Normal 5 5 2 2 4 3 2" xfId="41595" xr:uid="{61B859DE-81BE-4672-A76B-01BBA051DAEE}"/>
    <cellStyle name="Normal 5 5 2 2 4 3 3" xfId="33148" xr:uid="{E515A925-62BA-4E23-9037-32E71E6A16B1}"/>
    <cellStyle name="Normal 5 5 2 2 4 3 4" xfId="24700" xr:uid="{D4EC6FFD-C3EE-4DBE-BCFF-F3546479A386}"/>
    <cellStyle name="Normal 5 5 2 2 4 3 5" xfId="15403" xr:uid="{D390EDB0-D692-4F8E-AA8E-EDC682E55BC7}"/>
    <cellStyle name="Normal 5 5 2 2 4 4" xfId="37378" xr:uid="{1D948AE4-3F3C-4745-85C1-67D0FBC3FC57}"/>
    <cellStyle name="Normal 5 5 2 2 4 5" xfId="28930" xr:uid="{862BF1B3-1117-4379-A47E-CC72B60EA324}"/>
    <cellStyle name="Normal 5 5 2 2 4 6" xfId="20483" xr:uid="{53C3D9E8-D7F1-4702-84C5-7B9B93264FC7}"/>
    <cellStyle name="Normal 5 5 2 2 4 7" xfId="11186" xr:uid="{A84D0AFC-1E2B-4971-8B52-D1214EE61D5F}"/>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44153" xr:uid="{ECC833B0-25EF-4C02-B5A9-6F26050CF323}"/>
    <cellStyle name="Normal 5 5 2 2 5 2 2 3" xfId="35706" xr:uid="{D46ED1CF-CD39-4BF9-AC87-EB67DFF77940}"/>
    <cellStyle name="Normal 5 5 2 2 5 2 2 4" xfId="27258" xr:uid="{ACDF55AD-6D3C-4806-958E-E9FCB42BAC76}"/>
    <cellStyle name="Normal 5 5 2 2 5 2 2 5" xfId="17961" xr:uid="{1BC56B80-E7D8-464F-B528-4673D9B40896}"/>
    <cellStyle name="Normal 5 5 2 2 5 2 3" xfId="39936" xr:uid="{D30CC938-140C-4F35-91A5-512B4BB23F64}"/>
    <cellStyle name="Normal 5 5 2 2 5 2 4" xfId="31488" xr:uid="{272A9C86-574A-49C6-BB6B-AF0316683F69}"/>
    <cellStyle name="Normal 5 5 2 2 5 2 5" xfId="23041" xr:uid="{F1FC4E9E-2879-415F-B52C-52354AB22906}"/>
    <cellStyle name="Normal 5 5 2 2 5 2 6" xfId="13744" xr:uid="{ACEA69A5-3AC9-4BA1-90F5-DDD64B7839A5}"/>
    <cellStyle name="Normal 5 5 2 2 5 3" xfId="6490" xr:uid="{00000000-0005-0000-0000-00005E1B0000}"/>
    <cellStyle name="Normal 5 5 2 2 5 3 2" xfId="42008" xr:uid="{0EB71530-8A8A-4082-B8B6-44C63EA9AF5E}"/>
    <cellStyle name="Normal 5 5 2 2 5 3 3" xfId="33561" xr:uid="{139F7071-33F0-433D-B1CD-532969C03385}"/>
    <cellStyle name="Normal 5 5 2 2 5 3 4" xfId="25113" xr:uid="{6FCD994A-E0F8-4B70-90C4-323A958479FD}"/>
    <cellStyle name="Normal 5 5 2 2 5 3 5" xfId="15816" xr:uid="{64862C5E-BF7D-4F04-B4B8-2AF0BB23FE12}"/>
    <cellStyle name="Normal 5 5 2 2 5 4" xfId="37791" xr:uid="{9041B2BE-DE7C-4E36-9897-1BFB571A78A8}"/>
    <cellStyle name="Normal 5 5 2 2 5 5" xfId="29343" xr:uid="{1A12872C-9EC6-4A8F-87F8-EE7EB65C5A2A}"/>
    <cellStyle name="Normal 5 5 2 2 5 6" xfId="20896" xr:uid="{85519C52-128C-4229-9508-BBF43B10245F}"/>
    <cellStyle name="Normal 5 5 2 2 5 7" xfId="11599" xr:uid="{D9819DF6-314D-4642-BD9A-D70DC357FD81}"/>
    <cellStyle name="Normal 5 5 2 2 6" xfId="2620" xr:uid="{00000000-0005-0000-0000-00005F1B0000}"/>
    <cellStyle name="Normal 5 5 2 2 6 2" xfId="6903" xr:uid="{00000000-0005-0000-0000-0000601B0000}"/>
    <cellStyle name="Normal 5 5 2 2 6 2 2" xfId="42421" xr:uid="{FAB3D950-D8E9-43E3-B909-BE3D1D36E0AD}"/>
    <cellStyle name="Normal 5 5 2 2 6 2 3" xfId="33974" xr:uid="{F1A75421-4B6C-4A42-A60E-5E75D1FB6456}"/>
    <cellStyle name="Normal 5 5 2 2 6 2 4" xfId="25526" xr:uid="{7B1AC8FB-A8D2-48D6-BDE9-6D7939254A79}"/>
    <cellStyle name="Normal 5 5 2 2 6 2 5" xfId="16229" xr:uid="{A9456086-98DD-4376-8771-DA3B36EAC198}"/>
    <cellStyle name="Normal 5 5 2 2 6 3" xfId="38204" xr:uid="{FFCC4801-28B0-46D2-8F5A-EEE3FB10CC27}"/>
    <cellStyle name="Normal 5 5 2 2 6 4" xfId="29756" xr:uid="{84395817-201B-45DA-BDC6-3C095C77D3CF}"/>
    <cellStyle name="Normal 5 5 2 2 6 5" xfId="21309" xr:uid="{AE416E63-6B52-4E18-AA42-FA956835E730}"/>
    <cellStyle name="Normal 5 5 2 2 6 6" xfId="12012" xr:uid="{DB6FC1D2-4B30-4903-AA0F-55CC63CF727E}"/>
    <cellStyle name="Normal 5 5 2 2 7" xfId="4838" xr:uid="{00000000-0005-0000-0000-0000611B0000}"/>
    <cellStyle name="Normal 5 5 2 2 7 2" xfId="40356" xr:uid="{0654C374-22DE-48D9-B679-9A870B98E715}"/>
    <cellStyle name="Normal 5 5 2 2 7 3" xfId="31909" xr:uid="{D5E6379A-67AB-4B9B-AA19-8F16528BE68B}"/>
    <cellStyle name="Normal 5 5 2 2 7 4" xfId="23461" xr:uid="{5ACB6A32-7634-498B-9090-7AF0AE34A608}"/>
    <cellStyle name="Normal 5 5 2 2 7 5" xfId="14164" xr:uid="{114B6D2C-D4C7-4E2D-9E80-0D591158DE03}"/>
    <cellStyle name="Normal 5 5 2 2 8" xfId="9136" xr:uid="{D41453B5-3BE6-4F01-B336-45A274529844}"/>
    <cellStyle name="Normal 5 5 2 2 8 2" xfId="36139" xr:uid="{B3F67B63-1761-4E2B-8321-00C35F6AD8E4}"/>
    <cellStyle name="Normal 5 5 2 2 8 3" xfId="18459" xr:uid="{037A178E-823B-4A74-8C9F-7F9C727A5534}"/>
    <cellStyle name="Normal 5 5 2 2 9" xfId="27691" xr:uid="{AF2F8346-0C74-4643-9B9B-9E26129A6034}"/>
    <cellStyle name="Normal 5 5 2 3" xfId="939" xr:uid="{00000000-0005-0000-0000-0000621B0000}"/>
    <cellStyle name="Normal 5 5 2 3 2" xfId="3173" xr:uid="{00000000-0005-0000-0000-0000631B0000}"/>
    <cellStyle name="Normal 5 5 2 3 2 2" xfId="7395" xr:uid="{00000000-0005-0000-0000-0000641B0000}"/>
    <cellStyle name="Normal 5 5 2 3 2 2 2" xfId="42913" xr:uid="{6FDC3C8C-44F2-4C1B-A284-0260FC816B85}"/>
    <cellStyle name="Normal 5 5 2 3 2 2 3" xfId="34466" xr:uid="{236641DA-0194-4E03-B48F-A802F1B3272F}"/>
    <cellStyle name="Normal 5 5 2 3 2 2 4" xfId="26018" xr:uid="{2B7C0BC2-1377-4FF9-B834-1B9CC6D1A247}"/>
    <cellStyle name="Normal 5 5 2 3 2 2 5" xfId="16721" xr:uid="{F69ABA3B-50AC-43C9-B99A-4571F979DABF}"/>
    <cellStyle name="Normal 5 5 2 3 2 3" xfId="38696" xr:uid="{45A30558-F24B-4EF3-B583-978DBCB9A57A}"/>
    <cellStyle name="Normal 5 5 2 3 2 4" xfId="30248" xr:uid="{3A9CD22C-2AE4-4701-95BD-9B1140772521}"/>
    <cellStyle name="Normal 5 5 2 3 2 5" xfId="21801" xr:uid="{88075D0A-BD4C-440B-9CF1-6BB51BED8416}"/>
    <cellStyle name="Normal 5 5 2 3 2 6" xfId="12504" xr:uid="{8C533C1C-8607-4DFF-93F4-416517AD5304}"/>
    <cellStyle name="Normal 5 5 2 3 3" xfId="5250" xr:uid="{00000000-0005-0000-0000-0000651B0000}"/>
    <cellStyle name="Normal 5 5 2 3 3 2" xfId="40768" xr:uid="{561EED7D-0807-42D5-B826-7771384A02B6}"/>
    <cellStyle name="Normal 5 5 2 3 3 3" xfId="32321" xr:uid="{5D7A5563-95AA-4520-9D73-6B57A07CBC0A}"/>
    <cellStyle name="Normal 5 5 2 3 3 4" xfId="23873" xr:uid="{85831226-1A25-42DB-9E16-4580612E34C6}"/>
    <cellStyle name="Normal 5 5 2 3 3 5" xfId="14576" xr:uid="{37B86C58-27A9-4D27-9A0C-8ED889FC2398}"/>
    <cellStyle name="Normal 5 5 2 3 4" xfId="9354" xr:uid="{3251F49D-E700-469D-9840-28045D408641}"/>
    <cellStyle name="Normal 5 5 2 3 4 2" xfId="36551" xr:uid="{209B83A3-158B-4711-AE90-D3638B998314}"/>
    <cellStyle name="Normal 5 5 2 3 4 3" xfId="18667" xr:uid="{8B6F4AD0-C40C-4893-BD63-90B2D074AC60}"/>
    <cellStyle name="Normal 5 5 2 3 5" xfId="28103" xr:uid="{F753A084-E422-4642-BF86-0CFF89A3BA7A}"/>
    <cellStyle name="Normal 5 5 2 3 6" xfId="19656" xr:uid="{58FE36CD-AB9C-4A6D-8074-80F106124C16}"/>
    <cellStyle name="Normal 5 5 2 3 7" xfId="10359" xr:uid="{122EE463-4779-49CB-B07F-32B3F342417B}"/>
    <cellStyle name="Normal 5 5 2 4" xfId="1356" xr:uid="{00000000-0005-0000-0000-0000661B0000}"/>
    <cellStyle name="Normal 5 5 2 4 2" xfId="3586" xr:uid="{00000000-0005-0000-0000-0000671B0000}"/>
    <cellStyle name="Normal 5 5 2 4 2 2" xfId="7808" xr:uid="{00000000-0005-0000-0000-0000681B0000}"/>
    <cellStyle name="Normal 5 5 2 4 2 2 2" xfId="43326" xr:uid="{0A3D5C5F-CF24-40FE-8B22-9EA9B271829B}"/>
    <cellStyle name="Normal 5 5 2 4 2 2 3" xfId="34879" xr:uid="{07D69F76-86A3-492B-9C97-7C51369962B8}"/>
    <cellStyle name="Normal 5 5 2 4 2 2 4" xfId="26431" xr:uid="{2F18A0F8-B4B1-4315-8806-CF2A8B37E3C3}"/>
    <cellStyle name="Normal 5 5 2 4 2 2 5" xfId="17134" xr:uid="{FFD2C472-5F2F-42D1-B67B-646D3D017283}"/>
    <cellStyle name="Normal 5 5 2 4 2 3" xfId="39109" xr:uid="{7F1B6EB9-7958-4C5C-97FC-F8692824CFBB}"/>
    <cellStyle name="Normal 5 5 2 4 2 4" xfId="30661" xr:uid="{AAA6CCDA-4634-41DA-A41F-C6BFADCA709F}"/>
    <cellStyle name="Normal 5 5 2 4 2 5" xfId="22214" xr:uid="{A43E0CA4-61A6-410C-99A8-C8E3CE793148}"/>
    <cellStyle name="Normal 5 5 2 4 2 6" xfId="12917" xr:uid="{94B1ECD0-59D8-4305-AD64-3290006C4929}"/>
    <cellStyle name="Normal 5 5 2 4 3" xfId="5663" xr:uid="{00000000-0005-0000-0000-0000691B0000}"/>
    <cellStyle name="Normal 5 5 2 4 3 2" xfId="41181" xr:uid="{190C5011-D37A-48E1-8143-A36731754D61}"/>
    <cellStyle name="Normal 5 5 2 4 3 3" xfId="32734" xr:uid="{6ACF949C-7062-43B6-9843-19B49DAFCE2D}"/>
    <cellStyle name="Normal 5 5 2 4 3 4" xfId="24286" xr:uid="{F835C324-E10D-4D17-A820-7FBFE9DA70A7}"/>
    <cellStyle name="Normal 5 5 2 4 3 5" xfId="14989" xr:uid="{1249B56A-AC60-423A-B5BB-23E4A4231D9C}"/>
    <cellStyle name="Normal 5 5 2 4 4" xfId="36964" xr:uid="{71C7282B-C541-487C-9F2F-1B29C2F98F33}"/>
    <cellStyle name="Normal 5 5 2 4 5" xfId="28516" xr:uid="{391A13AC-F3BE-4975-9D60-38A74510A34D}"/>
    <cellStyle name="Normal 5 5 2 4 6" xfId="20069" xr:uid="{32441CE8-37E5-43EB-85C5-A3038B70055C}"/>
    <cellStyle name="Normal 5 5 2 4 7" xfId="10772" xr:uid="{DE8D6767-7565-4231-9D9D-930C7A85C5D6}"/>
    <cellStyle name="Normal 5 5 2 5" xfId="1769" xr:uid="{00000000-0005-0000-0000-00006A1B0000}"/>
    <cellStyle name="Normal 5 5 2 5 2" xfId="3999" xr:uid="{00000000-0005-0000-0000-00006B1B0000}"/>
    <cellStyle name="Normal 5 5 2 5 2 2" xfId="8221" xr:uid="{00000000-0005-0000-0000-00006C1B0000}"/>
    <cellStyle name="Normal 5 5 2 5 2 2 2" xfId="43739" xr:uid="{EC53057A-5F3A-44AC-899B-BE99E68ED020}"/>
    <cellStyle name="Normal 5 5 2 5 2 2 3" xfId="35292" xr:uid="{1DE6B8B0-AEF3-4A99-BFE6-5C9EE3F15627}"/>
    <cellStyle name="Normal 5 5 2 5 2 2 4" xfId="26844" xr:uid="{03C38372-AC49-45A6-80B5-A0DACB1756C4}"/>
    <cellStyle name="Normal 5 5 2 5 2 2 5" xfId="17547" xr:uid="{A78D8551-0AED-4DA5-A224-9BD5C5FCED02}"/>
    <cellStyle name="Normal 5 5 2 5 2 3" xfId="39522" xr:uid="{EE359B80-CA71-41A0-93DE-BBD6D0A9A8EF}"/>
    <cellStyle name="Normal 5 5 2 5 2 4" xfId="31074" xr:uid="{AE708C5D-3336-4418-86E6-3D417703FA04}"/>
    <cellStyle name="Normal 5 5 2 5 2 5" xfId="22627" xr:uid="{89DF98D8-3B71-497E-99C4-2428AB5A6885}"/>
    <cellStyle name="Normal 5 5 2 5 2 6" xfId="13330" xr:uid="{BECB7BCD-2478-4232-AC1B-B51D3914E80A}"/>
    <cellStyle name="Normal 5 5 2 5 3" xfId="6076" xr:uid="{00000000-0005-0000-0000-00006D1B0000}"/>
    <cellStyle name="Normal 5 5 2 5 3 2" xfId="41594" xr:uid="{D2B88727-B98C-4D6E-A5EC-273012A5DB82}"/>
    <cellStyle name="Normal 5 5 2 5 3 3" xfId="33147" xr:uid="{E60F8877-E3AB-4A41-90CB-4762485DAA35}"/>
    <cellStyle name="Normal 5 5 2 5 3 4" xfId="24699" xr:uid="{C91B65C2-FCF1-4498-876D-5D3CF8F8BBEA}"/>
    <cellStyle name="Normal 5 5 2 5 3 5" xfId="15402" xr:uid="{1D5D00AB-D3D2-42E6-8726-A66A64B0160A}"/>
    <cellStyle name="Normal 5 5 2 5 4" xfId="37377" xr:uid="{8AFAAE74-7573-492F-A079-79C5EDBEDC17}"/>
    <cellStyle name="Normal 5 5 2 5 5" xfId="28929" xr:uid="{1656F61C-7D9E-4EBC-8F8F-F35312CBA9A1}"/>
    <cellStyle name="Normal 5 5 2 5 6" xfId="20482" xr:uid="{F68E3464-9994-4131-B0EB-2399F273C6B0}"/>
    <cellStyle name="Normal 5 5 2 5 7" xfId="11185" xr:uid="{5910CA8F-A075-4C27-8FEF-2886A6E75E9D}"/>
    <cellStyle name="Normal 5 5 2 6" xfId="2183" xr:uid="{00000000-0005-0000-0000-00006E1B0000}"/>
    <cellStyle name="Normal 5 5 2 6 2" xfId="4412" xr:uid="{00000000-0005-0000-0000-00006F1B0000}"/>
    <cellStyle name="Normal 5 5 2 6 2 2" xfId="8634" xr:uid="{00000000-0005-0000-0000-0000701B0000}"/>
    <cellStyle name="Normal 5 5 2 6 2 2 2" xfId="44152" xr:uid="{A3251CA3-B0DA-4BEC-B425-03B10E04270E}"/>
    <cellStyle name="Normal 5 5 2 6 2 2 3" xfId="35705" xr:uid="{E63E62D6-9C39-4456-9995-D3C2949BAC4A}"/>
    <cellStyle name="Normal 5 5 2 6 2 2 4" xfId="27257" xr:uid="{B34FE873-5564-439C-8E79-A8FF7CEBB38D}"/>
    <cellStyle name="Normal 5 5 2 6 2 2 5" xfId="17960" xr:uid="{12F30482-3A7E-4AF4-AD6E-49BA32D86581}"/>
    <cellStyle name="Normal 5 5 2 6 2 3" xfId="39935" xr:uid="{C7D612D1-F7BC-4131-BB19-5EF5678F1CC2}"/>
    <cellStyle name="Normal 5 5 2 6 2 4" xfId="31487" xr:uid="{E0A7CD67-0729-4923-9FD6-500930F18283}"/>
    <cellStyle name="Normal 5 5 2 6 2 5" xfId="23040" xr:uid="{E68EF8EF-9A05-4608-97AE-365CAEB71B41}"/>
    <cellStyle name="Normal 5 5 2 6 2 6" xfId="13743" xr:uid="{46A6E2F4-A7EE-4A55-BFDB-BE91B9951A67}"/>
    <cellStyle name="Normal 5 5 2 6 3" xfId="6489" xr:uid="{00000000-0005-0000-0000-0000711B0000}"/>
    <cellStyle name="Normal 5 5 2 6 3 2" xfId="42007" xr:uid="{C11FD00E-25C0-447F-BD97-021C8C4126DD}"/>
    <cellStyle name="Normal 5 5 2 6 3 3" xfId="33560" xr:uid="{0FFAD93B-1D13-4B4F-BBEC-8CBAD034301F}"/>
    <cellStyle name="Normal 5 5 2 6 3 4" xfId="25112" xr:uid="{1AE5FF13-210E-4E9B-9213-570ADBA82F41}"/>
    <cellStyle name="Normal 5 5 2 6 3 5" xfId="15815" xr:uid="{C5656101-AC59-41CF-B9A5-07A65C0ECBCE}"/>
    <cellStyle name="Normal 5 5 2 6 4" xfId="37790" xr:uid="{0492CF95-A202-4C63-A89C-0A0FF8B6FC3F}"/>
    <cellStyle name="Normal 5 5 2 6 5" xfId="29342" xr:uid="{D55A4E0A-3F92-4C8E-859B-149D111545F8}"/>
    <cellStyle name="Normal 5 5 2 6 6" xfId="20895" xr:uid="{AAEF2011-EAC9-4770-B88D-1F48DEEDADB6}"/>
    <cellStyle name="Normal 5 5 2 6 7" xfId="11598" xr:uid="{332F0859-4CC9-43A7-A377-2F133FA1FDA7}"/>
    <cellStyle name="Normal 5 5 2 7" xfId="2619" xr:uid="{00000000-0005-0000-0000-0000721B0000}"/>
    <cellStyle name="Normal 5 5 2 7 2" xfId="6902" xr:uid="{00000000-0005-0000-0000-0000731B0000}"/>
    <cellStyle name="Normal 5 5 2 7 2 2" xfId="42420" xr:uid="{31B85DBD-B74E-484E-BBEC-580F2BF0216B}"/>
    <cellStyle name="Normal 5 5 2 7 2 3" xfId="33973" xr:uid="{791B08FB-9473-4E19-A8BA-DC29CC9EDB59}"/>
    <cellStyle name="Normal 5 5 2 7 2 4" xfId="25525" xr:uid="{0DF69D69-C8F1-40D1-A3C6-EDB67D222A7E}"/>
    <cellStyle name="Normal 5 5 2 7 2 5" xfId="16228" xr:uid="{E5FDDFB9-485F-45D4-9650-F81BFC6F3582}"/>
    <cellStyle name="Normal 5 5 2 7 3" xfId="38203" xr:uid="{3F92CBDA-6BE8-4CBB-9584-AB741C47CDFA}"/>
    <cellStyle name="Normal 5 5 2 7 4" xfId="29755" xr:uid="{586ABAEC-DE6A-4137-AB13-987C83276463}"/>
    <cellStyle name="Normal 5 5 2 7 5" xfId="21308" xr:uid="{0324B052-7654-40FD-8626-AFC5D47504B7}"/>
    <cellStyle name="Normal 5 5 2 7 6" xfId="12011" xr:uid="{B9B12324-4D33-4A79-B3A2-B3616C5FBBAE}"/>
    <cellStyle name="Normal 5 5 2 8" xfId="4837" xr:uid="{00000000-0005-0000-0000-0000741B0000}"/>
    <cellStyle name="Normal 5 5 2 8 2" xfId="40355" xr:uid="{063E0355-559D-428E-B557-F83044711CF4}"/>
    <cellStyle name="Normal 5 5 2 8 3" xfId="31908" xr:uid="{4B48665B-0797-49B8-9341-9A01D12B2AB9}"/>
    <cellStyle name="Normal 5 5 2 8 4" xfId="23460" xr:uid="{E7486089-846D-4FA9-8BD2-04594F7C4759}"/>
    <cellStyle name="Normal 5 5 2 8 5" xfId="14163" xr:uid="{572BA5EF-1F3C-4330-A93F-C42FBE45AA27}"/>
    <cellStyle name="Normal 5 5 2 9" xfId="8929" xr:uid="{918246BA-1946-46D4-8BAF-6DC0C4DC8AC3}"/>
    <cellStyle name="Normal 5 5 2 9 2" xfId="36138" xr:uid="{CE31E707-3B10-4F78-9802-A448CA456835}"/>
    <cellStyle name="Normal 5 5 2 9 3" xfId="18252" xr:uid="{82FD8858-09CD-4D19-9591-132750783059}"/>
    <cellStyle name="Normal 5 5 3" xfId="467" xr:uid="{00000000-0005-0000-0000-0000751B0000}"/>
    <cellStyle name="Normal 5 5 3 10" xfId="19245" xr:uid="{E5AE1F49-983E-460B-B8D5-FCC06A5200A1}"/>
    <cellStyle name="Normal 5 5 3 11" xfId="9948" xr:uid="{0C2F0746-0850-4E86-8AE0-01A13072D111}"/>
    <cellStyle name="Normal 5 5 3 2" xfId="941" xr:uid="{00000000-0005-0000-0000-0000761B0000}"/>
    <cellStyle name="Normal 5 5 3 2 2" xfId="3175" xr:uid="{00000000-0005-0000-0000-0000771B0000}"/>
    <cellStyle name="Normal 5 5 3 2 2 2" xfId="7397" xr:uid="{00000000-0005-0000-0000-0000781B0000}"/>
    <cellStyle name="Normal 5 5 3 2 2 2 2" xfId="42915" xr:uid="{06899FB2-D50F-4791-904B-729D341FE8FF}"/>
    <cellStyle name="Normal 5 5 3 2 2 2 3" xfId="34468" xr:uid="{45AB917D-FC1B-42CD-8AB0-01861BF99848}"/>
    <cellStyle name="Normal 5 5 3 2 2 2 4" xfId="26020" xr:uid="{F652DBA1-6669-4312-AF72-B7022C5F656A}"/>
    <cellStyle name="Normal 5 5 3 2 2 2 5" xfId="16723" xr:uid="{3FA9C66A-7F02-4D8B-A906-67967A46EFA3}"/>
    <cellStyle name="Normal 5 5 3 2 2 3" xfId="38698" xr:uid="{09A21526-EBCB-41A9-B49A-5367AA40F71E}"/>
    <cellStyle name="Normal 5 5 3 2 2 4" xfId="30250" xr:uid="{FB056FD2-87FD-49CA-A1CD-C9FB2F108428}"/>
    <cellStyle name="Normal 5 5 3 2 2 5" xfId="21803" xr:uid="{4E9CD9FD-3093-46C2-A52D-E0225AD7410C}"/>
    <cellStyle name="Normal 5 5 3 2 2 6" xfId="12506" xr:uid="{0EECD411-4E5B-48E5-84BD-9E3D0149A670}"/>
    <cellStyle name="Normal 5 5 3 2 3" xfId="5252" xr:uid="{00000000-0005-0000-0000-0000791B0000}"/>
    <cellStyle name="Normal 5 5 3 2 3 2" xfId="40770" xr:uid="{C334E126-090E-4B3A-8568-7D2A69A5AD97}"/>
    <cellStyle name="Normal 5 5 3 2 3 3" xfId="32323" xr:uid="{73A5F9BF-81F0-4D40-98D5-AD244C58EC3A}"/>
    <cellStyle name="Normal 5 5 3 2 3 4" xfId="23875" xr:uid="{D106F84C-B8E1-42C5-B403-DEDD5E121CDE}"/>
    <cellStyle name="Normal 5 5 3 2 3 5" xfId="14578" xr:uid="{9166889F-203D-46FF-90F8-CFE77478DFFF}"/>
    <cellStyle name="Normal 5 5 3 2 4" xfId="9458" xr:uid="{8AD16727-CFBF-4DB5-B58F-04D48E2B564D}"/>
    <cellStyle name="Normal 5 5 3 2 4 2" xfId="36553" xr:uid="{1EC4DEAA-EC14-4FE1-BD6B-926BA5F0102E}"/>
    <cellStyle name="Normal 5 5 3 2 4 3" xfId="18771" xr:uid="{C5279A28-743C-4EE3-BE78-50A8A8394DA0}"/>
    <cellStyle name="Normal 5 5 3 2 5" xfId="28105" xr:uid="{E94233FB-0EB9-428E-98BE-A83044FB9358}"/>
    <cellStyle name="Normal 5 5 3 2 6" xfId="19658" xr:uid="{F8E8656B-A6E9-4932-A528-3BF1A7C379B0}"/>
    <cellStyle name="Normal 5 5 3 2 7" xfId="10361" xr:uid="{03CABDC5-312C-4314-AFF3-B2ED6C0CC22D}"/>
    <cellStyle name="Normal 5 5 3 3" xfId="1358" xr:uid="{00000000-0005-0000-0000-00007A1B0000}"/>
    <cellStyle name="Normal 5 5 3 3 2" xfId="3588" xr:uid="{00000000-0005-0000-0000-00007B1B0000}"/>
    <cellStyle name="Normal 5 5 3 3 2 2" xfId="7810" xr:uid="{00000000-0005-0000-0000-00007C1B0000}"/>
    <cellStyle name="Normal 5 5 3 3 2 2 2" xfId="43328" xr:uid="{7137F834-852C-445F-83CF-B7655A8AF7A7}"/>
    <cellStyle name="Normal 5 5 3 3 2 2 3" xfId="34881" xr:uid="{AA5B8FBA-141D-428E-929F-3903871B6168}"/>
    <cellStyle name="Normal 5 5 3 3 2 2 4" xfId="26433" xr:uid="{8B557057-42AD-4F5E-90C9-45BD0E8A0617}"/>
    <cellStyle name="Normal 5 5 3 3 2 2 5" xfId="17136" xr:uid="{A11E0332-9AC3-42AE-A24E-85DDC929C9BF}"/>
    <cellStyle name="Normal 5 5 3 3 2 3" xfId="39111" xr:uid="{685E5FF9-3A2D-4953-90E4-B004752C715E}"/>
    <cellStyle name="Normal 5 5 3 3 2 4" xfId="30663" xr:uid="{DAD1FB6F-AA79-43C8-835D-4A1094D8823A}"/>
    <cellStyle name="Normal 5 5 3 3 2 5" xfId="22216" xr:uid="{8F53BCF8-3084-4FC9-82C6-342290B078EB}"/>
    <cellStyle name="Normal 5 5 3 3 2 6" xfId="12919" xr:uid="{FD12BC9E-06C4-4B5A-8A31-8AB143435E55}"/>
    <cellStyle name="Normal 5 5 3 3 3" xfId="5665" xr:uid="{00000000-0005-0000-0000-00007D1B0000}"/>
    <cellStyle name="Normal 5 5 3 3 3 2" xfId="41183" xr:uid="{577D1984-6862-46CA-A8B2-C85A1E2139EE}"/>
    <cellStyle name="Normal 5 5 3 3 3 3" xfId="32736" xr:uid="{24A30249-57A9-4490-8F52-EAD3C980CCAD}"/>
    <cellStyle name="Normal 5 5 3 3 3 4" xfId="24288" xr:uid="{4C0B8F76-C37B-482C-A868-CE6F263E9C0D}"/>
    <cellStyle name="Normal 5 5 3 3 3 5" xfId="14991" xr:uid="{5CF60A0A-3490-458E-B562-407D47306DE5}"/>
    <cellStyle name="Normal 5 5 3 3 4" xfId="36966" xr:uid="{BD78086A-3DFC-40B5-AEB6-E3DCA265BFDC}"/>
    <cellStyle name="Normal 5 5 3 3 5" xfId="28518" xr:uid="{D6F3647E-BF60-4BFC-9D85-A8392E9775F1}"/>
    <cellStyle name="Normal 5 5 3 3 6" xfId="20071" xr:uid="{A4E53350-D42E-4EAF-9334-65CDD4C51C91}"/>
    <cellStyle name="Normal 5 5 3 3 7" xfId="10774" xr:uid="{3D7563DF-90F7-46F2-86DA-4B449BE7C4E7}"/>
    <cellStyle name="Normal 5 5 3 4" xfId="1771" xr:uid="{00000000-0005-0000-0000-00007E1B0000}"/>
    <cellStyle name="Normal 5 5 3 4 2" xfId="4001" xr:uid="{00000000-0005-0000-0000-00007F1B0000}"/>
    <cellStyle name="Normal 5 5 3 4 2 2" xfId="8223" xr:uid="{00000000-0005-0000-0000-0000801B0000}"/>
    <cellStyle name="Normal 5 5 3 4 2 2 2" xfId="43741" xr:uid="{FA5103AB-0385-40C7-8A16-3B941BA24126}"/>
    <cellStyle name="Normal 5 5 3 4 2 2 3" xfId="35294" xr:uid="{ED7FEBA6-2056-4E5B-A9A4-61A53EE6DAD4}"/>
    <cellStyle name="Normal 5 5 3 4 2 2 4" xfId="26846" xr:uid="{A381A8C6-75E1-4166-9FAE-ADF64EC15353}"/>
    <cellStyle name="Normal 5 5 3 4 2 2 5" xfId="17549" xr:uid="{415C1EED-750A-431C-8CBF-4C703CEEB2EA}"/>
    <cellStyle name="Normal 5 5 3 4 2 3" xfId="39524" xr:uid="{17E7A5CE-E661-4C98-B312-4874700DD42F}"/>
    <cellStyle name="Normal 5 5 3 4 2 4" xfId="31076" xr:uid="{03706678-400B-4549-BB69-2BDEA35DF2A0}"/>
    <cellStyle name="Normal 5 5 3 4 2 5" xfId="22629" xr:uid="{C7A219CC-F080-4CD6-8863-91FD7A968FB9}"/>
    <cellStyle name="Normal 5 5 3 4 2 6" xfId="13332" xr:uid="{E1EAED7C-26C4-4976-9C29-2C4ABEAAC34A}"/>
    <cellStyle name="Normal 5 5 3 4 3" xfId="6078" xr:uid="{00000000-0005-0000-0000-0000811B0000}"/>
    <cellStyle name="Normal 5 5 3 4 3 2" xfId="41596" xr:uid="{AB72E2BF-BFB5-4AE5-A2C1-F43FF996BC07}"/>
    <cellStyle name="Normal 5 5 3 4 3 3" xfId="33149" xr:uid="{2AA4BD03-7E5A-4E41-8CDD-0D7CE07ADC3C}"/>
    <cellStyle name="Normal 5 5 3 4 3 4" xfId="24701" xr:uid="{968FA5AD-5764-4FA7-B975-78D99B00777B}"/>
    <cellStyle name="Normal 5 5 3 4 3 5" xfId="15404" xr:uid="{CBA4EAAD-BF13-488D-B379-F9B85E117C17}"/>
    <cellStyle name="Normal 5 5 3 4 4" xfId="37379" xr:uid="{B6A46276-775F-48ED-AF32-3EC89AF15646}"/>
    <cellStyle name="Normal 5 5 3 4 5" xfId="28931" xr:uid="{34C18DC5-B1A3-4151-94AF-F16602BF6B50}"/>
    <cellStyle name="Normal 5 5 3 4 6" xfId="20484" xr:uid="{C9DD9ABC-A6C0-4D69-A82C-2676D4F1397C}"/>
    <cellStyle name="Normal 5 5 3 4 7" xfId="11187" xr:uid="{F470FF77-9E26-4FD3-823F-7F87B8CD5BBE}"/>
    <cellStyle name="Normal 5 5 3 5" xfId="2185" xr:uid="{00000000-0005-0000-0000-0000821B0000}"/>
    <cellStyle name="Normal 5 5 3 5 2" xfId="4414" xr:uid="{00000000-0005-0000-0000-0000831B0000}"/>
    <cellStyle name="Normal 5 5 3 5 2 2" xfId="8636" xr:uid="{00000000-0005-0000-0000-0000841B0000}"/>
    <cellStyle name="Normal 5 5 3 5 2 2 2" xfId="44154" xr:uid="{7EE0D2DD-AA70-4347-B3AA-DF8B124FCAF4}"/>
    <cellStyle name="Normal 5 5 3 5 2 2 3" xfId="35707" xr:uid="{247BC3E3-2D7C-4E59-A5FE-F318459FB171}"/>
    <cellStyle name="Normal 5 5 3 5 2 2 4" xfId="27259" xr:uid="{F70EA27A-8D44-4ACD-9DA2-92861DE8B1FC}"/>
    <cellStyle name="Normal 5 5 3 5 2 2 5" xfId="17962" xr:uid="{BD8E2B51-FE24-4080-8CB4-1D0EBC5EBA9C}"/>
    <cellStyle name="Normal 5 5 3 5 2 3" xfId="39937" xr:uid="{BD13CD42-2C9C-4A3B-8EFA-C1EBF93C2DEF}"/>
    <cellStyle name="Normal 5 5 3 5 2 4" xfId="31489" xr:uid="{569C271B-4D16-4528-B957-742C3463C093}"/>
    <cellStyle name="Normal 5 5 3 5 2 5" xfId="23042" xr:uid="{5B1D6621-B6C5-48F1-913F-82AB5CD87547}"/>
    <cellStyle name="Normal 5 5 3 5 2 6" xfId="13745" xr:uid="{F785AC65-D887-4AF6-A6B5-404B852C0355}"/>
    <cellStyle name="Normal 5 5 3 5 3" xfId="6491" xr:uid="{00000000-0005-0000-0000-0000851B0000}"/>
    <cellStyle name="Normal 5 5 3 5 3 2" xfId="42009" xr:uid="{38477B76-037B-4145-93E1-9D1580DF137C}"/>
    <cellStyle name="Normal 5 5 3 5 3 3" xfId="33562" xr:uid="{E9D1C3A6-236E-4971-BF87-AD1E23CD6F12}"/>
    <cellStyle name="Normal 5 5 3 5 3 4" xfId="25114" xr:uid="{9615B20A-F4DB-4EAA-9BD1-670F5FBA5C6D}"/>
    <cellStyle name="Normal 5 5 3 5 3 5" xfId="15817" xr:uid="{1D72C2BC-4A5B-4983-BD29-BED144B4AE18}"/>
    <cellStyle name="Normal 5 5 3 5 4" xfId="37792" xr:uid="{F2DD681D-DB77-4B98-B7F6-C8BC35EECDE2}"/>
    <cellStyle name="Normal 5 5 3 5 5" xfId="29344" xr:uid="{15DC2C44-A856-4EF8-891F-F1C4AFBD007E}"/>
    <cellStyle name="Normal 5 5 3 5 6" xfId="20897" xr:uid="{2F7FD0F7-5A7C-49C8-92B6-1A92917C0E21}"/>
    <cellStyle name="Normal 5 5 3 5 7" xfId="11600" xr:uid="{01BE20FA-C291-4FBC-96F0-7963CB74D037}"/>
    <cellStyle name="Normal 5 5 3 6" xfId="2621" xr:uid="{00000000-0005-0000-0000-0000861B0000}"/>
    <cellStyle name="Normal 5 5 3 6 2" xfId="6904" xr:uid="{00000000-0005-0000-0000-0000871B0000}"/>
    <cellStyle name="Normal 5 5 3 6 2 2" xfId="42422" xr:uid="{95553B8F-1FC3-4F2F-B73C-14538688ADAE}"/>
    <cellStyle name="Normal 5 5 3 6 2 3" xfId="33975" xr:uid="{198239BA-6B0C-4D22-B9E6-F586A381A0AA}"/>
    <cellStyle name="Normal 5 5 3 6 2 4" xfId="25527" xr:uid="{01626DC9-37FA-4754-8129-AFEA9C803431}"/>
    <cellStyle name="Normal 5 5 3 6 2 5" xfId="16230" xr:uid="{0FED471C-1CA2-46FA-ADC9-F8F88BD5C4AE}"/>
    <cellStyle name="Normal 5 5 3 6 3" xfId="38205" xr:uid="{45016186-866A-46B2-B04E-6FB00F2811A3}"/>
    <cellStyle name="Normal 5 5 3 6 4" xfId="29757" xr:uid="{DDA78A20-F085-47D0-9D59-99C9FA600D69}"/>
    <cellStyle name="Normal 5 5 3 6 5" xfId="21310" xr:uid="{B61E50B9-0374-4087-A002-BBE695E44865}"/>
    <cellStyle name="Normal 5 5 3 6 6" xfId="12013" xr:uid="{DF7A80A7-9355-4285-97C6-0785FF1577DF}"/>
    <cellStyle name="Normal 5 5 3 7" xfId="4839" xr:uid="{00000000-0005-0000-0000-0000881B0000}"/>
    <cellStyle name="Normal 5 5 3 7 2" xfId="40357" xr:uid="{D1CC197D-C4F7-4F2D-AF7F-DAFD93F3C29A}"/>
    <cellStyle name="Normal 5 5 3 7 3" xfId="31910" xr:uid="{914F95A0-510C-4F57-BB9D-4959B2A14ABC}"/>
    <cellStyle name="Normal 5 5 3 7 4" xfId="23462" xr:uid="{7F6B1651-E229-43B3-A841-63F0FAAE1437}"/>
    <cellStyle name="Normal 5 5 3 7 5" xfId="14165" xr:uid="{061B1F1D-F865-4B2F-AE61-AFE995C44FC5}"/>
    <cellStyle name="Normal 5 5 3 8" xfId="9033" xr:uid="{08F77EF7-8D03-42D9-B538-FE3582C4B971}"/>
    <cellStyle name="Normal 5 5 3 8 2" xfId="36140" xr:uid="{3AEA3816-3D5C-43FC-8CDD-C622B9D1CDE0}"/>
    <cellStyle name="Normal 5 5 3 8 3" xfId="18356" xr:uid="{8FB0E8B6-71FB-4D12-9D5A-57ACB3578FF8}"/>
    <cellStyle name="Normal 5 5 3 9" xfId="27692" xr:uid="{75B7D320-8179-4214-9A3C-66D7878F81D4}"/>
    <cellStyle name="Normal 5 5 4" xfId="938" xr:uid="{00000000-0005-0000-0000-0000891B0000}"/>
    <cellStyle name="Normal 5 5 4 2" xfId="3172" xr:uid="{00000000-0005-0000-0000-00008A1B0000}"/>
    <cellStyle name="Normal 5 5 4 2 2" xfId="7394" xr:uid="{00000000-0005-0000-0000-00008B1B0000}"/>
    <cellStyle name="Normal 5 5 4 2 2 2" xfId="42912" xr:uid="{0BA35AE3-519C-4D18-8AF9-1D97998C8660}"/>
    <cellStyle name="Normal 5 5 4 2 2 3" xfId="34465" xr:uid="{FED820CD-AC30-437A-A284-AE09C00ADB53}"/>
    <cellStyle name="Normal 5 5 4 2 2 4" xfId="26017" xr:uid="{C9A858FE-022D-4245-9CFC-939D0437583A}"/>
    <cellStyle name="Normal 5 5 4 2 2 5" xfId="16720" xr:uid="{3426D484-00F4-4790-8212-047F18888C87}"/>
    <cellStyle name="Normal 5 5 4 2 3" xfId="38695" xr:uid="{E25B547F-065D-4E05-A9A2-22C77CED4E0E}"/>
    <cellStyle name="Normal 5 5 4 2 4" xfId="30247" xr:uid="{E3C6A178-3E70-4089-A803-C9BEC599E517}"/>
    <cellStyle name="Normal 5 5 4 2 5" xfId="21800" xr:uid="{C73059E9-F9B8-4B89-BDB8-415A6DAD99D6}"/>
    <cellStyle name="Normal 5 5 4 2 6" xfId="12503" xr:uid="{A26B3B99-2C4B-42BB-BC08-C239A058216D}"/>
    <cellStyle name="Normal 5 5 4 3" xfId="5249" xr:uid="{00000000-0005-0000-0000-00008C1B0000}"/>
    <cellStyle name="Normal 5 5 4 3 2" xfId="40767" xr:uid="{30F4BAFF-A930-467B-8543-99C8569D5CD9}"/>
    <cellStyle name="Normal 5 5 4 3 3" xfId="32320" xr:uid="{406A9591-3CC3-4530-AC0C-65DD1F16D39B}"/>
    <cellStyle name="Normal 5 5 4 3 4" xfId="23872" xr:uid="{A8F620ED-D4C9-4DCB-AE0D-A791F70D7191}"/>
    <cellStyle name="Normal 5 5 4 3 5" xfId="14575" xr:uid="{A8EF2CFC-92E6-47BD-B2FA-3D6ABF9B642F}"/>
    <cellStyle name="Normal 5 5 4 4" xfId="9251" xr:uid="{4EAD9E35-D3C9-46BE-AE4D-29A1C6D5A6F7}"/>
    <cellStyle name="Normal 5 5 4 4 2" xfId="36550" xr:uid="{17B432AC-B3AB-4C1D-9E5C-B6BAFE11E046}"/>
    <cellStyle name="Normal 5 5 4 4 3" xfId="18564" xr:uid="{ED108751-512D-4409-95AB-83FC18E0669F}"/>
    <cellStyle name="Normal 5 5 4 5" xfId="28102" xr:uid="{3F68A8DA-0570-47B6-97F9-1331C32521F1}"/>
    <cellStyle name="Normal 5 5 4 6" xfId="19655" xr:uid="{CAB78BFC-5FA3-4C95-A07D-94C5E9E37530}"/>
    <cellStyle name="Normal 5 5 4 7" xfId="10358" xr:uid="{EC4F661D-8774-4E50-B085-E44BD2A7A39C}"/>
    <cellStyle name="Normal 5 5 5" xfId="1355" xr:uid="{00000000-0005-0000-0000-00008D1B0000}"/>
    <cellStyle name="Normal 5 5 5 2" xfId="3585" xr:uid="{00000000-0005-0000-0000-00008E1B0000}"/>
    <cellStyle name="Normal 5 5 5 2 2" xfId="7807" xr:uid="{00000000-0005-0000-0000-00008F1B0000}"/>
    <cellStyle name="Normal 5 5 5 2 2 2" xfId="43325" xr:uid="{B1BBCE1C-6575-4516-BAB9-B33815C57964}"/>
    <cellStyle name="Normal 5 5 5 2 2 3" xfId="34878" xr:uid="{76F39320-1109-4707-9E50-5091BB887A22}"/>
    <cellStyle name="Normal 5 5 5 2 2 4" xfId="26430" xr:uid="{8F1EC1C6-8027-4BED-AF0F-E7DCBEE4120A}"/>
    <cellStyle name="Normal 5 5 5 2 2 5" xfId="17133" xr:uid="{DD376162-7BA6-4966-A2F0-54B56605D710}"/>
    <cellStyle name="Normal 5 5 5 2 3" xfId="39108" xr:uid="{373085CE-3DF8-4B17-B3E4-D603E927937D}"/>
    <cellStyle name="Normal 5 5 5 2 4" xfId="30660" xr:uid="{0C555178-9C1C-4581-A2E8-473B65C242F0}"/>
    <cellStyle name="Normal 5 5 5 2 5" xfId="22213" xr:uid="{D00C5BA2-3381-4930-9574-3A75F7D48773}"/>
    <cellStyle name="Normal 5 5 5 2 6" xfId="12916" xr:uid="{2753C08F-DCC1-4BD6-AEEF-DFC1BA7214DD}"/>
    <cellStyle name="Normal 5 5 5 3" xfId="5662" xr:uid="{00000000-0005-0000-0000-0000901B0000}"/>
    <cellStyle name="Normal 5 5 5 3 2" xfId="41180" xr:uid="{ECE56D07-3B27-4411-A3A5-7C8E4B73FF0E}"/>
    <cellStyle name="Normal 5 5 5 3 3" xfId="32733" xr:uid="{74C2E72E-95F5-416E-A25B-D700CC279B9B}"/>
    <cellStyle name="Normal 5 5 5 3 4" xfId="24285" xr:uid="{03FEA8FC-41C2-44EC-974B-112681728AD8}"/>
    <cellStyle name="Normal 5 5 5 3 5" xfId="14988" xr:uid="{421D6A0E-9077-4538-8AFF-7EA3D6500E3D}"/>
    <cellStyle name="Normal 5 5 5 4" xfId="36963" xr:uid="{45E249A1-7B0D-44F3-BF8C-F04A15C44847}"/>
    <cellStyle name="Normal 5 5 5 5" xfId="28515" xr:uid="{A4916F2C-00A9-466F-95CF-9B3688BA6B03}"/>
    <cellStyle name="Normal 5 5 5 6" xfId="20068" xr:uid="{FE7BAF75-FED1-4448-A252-2B9CC3619E5A}"/>
    <cellStyle name="Normal 5 5 5 7" xfId="10771" xr:uid="{AFE3190B-5F74-41C4-9082-255087BE7789}"/>
    <cellStyle name="Normal 5 5 6" xfId="1768" xr:uid="{00000000-0005-0000-0000-0000911B0000}"/>
    <cellStyle name="Normal 5 5 6 2" xfId="3998" xr:uid="{00000000-0005-0000-0000-0000921B0000}"/>
    <cellStyle name="Normal 5 5 6 2 2" xfId="8220" xr:uid="{00000000-0005-0000-0000-0000931B0000}"/>
    <cellStyle name="Normal 5 5 6 2 2 2" xfId="43738" xr:uid="{B8FA752C-2720-49F6-B79E-1C2F2E2F441B}"/>
    <cellStyle name="Normal 5 5 6 2 2 3" xfId="35291" xr:uid="{953A92AF-7815-43A9-8705-B35363C9899F}"/>
    <cellStyle name="Normal 5 5 6 2 2 4" xfId="26843" xr:uid="{A2269313-C3E5-48D9-A0E6-1022EAFC77DC}"/>
    <cellStyle name="Normal 5 5 6 2 2 5" xfId="17546" xr:uid="{55ADC6BE-C505-41D4-A126-E06A876F69C1}"/>
    <cellStyle name="Normal 5 5 6 2 3" xfId="39521" xr:uid="{C587A578-9C2B-4624-B469-B4C1F78C5BE2}"/>
    <cellStyle name="Normal 5 5 6 2 4" xfId="31073" xr:uid="{363FACDA-414D-4E8B-A0A2-8552FE53C2AC}"/>
    <cellStyle name="Normal 5 5 6 2 5" xfId="22626" xr:uid="{A2A4B79A-98C4-4D20-93DB-8F33C2B04FED}"/>
    <cellStyle name="Normal 5 5 6 2 6" xfId="13329" xr:uid="{852767A7-D5C3-40F7-8343-C699DA7A7BCE}"/>
    <cellStyle name="Normal 5 5 6 3" xfId="6075" xr:uid="{00000000-0005-0000-0000-0000941B0000}"/>
    <cellStyle name="Normal 5 5 6 3 2" xfId="41593" xr:uid="{2F90E034-5175-4959-8FCE-DC019EE7D8D6}"/>
    <cellStyle name="Normal 5 5 6 3 3" xfId="33146" xr:uid="{2DC9C111-D43F-4150-8490-6C817F4B9E54}"/>
    <cellStyle name="Normal 5 5 6 3 4" xfId="24698" xr:uid="{9D8A61FB-2F88-4F6E-8B66-972EB497D643}"/>
    <cellStyle name="Normal 5 5 6 3 5" xfId="15401" xr:uid="{1B8321A9-546D-4A5C-8F4E-38D8FB172BF9}"/>
    <cellStyle name="Normal 5 5 6 4" xfId="37376" xr:uid="{47B9EEFD-259C-4C5F-9576-D6140AF6C5E5}"/>
    <cellStyle name="Normal 5 5 6 5" xfId="28928" xr:uid="{C8EA6E57-27BA-4355-9AE5-AC8CA0BBA429}"/>
    <cellStyle name="Normal 5 5 6 6" xfId="20481" xr:uid="{A4239C36-D44B-4AD4-BE4D-7A20BD309136}"/>
    <cellStyle name="Normal 5 5 6 7" xfId="11184" xr:uid="{F5F2EBA1-1EFC-4AF4-B869-04AACC09EF9B}"/>
    <cellStyle name="Normal 5 5 7" xfId="2182" xr:uid="{00000000-0005-0000-0000-0000951B0000}"/>
    <cellStyle name="Normal 5 5 7 2" xfId="4411" xr:uid="{00000000-0005-0000-0000-0000961B0000}"/>
    <cellStyle name="Normal 5 5 7 2 2" xfId="8633" xr:uid="{00000000-0005-0000-0000-0000971B0000}"/>
    <cellStyle name="Normal 5 5 7 2 2 2" xfId="44151" xr:uid="{0F097E8E-916E-49B4-B750-AA1B1769719B}"/>
    <cellStyle name="Normal 5 5 7 2 2 3" xfId="35704" xr:uid="{9CEB5CD1-964E-4799-8E60-75C805B9EE1D}"/>
    <cellStyle name="Normal 5 5 7 2 2 4" xfId="27256" xr:uid="{DE45351F-5621-4EDE-A315-B1651290F345}"/>
    <cellStyle name="Normal 5 5 7 2 2 5" xfId="17959" xr:uid="{95D71E58-8502-4405-9359-9B3146EF5760}"/>
    <cellStyle name="Normal 5 5 7 2 3" xfId="39934" xr:uid="{55200352-2A9E-40E8-BA8E-93E5023C66BB}"/>
    <cellStyle name="Normal 5 5 7 2 4" xfId="31486" xr:uid="{9D5F82D1-A5E4-4210-8DE4-477910E84B75}"/>
    <cellStyle name="Normal 5 5 7 2 5" xfId="23039" xr:uid="{313D53AC-4F61-44BA-9FF2-7521881B9A23}"/>
    <cellStyle name="Normal 5 5 7 2 6" xfId="13742" xr:uid="{F00E6477-4CDD-4BA0-9909-CA80860F1679}"/>
    <cellStyle name="Normal 5 5 7 3" xfId="6488" xr:uid="{00000000-0005-0000-0000-0000981B0000}"/>
    <cellStyle name="Normal 5 5 7 3 2" xfId="42006" xr:uid="{612F0D05-8AD9-4139-8581-C8F475DCF09D}"/>
    <cellStyle name="Normal 5 5 7 3 3" xfId="33559" xr:uid="{138463DC-441C-4926-8634-AD28BC383FC0}"/>
    <cellStyle name="Normal 5 5 7 3 4" xfId="25111" xr:uid="{882AD97D-0BA6-44C2-BE83-11ABA63CDBFB}"/>
    <cellStyle name="Normal 5 5 7 3 5" xfId="15814" xr:uid="{7207FC4C-CAA3-43C3-B720-10774120A2BC}"/>
    <cellStyle name="Normal 5 5 7 4" xfId="37789" xr:uid="{F4B5B9AB-CFA9-4B67-B7EB-151039417C6B}"/>
    <cellStyle name="Normal 5 5 7 5" xfId="29341" xr:uid="{B73AE086-955C-4EBA-AADF-C4100B3A20E2}"/>
    <cellStyle name="Normal 5 5 7 6" xfId="20894" xr:uid="{07540943-FC90-4D62-8174-CB329379FA5A}"/>
    <cellStyle name="Normal 5 5 7 7" xfId="11597" xr:uid="{B9C4691F-AA90-46A2-B1C3-578FFCC979A9}"/>
    <cellStyle name="Normal 5 5 8" xfId="2618" xr:uid="{00000000-0005-0000-0000-0000991B0000}"/>
    <cellStyle name="Normal 5 5 8 2" xfId="6901" xr:uid="{00000000-0005-0000-0000-00009A1B0000}"/>
    <cellStyle name="Normal 5 5 8 2 2" xfId="42419" xr:uid="{CE1B69FE-ECE9-4AC4-ADE1-DC2B3FE91B60}"/>
    <cellStyle name="Normal 5 5 8 2 3" xfId="33972" xr:uid="{A2BB56BE-7B73-413E-9FE8-127AB9256AA1}"/>
    <cellStyle name="Normal 5 5 8 2 4" xfId="25524" xr:uid="{45B08516-9C84-4FFA-959F-91A64BCE7FF4}"/>
    <cellStyle name="Normal 5 5 8 2 5" xfId="16227" xr:uid="{DD4F8B31-C383-44A4-83CF-91DC29C9049E}"/>
    <cellStyle name="Normal 5 5 8 3" xfId="38202" xr:uid="{ECB504EB-4BF0-4003-817E-81B7BEC759C7}"/>
    <cellStyle name="Normal 5 5 8 4" xfId="29754" xr:uid="{E1D869F6-0D0A-4B00-B5FA-8C5963A96957}"/>
    <cellStyle name="Normal 5 5 8 5" xfId="21307" xr:uid="{35AB1830-63E5-4FB2-A6F7-B59423FA94D3}"/>
    <cellStyle name="Normal 5 5 8 6" xfId="12010" xr:uid="{9E3DF69D-8718-4308-B71B-E8BEC715480D}"/>
    <cellStyle name="Normal 5 5 9" xfId="4836" xr:uid="{00000000-0005-0000-0000-00009B1B0000}"/>
    <cellStyle name="Normal 5 5 9 2" xfId="40354" xr:uid="{1C68C1A3-6616-447A-9082-B5B9DB232970}"/>
    <cellStyle name="Normal 5 5 9 3" xfId="31907" xr:uid="{4F72AE50-5680-484C-ABDA-5F2F84CC7E01}"/>
    <cellStyle name="Normal 5 5 9 4" xfId="23459" xr:uid="{EF4ED714-D502-43A7-A891-00D0AC8A77FC}"/>
    <cellStyle name="Normal 5 5 9 5" xfId="14162" xr:uid="{1C5A4108-7006-4017-A77F-F8EDAB8A6357}"/>
    <cellStyle name="Normal 5 6" xfId="468" xr:uid="{00000000-0005-0000-0000-00009C1B0000}"/>
    <cellStyle name="Normal 5 6 10" xfId="27693" xr:uid="{EEBD45D2-B198-489B-AD6D-3F0E9C165F74}"/>
    <cellStyle name="Normal 5 6 11" xfId="19246" xr:uid="{1B044575-C8F2-4948-902E-A6F328C16849}"/>
    <cellStyle name="Normal 5 6 12" xfId="9949" xr:uid="{C620F8DF-62E3-4683-963B-413459204C30}"/>
    <cellStyle name="Normal 5 6 2" xfId="469" xr:uid="{00000000-0005-0000-0000-00009D1B0000}"/>
    <cellStyle name="Normal 5 6 2 10" xfId="19247" xr:uid="{821C8BD2-68D4-49CC-9B8B-167A98145474}"/>
    <cellStyle name="Normal 5 6 2 11" xfId="9950" xr:uid="{313082C4-E7E8-4234-BCD8-35E50FDFA84B}"/>
    <cellStyle name="Normal 5 6 2 2" xfId="943" xr:uid="{00000000-0005-0000-0000-00009E1B0000}"/>
    <cellStyle name="Normal 5 6 2 2 2" xfId="3177" xr:uid="{00000000-0005-0000-0000-00009F1B0000}"/>
    <cellStyle name="Normal 5 6 2 2 2 2" xfId="7399" xr:uid="{00000000-0005-0000-0000-0000A01B0000}"/>
    <cellStyle name="Normal 5 6 2 2 2 2 2" xfId="42917" xr:uid="{6F10F84F-A9DD-4683-AE0E-E9ABD37188F6}"/>
    <cellStyle name="Normal 5 6 2 2 2 2 3" xfId="34470" xr:uid="{D1175C89-C7B8-49A4-8CC5-0C364824389D}"/>
    <cellStyle name="Normal 5 6 2 2 2 2 4" xfId="26022" xr:uid="{20ACE457-29D8-4822-AABC-6376E6E2BCA4}"/>
    <cellStyle name="Normal 5 6 2 2 2 2 5" xfId="16725" xr:uid="{8B5686D0-CEBC-4E7C-9980-7DEB0ADFB9DD}"/>
    <cellStyle name="Normal 5 6 2 2 2 3" xfId="38700" xr:uid="{CDA20B4F-7F28-4D63-8E8A-ABC1F30DA102}"/>
    <cellStyle name="Normal 5 6 2 2 2 4" xfId="30252" xr:uid="{0109FFA9-1B72-4AF1-B533-D13F243EC504}"/>
    <cellStyle name="Normal 5 6 2 2 2 5" xfId="21805" xr:uid="{0CA99B44-D603-46EB-A4FD-9AA28E7F810D}"/>
    <cellStyle name="Normal 5 6 2 2 2 6" xfId="12508" xr:uid="{631ABC69-12BD-42A4-8F84-A76DA0B19EFC}"/>
    <cellStyle name="Normal 5 6 2 2 3" xfId="5254" xr:uid="{00000000-0005-0000-0000-0000A11B0000}"/>
    <cellStyle name="Normal 5 6 2 2 3 2" xfId="40772" xr:uid="{B74E76BB-973A-4C12-9789-9D73FC968AC8}"/>
    <cellStyle name="Normal 5 6 2 2 3 3" xfId="32325" xr:uid="{E9E7CFE6-19FA-4D82-B790-2A96BEDB8EC8}"/>
    <cellStyle name="Normal 5 6 2 2 3 4" xfId="23877" xr:uid="{CFD499D5-63D9-4D05-8002-766F492D1D64}"/>
    <cellStyle name="Normal 5 6 2 2 3 5" xfId="14580" xr:uid="{418A5486-1F9B-4238-A648-9F1E61EAF518}"/>
    <cellStyle name="Normal 5 6 2 2 4" xfId="9476" xr:uid="{3B3E6CA1-4D97-4B11-99D5-4F82314AA0E0}"/>
    <cellStyle name="Normal 5 6 2 2 4 2" xfId="36555" xr:uid="{C017F226-9064-4835-BAB9-2A3434D0B7C4}"/>
    <cellStyle name="Normal 5 6 2 2 4 3" xfId="18789" xr:uid="{8A42738F-8F60-4F57-895F-3036E30A8712}"/>
    <cellStyle name="Normal 5 6 2 2 5" xfId="28107" xr:uid="{ED8C4D86-E22D-408E-BC0E-82BFEB0D605A}"/>
    <cellStyle name="Normal 5 6 2 2 6" xfId="19660" xr:uid="{020D8D77-5F82-4986-8961-DA1BDCA142DC}"/>
    <cellStyle name="Normal 5 6 2 2 7" xfId="10363" xr:uid="{310563AC-A76F-4AB1-9C6B-D89E7401851E}"/>
    <cellStyle name="Normal 5 6 2 3" xfId="1360" xr:uid="{00000000-0005-0000-0000-0000A21B0000}"/>
    <cellStyle name="Normal 5 6 2 3 2" xfId="3590" xr:uid="{00000000-0005-0000-0000-0000A31B0000}"/>
    <cellStyle name="Normal 5 6 2 3 2 2" xfId="7812" xr:uid="{00000000-0005-0000-0000-0000A41B0000}"/>
    <cellStyle name="Normal 5 6 2 3 2 2 2" xfId="43330" xr:uid="{BE16C6A8-8F3B-435E-B2A9-AA20317FE64E}"/>
    <cellStyle name="Normal 5 6 2 3 2 2 3" xfId="34883" xr:uid="{C59549EA-07A6-4B54-9339-E3931BE134F8}"/>
    <cellStyle name="Normal 5 6 2 3 2 2 4" xfId="26435" xr:uid="{87E22F59-3C9D-4589-B5F6-8EEF9997E6B4}"/>
    <cellStyle name="Normal 5 6 2 3 2 2 5" xfId="17138" xr:uid="{FD18299F-07FE-4CE9-A48F-FDA9BA4936D9}"/>
    <cellStyle name="Normal 5 6 2 3 2 3" xfId="39113" xr:uid="{8AE50C0F-B022-43E0-B0A6-6E2938365215}"/>
    <cellStyle name="Normal 5 6 2 3 2 4" xfId="30665" xr:uid="{7D7053A5-0F86-4105-B381-6B3E7F2A8CFD}"/>
    <cellStyle name="Normal 5 6 2 3 2 5" xfId="22218" xr:uid="{224A4309-7C96-41CC-8895-1594A6DCAEBC}"/>
    <cellStyle name="Normal 5 6 2 3 2 6" xfId="12921" xr:uid="{085C8E33-F4D3-473E-9D8B-E03C86624FDE}"/>
    <cellStyle name="Normal 5 6 2 3 3" xfId="5667" xr:uid="{00000000-0005-0000-0000-0000A51B0000}"/>
    <cellStyle name="Normal 5 6 2 3 3 2" xfId="41185" xr:uid="{86E446C3-B1E0-4528-8C52-CE90E0D9E6BD}"/>
    <cellStyle name="Normal 5 6 2 3 3 3" xfId="32738" xr:uid="{814D4B7D-4217-4111-B073-E248C3391291}"/>
    <cellStyle name="Normal 5 6 2 3 3 4" xfId="24290" xr:uid="{01C96807-5747-4390-9685-CEBD62A0FB5B}"/>
    <cellStyle name="Normal 5 6 2 3 3 5" xfId="14993" xr:uid="{DF029F21-D3FE-46F3-BDE6-F40B2C4591EF}"/>
    <cellStyle name="Normal 5 6 2 3 4" xfId="36968" xr:uid="{E2339694-A5DB-4B5C-8EEA-9BC982885D2A}"/>
    <cellStyle name="Normal 5 6 2 3 5" xfId="28520" xr:uid="{2FCA9DC4-B82B-4D4B-B0F5-3C564B324CF0}"/>
    <cellStyle name="Normal 5 6 2 3 6" xfId="20073" xr:uid="{CFABF045-59A0-4720-A8F3-349F3641A3EE}"/>
    <cellStyle name="Normal 5 6 2 3 7" xfId="10776" xr:uid="{E49A8B5B-0C8E-4995-8439-C25A52D471C6}"/>
    <cellStyle name="Normal 5 6 2 4" xfId="1773" xr:uid="{00000000-0005-0000-0000-0000A61B0000}"/>
    <cellStyle name="Normal 5 6 2 4 2" xfId="4003" xr:uid="{00000000-0005-0000-0000-0000A71B0000}"/>
    <cellStyle name="Normal 5 6 2 4 2 2" xfId="8225" xr:uid="{00000000-0005-0000-0000-0000A81B0000}"/>
    <cellStyle name="Normal 5 6 2 4 2 2 2" xfId="43743" xr:uid="{076FF418-9E82-46B8-8B7E-59CF002F5E30}"/>
    <cellStyle name="Normal 5 6 2 4 2 2 3" xfId="35296" xr:uid="{5F423614-4963-4BDA-9DD8-A0790673987A}"/>
    <cellStyle name="Normal 5 6 2 4 2 2 4" xfId="26848" xr:uid="{C7B071EF-BC87-4A5F-963D-CB71FD738A13}"/>
    <cellStyle name="Normal 5 6 2 4 2 2 5" xfId="17551" xr:uid="{53C573B9-6642-4DA3-9BE2-D4E9A7BA7078}"/>
    <cellStyle name="Normal 5 6 2 4 2 3" xfId="39526" xr:uid="{5B9BC102-3EC5-463A-B830-C82052AB2979}"/>
    <cellStyle name="Normal 5 6 2 4 2 4" xfId="31078" xr:uid="{6B303624-59E6-4F93-8C85-555A73489A21}"/>
    <cellStyle name="Normal 5 6 2 4 2 5" xfId="22631" xr:uid="{FA64F433-B25F-4369-935B-5CECC545D774}"/>
    <cellStyle name="Normal 5 6 2 4 2 6" xfId="13334" xr:uid="{20EFF173-CBD5-4DF5-923A-06AE7EFA0FE9}"/>
    <cellStyle name="Normal 5 6 2 4 3" xfId="6080" xr:uid="{00000000-0005-0000-0000-0000A91B0000}"/>
    <cellStyle name="Normal 5 6 2 4 3 2" xfId="41598" xr:uid="{B0390B96-21DF-447A-A05D-D45F4ADF467D}"/>
    <cellStyle name="Normal 5 6 2 4 3 3" xfId="33151" xr:uid="{AA328150-F655-4B23-AA78-7266440FE51B}"/>
    <cellStyle name="Normal 5 6 2 4 3 4" xfId="24703" xr:uid="{CB808148-5200-42DF-8DE7-D8E361DE3D5C}"/>
    <cellStyle name="Normal 5 6 2 4 3 5" xfId="15406" xr:uid="{4654B0BC-E5B1-4039-A86F-FA6EC8E2E9B1}"/>
    <cellStyle name="Normal 5 6 2 4 4" xfId="37381" xr:uid="{DE72E934-F8CF-4F14-8BC8-414E6BE39DF5}"/>
    <cellStyle name="Normal 5 6 2 4 5" xfId="28933" xr:uid="{13B097D1-BB64-4FFF-9C1C-85689168E516}"/>
    <cellStyle name="Normal 5 6 2 4 6" xfId="20486" xr:uid="{366FC474-14A4-42A0-8E2F-D59E07A52B64}"/>
    <cellStyle name="Normal 5 6 2 4 7" xfId="11189" xr:uid="{167C2261-A15B-4671-A01B-2537530C9AF1}"/>
    <cellStyle name="Normal 5 6 2 5" xfId="2187" xr:uid="{00000000-0005-0000-0000-0000AA1B0000}"/>
    <cellStyle name="Normal 5 6 2 5 2" xfId="4416" xr:uid="{00000000-0005-0000-0000-0000AB1B0000}"/>
    <cellStyle name="Normal 5 6 2 5 2 2" xfId="8638" xr:uid="{00000000-0005-0000-0000-0000AC1B0000}"/>
    <cellStyle name="Normal 5 6 2 5 2 2 2" xfId="44156" xr:uid="{ACA3A27E-B560-45C5-AB73-F229E9DE15D1}"/>
    <cellStyle name="Normal 5 6 2 5 2 2 3" xfId="35709" xr:uid="{410B204E-074E-433D-8E92-832E8430CD49}"/>
    <cellStyle name="Normal 5 6 2 5 2 2 4" xfId="27261" xr:uid="{770F96EC-7600-401F-B521-5173AC62A944}"/>
    <cellStyle name="Normal 5 6 2 5 2 2 5" xfId="17964" xr:uid="{03D48B0B-B867-4DC8-9104-EF9606A347B2}"/>
    <cellStyle name="Normal 5 6 2 5 2 3" xfId="39939" xr:uid="{8BC5801B-779D-459E-B922-6D19E02DD8D5}"/>
    <cellStyle name="Normal 5 6 2 5 2 4" xfId="31491" xr:uid="{6761B3BA-B6FC-4D52-94A1-707B85C5371C}"/>
    <cellStyle name="Normal 5 6 2 5 2 5" xfId="23044" xr:uid="{9EC5DDF7-9A88-4359-87D5-93C4B648F885}"/>
    <cellStyle name="Normal 5 6 2 5 2 6" xfId="13747" xr:uid="{08D836A0-D2DC-4BD8-A092-EB28CB2F7D67}"/>
    <cellStyle name="Normal 5 6 2 5 3" xfId="6493" xr:uid="{00000000-0005-0000-0000-0000AD1B0000}"/>
    <cellStyle name="Normal 5 6 2 5 3 2" xfId="42011" xr:uid="{AF31D863-6BD6-4D0B-8785-49900DF7A7A9}"/>
    <cellStyle name="Normal 5 6 2 5 3 3" xfId="33564" xr:uid="{8B551157-A680-490D-A33E-2531423D3A93}"/>
    <cellStyle name="Normal 5 6 2 5 3 4" xfId="25116" xr:uid="{C1B4D137-4CFF-4BFA-AFB7-55542CE3C913}"/>
    <cellStyle name="Normal 5 6 2 5 3 5" xfId="15819" xr:uid="{E27BED39-98DC-48D7-8626-415279D589F8}"/>
    <cellStyle name="Normal 5 6 2 5 4" xfId="37794" xr:uid="{2F450759-542E-43CD-84EB-137AA7A8E694}"/>
    <cellStyle name="Normal 5 6 2 5 5" xfId="29346" xr:uid="{CFF5A4BB-F9E9-48FF-8D5A-034013656292}"/>
    <cellStyle name="Normal 5 6 2 5 6" xfId="20899" xr:uid="{71D7B96F-47A7-40F6-8AC3-BDA7FC7F3102}"/>
    <cellStyle name="Normal 5 6 2 5 7" xfId="11602" xr:uid="{BC33A4DD-552D-48BB-B9A0-AB90EEF2F607}"/>
    <cellStyle name="Normal 5 6 2 6" xfId="2623" xr:uid="{00000000-0005-0000-0000-0000AE1B0000}"/>
    <cellStyle name="Normal 5 6 2 6 2" xfId="6906" xr:uid="{00000000-0005-0000-0000-0000AF1B0000}"/>
    <cellStyle name="Normal 5 6 2 6 2 2" xfId="42424" xr:uid="{6EB86F73-0C4C-4942-86DC-2ECD8165756E}"/>
    <cellStyle name="Normal 5 6 2 6 2 3" xfId="33977" xr:uid="{FCE33E5C-DC25-4120-9210-18FDDC06E353}"/>
    <cellStyle name="Normal 5 6 2 6 2 4" xfId="25529" xr:uid="{9D4B5E7C-9CA7-430E-943C-8F3DC90958D1}"/>
    <cellStyle name="Normal 5 6 2 6 2 5" xfId="16232" xr:uid="{0658BBDD-1E9B-4EC3-BBA2-FF743FC19FF9}"/>
    <cellStyle name="Normal 5 6 2 6 3" xfId="38207" xr:uid="{D02EF3CF-5D4D-4C3A-B5ED-9D7D3C8E573C}"/>
    <cellStyle name="Normal 5 6 2 6 4" xfId="29759" xr:uid="{11D5804B-7B65-4F3F-9B6F-D883377254EA}"/>
    <cellStyle name="Normal 5 6 2 6 5" xfId="21312" xr:uid="{90FF7F9D-5BE6-4ADF-8B7B-75C437C147D3}"/>
    <cellStyle name="Normal 5 6 2 6 6" xfId="12015" xr:uid="{3849A321-CAAC-4A4D-B86B-81EB9D0714E5}"/>
    <cellStyle name="Normal 5 6 2 7" xfId="4841" xr:uid="{00000000-0005-0000-0000-0000B01B0000}"/>
    <cellStyle name="Normal 5 6 2 7 2" xfId="40359" xr:uid="{200CC436-9E75-490C-A7E0-5C3A1042962A}"/>
    <cellStyle name="Normal 5 6 2 7 3" xfId="31912" xr:uid="{D8605C6C-97B7-47F4-A913-B3DCA3AF31B6}"/>
    <cellStyle name="Normal 5 6 2 7 4" xfId="23464" xr:uid="{CC048ED8-AAB1-4158-AD51-0DE89187F46C}"/>
    <cellStyle name="Normal 5 6 2 7 5" xfId="14167" xr:uid="{9CF1FC12-81BA-4AEB-AD6D-61DE10890F16}"/>
    <cellStyle name="Normal 5 6 2 8" xfId="9051" xr:uid="{97C72229-9AC1-4DA9-8A0B-8B4B6D970DE8}"/>
    <cellStyle name="Normal 5 6 2 8 2" xfId="36142" xr:uid="{8E4F3617-4982-4410-9377-3C964C4DD39E}"/>
    <cellStyle name="Normal 5 6 2 8 3" xfId="18374" xr:uid="{C4A51B68-1BEA-471D-8CD0-C680650F5395}"/>
    <cellStyle name="Normal 5 6 2 9" xfId="27694" xr:uid="{910E6204-FD5E-4219-BBB3-83F60AA10D23}"/>
    <cellStyle name="Normal 5 6 3" xfId="942" xr:uid="{00000000-0005-0000-0000-0000B11B0000}"/>
    <cellStyle name="Normal 5 6 3 2" xfId="3176" xr:uid="{00000000-0005-0000-0000-0000B21B0000}"/>
    <cellStyle name="Normal 5 6 3 2 2" xfId="7398" xr:uid="{00000000-0005-0000-0000-0000B31B0000}"/>
    <cellStyle name="Normal 5 6 3 2 2 2" xfId="42916" xr:uid="{3942174D-A658-4C05-8DC3-FEB2907303DF}"/>
    <cellStyle name="Normal 5 6 3 2 2 3" xfId="34469" xr:uid="{3192363F-BC7B-436B-BA67-55C74985DFD6}"/>
    <cellStyle name="Normal 5 6 3 2 2 4" xfId="26021" xr:uid="{FB788CB6-2AB4-4F0A-A452-081CB56B29D0}"/>
    <cellStyle name="Normal 5 6 3 2 2 5" xfId="16724" xr:uid="{9843D48A-0E95-43F1-8F81-52053DDA421A}"/>
    <cellStyle name="Normal 5 6 3 2 3" xfId="38699" xr:uid="{9EEA25AD-3E65-4AF8-A30F-BEFED9D2F0D4}"/>
    <cellStyle name="Normal 5 6 3 2 4" xfId="30251" xr:uid="{9092325C-967F-43C6-8A3C-664DC956B5F8}"/>
    <cellStyle name="Normal 5 6 3 2 5" xfId="21804" xr:uid="{66CFF775-D79C-4712-ABB9-EF67D8D84ABF}"/>
    <cellStyle name="Normal 5 6 3 2 6" xfId="12507" xr:uid="{D938E160-E0E4-4FC7-97D0-984F6443F5C7}"/>
    <cellStyle name="Normal 5 6 3 3" xfId="5253" xr:uid="{00000000-0005-0000-0000-0000B41B0000}"/>
    <cellStyle name="Normal 5 6 3 3 2" xfId="40771" xr:uid="{71CCF726-4AEB-44C6-8977-063AF0ED8A24}"/>
    <cellStyle name="Normal 5 6 3 3 3" xfId="32324" xr:uid="{69C0209B-282A-4043-96BD-8C2390F469D0}"/>
    <cellStyle name="Normal 5 6 3 3 4" xfId="23876" xr:uid="{39BCC3F1-7541-4FAE-9C69-BBBF3C712A74}"/>
    <cellStyle name="Normal 5 6 3 3 5" xfId="14579" xr:uid="{428B2F75-2140-448C-91F2-D71DB321A550}"/>
    <cellStyle name="Normal 5 6 3 4" xfId="9269" xr:uid="{7D6728A0-C210-4F3F-8114-143B9AE0BFB4}"/>
    <cellStyle name="Normal 5 6 3 4 2" xfId="36554" xr:uid="{F2884195-65A9-45CC-B838-AAEC738F6DC1}"/>
    <cellStyle name="Normal 5 6 3 4 3" xfId="18582" xr:uid="{3E062B40-85A9-4962-9D4B-593E9A4D947E}"/>
    <cellStyle name="Normal 5 6 3 5" xfId="28106" xr:uid="{CD0A9E8A-F59A-416E-8361-328E80047CED}"/>
    <cellStyle name="Normal 5 6 3 6" xfId="19659" xr:uid="{A72BC1F4-1C3D-44E8-8FCC-D9EF38C1917D}"/>
    <cellStyle name="Normal 5 6 3 7" xfId="10362" xr:uid="{60226D9F-CDDA-469D-97D8-E96C9D2C9102}"/>
    <cellStyle name="Normal 5 6 4" xfId="1359" xr:uid="{00000000-0005-0000-0000-0000B51B0000}"/>
    <cellStyle name="Normal 5 6 4 2" xfId="3589" xr:uid="{00000000-0005-0000-0000-0000B61B0000}"/>
    <cellStyle name="Normal 5 6 4 2 2" xfId="7811" xr:uid="{00000000-0005-0000-0000-0000B71B0000}"/>
    <cellStyle name="Normal 5 6 4 2 2 2" xfId="43329" xr:uid="{56F0E0A7-3923-49F5-93DB-7C448ADAA80D}"/>
    <cellStyle name="Normal 5 6 4 2 2 3" xfId="34882" xr:uid="{546F3438-D47B-4A01-BE16-26BF3E51C8B6}"/>
    <cellStyle name="Normal 5 6 4 2 2 4" xfId="26434" xr:uid="{85D70EDE-4CC5-4B41-BBB6-87CEAD52A4FE}"/>
    <cellStyle name="Normal 5 6 4 2 2 5" xfId="17137" xr:uid="{8A752875-F4E7-4171-AE30-98A283DD9DA3}"/>
    <cellStyle name="Normal 5 6 4 2 3" xfId="39112" xr:uid="{3E86057B-D8D6-4C4A-A460-DB4A1C7031D6}"/>
    <cellStyle name="Normal 5 6 4 2 4" xfId="30664" xr:uid="{6DCE6AD1-76B4-4871-9541-CE85323FE458}"/>
    <cellStyle name="Normal 5 6 4 2 5" xfId="22217" xr:uid="{FA1D4EC3-B124-4F34-BAC9-C9BF48C9D501}"/>
    <cellStyle name="Normal 5 6 4 2 6" xfId="12920" xr:uid="{FA9B503E-98A4-4D96-B0F2-8D3B069A48C1}"/>
    <cellStyle name="Normal 5 6 4 3" xfId="5666" xr:uid="{00000000-0005-0000-0000-0000B81B0000}"/>
    <cellStyle name="Normal 5 6 4 3 2" xfId="41184" xr:uid="{82AE23B4-8688-4277-81FE-56476F7F8213}"/>
    <cellStyle name="Normal 5 6 4 3 3" xfId="32737" xr:uid="{AEAE85BA-80DF-4148-A69D-91AD3CE288A9}"/>
    <cellStyle name="Normal 5 6 4 3 4" xfId="24289" xr:uid="{5BAF04F6-BC9E-4FA2-A370-3EA31528D055}"/>
    <cellStyle name="Normal 5 6 4 3 5" xfId="14992" xr:uid="{51C56939-A6EA-45D2-9FD8-6B438C5B2CA1}"/>
    <cellStyle name="Normal 5 6 4 4" xfId="36967" xr:uid="{C292A0F5-C7CF-4B1D-8652-DFAC9AC81787}"/>
    <cellStyle name="Normal 5 6 4 5" xfId="28519" xr:uid="{095CB58E-1C1F-4D81-9B7B-F364EB4D0E64}"/>
    <cellStyle name="Normal 5 6 4 6" xfId="20072" xr:uid="{7E2F590D-0121-4F05-AB1D-6BB98FFA58AE}"/>
    <cellStyle name="Normal 5 6 4 7" xfId="10775" xr:uid="{B35D4EFB-89C3-4AD4-83B0-0DAD8AB10F2E}"/>
    <cellStyle name="Normal 5 6 5" xfId="1772" xr:uid="{00000000-0005-0000-0000-0000B91B0000}"/>
    <cellStyle name="Normal 5 6 5 2" xfId="4002" xr:uid="{00000000-0005-0000-0000-0000BA1B0000}"/>
    <cellStyle name="Normal 5 6 5 2 2" xfId="8224" xr:uid="{00000000-0005-0000-0000-0000BB1B0000}"/>
    <cellStyle name="Normal 5 6 5 2 2 2" xfId="43742" xr:uid="{DEDE4136-4E6F-49CF-9B4A-8265B9049A54}"/>
    <cellStyle name="Normal 5 6 5 2 2 3" xfId="35295" xr:uid="{FF0FA850-AEBC-462A-BE16-BC99940CA5A7}"/>
    <cellStyle name="Normal 5 6 5 2 2 4" xfId="26847" xr:uid="{BBF56B24-83BA-4DE9-AA3A-2D275A03AACC}"/>
    <cellStyle name="Normal 5 6 5 2 2 5" xfId="17550" xr:uid="{A2D2810C-99FD-42DB-990C-C5EC70154B32}"/>
    <cellStyle name="Normal 5 6 5 2 3" xfId="39525" xr:uid="{D7B033ED-3959-44C4-82B9-2FCB2A3942A6}"/>
    <cellStyle name="Normal 5 6 5 2 4" xfId="31077" xr:uid="{2A076CEC-0698-48AF-9100-888564DF3F80}"/>
    <cellStyle name="Normal 5 6 5 2 5" xfId="22630" xr:uid="{51E7271B-AE14-44CB-9F8C-51ABB602A150}"/>
    <cellStyle name="Normal 5 6 5 2 6" xfId="13333" xr:uid="{B120A0D8-59A5-4D51-965B-9CF7E8E8B1C5}"/>
    <cellStyle name="Normal 5 6 5 3" xfId="6079" xr:uid="{00000000-0005-0000-0000-0000BC1B0000}"/>
    <cellStyle name="Normal 5 6 5 3 2" xfId="41597" xr:uid="{B74F00EC-D3A5-4101-B995-9E71EC848DB7}"/>
    <cellStyle name="Normal 5 6 5 3 3" xfId="33150" xr:uid="{EE7C25EF-A249-4FA4-802F-2F998A244C82}"/>
    <cellStyle name="Normal 5 6 5 3 4" xfId="24702" xr:uid="{7E653B0E-8883-4493-B063-3EA42B51C29F}"/>
    <cellStyle name="Normal 5 6 5 3 5" xfId="15405" xr:uid="{17B8F95E-A894-4709-BE4C-79B8463D2032}"/>
    <cellStyle name="Normal 5 6 5 4" xfId="37380" xr:uid="{C4FC6573-E3B8-458F-BA0A-A932911A5843}"/>
    <cellStyle name="Normal 5 6 5 5" xfId="28932" xr:uid="{9BC75AD4-490C-4430-9302-405321CD0A4E}"/>
    <cellStyle name="Normal 5 6 5 6" xfId="20485" xr:uid="{74D74BA0-F9C6-4493-8372-FB7FAE4444DA}"/>
    <cellStyle name="Normal 5 6 5 7" xfId="11188" xr:uid="{D3CDE9C3-FD26-46E0-B7DA-EC533D849D05}"/>
    <cellStyle name="Normal 5 6 6" xfId="2186" xr:uid="{00000000-0005-0000-0000-0000BD1B0000}"/>
    <cellStyle name="Normal 5 6 6 2" xfId="4415" xr:uid="{00000000-0005-0000-0000-0000BE1B0000}"/>
    <cellStyle name="Normal 5 6 6 2 2" xfId="8637" xr:uid="{00000000-0005-0000-0000-0000BF1B0000}"/>
    <cellStyle name="Normal 5 6 6 2 2 2" xfId="44155" xr:uid="{0DC3266D-C6F3-4777-8CEF-1C1558A9E6CC}"/>
    <cellStyle name="Normal 5 6 6 2 2 3" xfId="35708" xr:uid="{FB825D9F-53EB-44A7-BD1C-0726CF5D5BD5}"/>
    <cellStyle name="Normal 5 6 6 2 2 4" xfId="27260" xr:uid="{5D7FD9CD-DFE1-43BC-82E1-AA86E19955B7}"/>
    <cellStyle name="Normal 5 6 6 2 2 5" xfId="17963" xr:uid="{22782252-74BC-4AEA-A03D-8DF59E40E419}"/>
    <cellStyle name="Normal 5 6 6 2 3" xfId="39938" xr:uid="{AB86796D-CBF0-4986-B3FB-702A007516CD}"/>
    <cellStyle name="Normal 5 6 6 2 4" xfId="31490" xr:uid="{B71EFC0A-3D54-40E1-82DD-DEBE5A69FEA8}"/>
    <cellStyle name="Normal 5 6 6 2 5" xfId="23043" xr:uid="{001C1CDB-AFE8-41B9-9837-9FACFF93C2D2}"/>
    <cellStyle name="Normal 5 6 6 2 6" xfId="13746" xr:uid="{CA990981-E41C-40D4-A367-FFDD94D6463D}"/>
    <cellStyle name="Normal 5 6 6 3" xfId="6492" xr:uid="{00000000-0005-0000-0000-0000C01B0000}"/>
    <cellStyle name="Normal 5 6 6 3 2" xfId="42010" xr:uid="{EB8D397A-A78B-4FE0-BCA2-C515B6330D16}"/>
    <cellStyle name="Normal 5 6 6 3 3" xfId="33563" xr:uid="{D9D7C659-6756-42C7-8C61-6675EF54DE2B}"/>
    <cellStyle name="Normal 5 6 6 3 4" xfId="25115" xr:uid="{74A53D3D-4C9D-40A5-BC81-C05DC74D69F0}"/>
    <cellStyle name="Normal 5 6 6 3 5" xfId="15818" xr:uid="{11139B7C-35F9-479F-AEA6-A6D2F18B57BF}"/>
    <cellStyle name="Normal 5 6 6 4" xfId="37793" xr:uid="{F553A61B-0A15-4811-B6FA-969F6005AF1A}"/>
    <cellStyle name="Normal 5 6 6 5" xfId="29345" xr:uid="{5358D946-8FAD-4BFF-A396-E48C54A314AE}"/>
    <cellStyle name="Normal 5 6 6 6" xfId="20898" xr:uid="{6CD08197-E27A-4DB4-ACD0-791D7C7FB954}"/>
    <cellStyle name="Normal 5 6 6 7" xfId="11601" xr:uid="{90D96130-BE22-45B2-8CB7-619713F55BDB}"/>
    <cellStyle name="Normal 5 6 7" xfId="2622" xr:uid="{00000000-0005-0000-0000-0000C11B0000}"/>
    <cellStyle name="Normal 5 6 7 2" xfId="6905" xr:uid="{00000000-0005-0000-0000-0000C21B0000}"/>
    <cellStyle name="Normal 5 6 7 2 2" xfId="42423" xr:uid="{0869AD08-A703-45B4-98E1-8CDA64EA2687}"/>
    <cellStyle name="Normal 5 6 7 2 3" xfId="33976" xr:uid="{502F102C-3FFC-4F96-8AA8-5E02C24698EE}"/>
    <cellStyle name="Normal 5 6 7 2 4" xfId="25528" xr:uid="{CD646C1F-409A-4BC4-95C4-2F4606372EE6}"/>
    <cellStyle name="Normal 5 6 7 2 5" xfId="16231" xr:uid="{A906A2D6-E4B8-4E27-950A-CB979DDA7743}"/>
    <cellStyle name="Normal 5 6 7 3" xfId="38206" xr:uid="{304D000B-0860-486B-B2D4-6EF418ED84A3}"/>
    <cellStyle name="Normal 5 6 7 4" xfId="29758" xr:uid="{2385B84F-2313-43D4-88AB-32BE31A76C7C}"/>
    <cellStyle name="Normal 5 6 7 5" xfId="21311" xr:uid="{A965009E-F803-4AF0-AE74-E2702D4B4B2A}"/>
    <cellStyle name="Normal 5 6 7 6" xfId="12014" xr:uid="{8275C1AB-B96C-41E4-ABE7-D9E1A80DCDD6}"/>
    <cellStyle name="Normal 5 6 8" xfId="4840" xr:uid="{00000000-0005-0000-0000-0000C31B0000}"/>
    <cellStyle name="Normal 5 6 8 2" xfId="40358" xr:uid="{8BB1E0BB-F945-4B56-98D3-0C71E765AC63}"/>
    <cellStyle name="Normal 5 6 8 3" xfId="31911" xr:uid="{E98A532E-18F0-49B3-AD44-866A34825804}"/>
    <cellStyle name="Normal 5 6 8 4" xfId="23463" xr:uid="{1E5C594C-2B7E-464B-9F69-FA911576EF0F}"/>
    <cellStyle name="Normal 5 6 8 5" xfId="14166" xr:uid="{A349C02C-9FFF-4917-8F9B-9F490BF86699}"/>
    <cellStyle name="Normal 5 6 9" xfId="8844" xr:uid="{91B947E4-8FF0-409F-B157-688724766D9F}"/>
    <cellStyle name="Normal 5 6 9 2" xfId="36141" xr:uid="{1FB742CD-E3A3-4148-BE6A-C74D8255E034}"/>
    <cellStyle name="Normal 5 6 9 3" xfId="18167" xr:uid="{AC2245D3-5773-4191-9ED7-B94BE69DC337}"/>
    <cellStyle name="Normal 5 7" xfId="470" xr:uid="{00000000-0005-0000-0000-0000C41B0000}"/>
    <cellStyle name="Normal 5 7 10" xfId="19248" xr:uid="{A59A0145-D0E1-4246-B3E1-3B7472F83E5B}"/>
    <cellStyle name="Normal 5 7 11" xfId="9951" xr:uid="{EFCCC7AD-6511-4F04-AF82-113FC35E4079}"/>
    <cellStyle name="Normal 5 7 2" xfId="944" xr:uid="{00000000-0005-0000-0000-0000C51B0000}"/>
    <cellStyle name="Normal 5 7 2 2" xfId="3178" xr:uid="{00000000-0005-0000-0000-0000C61B0000}"/>
    <cellStyle name="Normal 5 7 2 2 2" xfId="7400" xr:uid="{00000000-0005-0000-0000-0000C71B0000}"/>
    <cellStyle name="Normal 5 7 2 2 2 2" xfId="42918" xr:uid="{962A9520-8AC3-4FD3-AF73-3E910363D19E}"/>
    <cellStyle name="Normal 5 7 2 2 2 3" xfId="34471" xr:uid="{B726DBF0-9A84-4A2E-BBC2-2234C90D00EE}"/>
    <cellStyle name="Normal 5 7 2 2 2 4" xfId="26023" xr:uid="{FAAB0040-757A-458E-844D-635B71F644E3}"/>
    <cellStyle name="Normal 5 7 2 2 2 5" xfId="16726" xr:uid="{3938218D-C0EF-4FDE-995A-31A57CF03868}"/>
    <cellStyle name="Normal 5 7 2 2 3" xfId="38701" xr:uid="{2D87DC7E-B557-4E44-8B40-F0F7CA73D7FF}"/>
    <cellStyle name="Normal 5 7 2 2 4" xfId="30253" xr:uid="{5717510F-2C49-4929-B03E-D6F5E11424D3}"/>
    <cellStyle name="Normal 5 7 2 2 5" xfId="21806" xr:uid="{5DEE0A9C-39A0-471F-9A51-41768B8BD4E0}"/>
    <cellStyle name="Normal 5 7 2 2 6" xfId="12509" xr:uid="{382CEA4A-474A-412F-AA17-A8031F5377BA}"/>
    <cellStyle name="Normal 5 7 2 3" xfId="5255" xr:uid="{00000000-0005-0000-0000-0000C81B0000}"/>
    <cellStyle name="Normal 5 7 2 3 2" xfId="40773" xr:uid="{55DA612E-BC43-4983-8EB6-4D616D78ED05}"/>
    <cellStyle name="Normal 5 7 2 3 3" xfId="32326" xr:uid="{6C65FD13-0C77-41FB-8683-30D52D0430DC}"/>
    <cellStyle name="Normal 5 7 2 3 4" xfId="23878" xr:uid="{51BC5FD1-269C-4FDE-86DF-FCD98674CF7B}"/>
    <cellStyle name="Normal 5 7 2 3 5" xfId="14581" xr:uid="{5AC442ED-E3A7-4B6C-981E-73A946EC5448}"/>
    <cellStyle name="Normal 5 7 2 4" xfId="9385" xr:uid="{2E4A3B0A-2E42-41AC-9564-09D1598995A2}"/>
    <cellStyle name="Normal 5 7 2 4 2" xfId="36556" xr:uid="{C7147B40-8C59-4DF2-9F93-F81F93F92E2D}"/>
    <cellStyle name="Normal 5 7 2 4 3" xfId="18698" xr:uid="{C9D24B83-A9A1-4B7F-BE7F-97F7916ED1A4}"/>
    <cellStyle name="Normal 5 7 2 5" xfId="28108" xr:uid="{C4211361-0505-4126-8734-63C9470BD268}"/>
    <cellStyle name="Normal 5 7 2 6" xfId="19661" xr:uid="{A0CADCD5-A324-4295-857F-F49EB1DD41FC}"/>
    <cellStyle name="Normal 5 7 2 7" xfId="10364" xr:uid="{6E3CBF9E-9FD3-4655-83B8-FACDFC3C0B28}"/>
    <cellStyle name="Normal 5 7 3" xfId="1361" xr:uid="{00000000-0005-0000-0000-0000C91B0000}"/>
    <cellStyle name="Normal 5 7 3 2" xfId="3591" xr:uid="{00000000-0005-0000-0000-0000CA1B0000}"/>
    <cellStyle name="Normal 5 7 3 2 2" xfId="7813" xr:uid="{00000000-0005-0000-0000-0000CB1B0000}"/>
    <cellStyle name="Normal 5 7 3 2 2 2" xfId="43331" xr:uid="{3F390EDC-6233-427D-B0F6-501036B4E70E}"/>
    <cellStyle name="Normal 5 7 3 2 2 3" xfId="34884" xr:uid="{9236EE7C-9785-4EA7-86F1-EF1CB74556D5}"/>
    <cellStyle name="Normal 5 7 3 2 2 4" xfId="26436" xr:uid="{D7E56242-FC67-4DE0-8865-F37BDE6BFF0B}"/>
    <cellStyle name="Normal 5 7 3 2 2 5" xfId="17139" xr:uid="{0D99C769-6504-4A69-A63B-40B4F08DDEF1}"/>
    <cellStyle name="Normal 5 7 3 2 3" xfId="39114" xr:uid="{CF366445-8180-4A95-83FB-338C8B05088B}"/>
    <cellStyle name="Normal 5 7 3 2 4" xfId="30666" xr:uid="{34520CAF-07ED-4D22-ADE7-0CE66A8C0245}"/>
    <cellStyle name="Normal 5 7 3 2 5" xfId="22219" xr:uid="{775A59AE-9EBE-4AD1-BD40-68A69B1CD1E9}"/>
    <cellStyle name="Normal 5 7 3 2 6" xfId="12922" xr:uid="{C420E58E-267B-45A3-88AB-0A4D4EA73B80}"/>
    <cellStyle name="Normal 5 7 3 3" xfId="5668" xr:uid="{00000000-0005-0000-0000-0000CC1B0000}"/>
    <cellStyle name="Normal 5 7 3 3 2" xfId="41186" xr:uid="{84755043-75F4-4C15-9172-A5AF51C1BF75}"/>
    <cellStyle name="Normal 5 7 3 3 3" xfId="32739" xr:uid="{66DC839D-195F-4420-9AD2-4CE9686E3F4B}"/>
    <cellStyle name="Normal 5 7 3 3 4" xfId="24291" xr:uid="{89B543F0-C3E8-4661-A009-56D6DA7CE3A4}"/>
    <cellStyle name="Normal 5 7 3 3 5" xfId="14994" xr:uid="{14568B8D-06A0-450F-B481-BC365E3249E9}"/>
    <cellStyle name="Normal 5 7 3 4" xfId="36969" xr:uid="{10A632D6-5C1E-4765-A7C1-D73ADEE165A7}"/>
    <cellStyle name="Normal 5 7 3 5" xfId="28521" xr:uid="{45518E92-008C-4FB3-8817-9761B2E32F90}"/>
    <cellStyle name="Normal 5 7 3 6" xfId="20074" xr:uid="{DFCACC35-AA7F-4DDA-9338-74793BCA4B8F}"/>
    <cellStyle name="Normal 5 7 3 7" xfId="10777" xr:uid="{D6E1E422-01FE-43BA-ABAF-7D326964F1DC}"/>
    <cellStyle name="Normal 5 7 4" xfId="1774" xr:uid="{00000000-0005-0000-0000-0000CD1B0000}"/>
    <cellStyle name="Normal 5 7 4 2" xfId="4004" xr:uid="{00000000-0005-0000-0000-0000CE1B0000}"/>
    <cellStyle name="Normal 5 7 4 2 2" xfId="8226" xr:uid="{00000000-0005-0000-0000-0000CF1B0000}"/>
    <cellStyle name="Normal 5 7 4 2 2 2" xfId="43744" xr:uid="{F8930829-96E9-4146-90D6-6BB766B4D312}"/>
    <cellStyle name="Normal 5 7 4 2 2 3" xfId="35297" xr:uid="{6A32842F-501B-44CC-8F7B-9E725E772183}"/>
    <cellStyle name="Normal 5 7 4 2 2 4" xfId="26849" xr:uid="{D0721F01-158D-4C4C-9185-E29536F85026}"/>
    <cellStyle name="Normal 5 7 4 2 2 5" xfId="17552" xr:uid="{B5B06590-00F6-4C53-A27C-E9B9AB0583FC}"/>
    <cellStyle name="Normal 5 7 4 2 3" xfId="39527" xr:uid="{1E32D7A2-3262-4721-A148-470999111F27}"/>
    <cellStyle name="Normal 5 7 4 2 4" xfId="31079" xr:uid="{4E811B4D-F064-4A86-BFDD-08D6E6CB46FD}"/>
    <cellStyle name="Normal 5 7 4 2 5" xfId="22632" xr:uid="{0ECE9F62-BFBC-434D-BBCC-E9AAC598EF96}"/>
    <cellStyle name="Normal 5 7 4 2 6" xfId="13335" xr:uid="{E6CB9259-D0A7-4F69-9630-082AAFA5754D}"/>
    <cellStyle name="Normal 5 7 4 3" xfId="6081" xr:uid="{00000000-0005-0000-0000-0000D01B0000}"/>
    <cellStyle name="Normal 5 7 4 3 2" xfId="41599" xr:uid="{35C939B5-21FA-4F07-941F-28358934A8F5}"/>
    <cellStyle name="Normal 5 7 4 3 3" xfId="33152" xr:uid="{D0A81690-291F-4FB8-A60A-529BD7206EC3}"/>
    <cellStyle name="Normal 5 7 4 3 4" xfId="24704" xr:uid="{8537FE98-D7CF-48B7-9231-E4D3D638A5D9}"/>
    <cellStyle name="Normal 5 7 4 3 5" xfId="15407" xr:uid="{EDE2E1B5-B1C0-4CC3-913D-35EBDCCA058E}"/>
    <cellStyle name="Normal 5 7 4 4" xfId="37382" xr:uid="{C45AECAE-D076-4898-BCF5-D785CAD63F93}"/>
    <cellStyle name="Normal 5 7 4 5" xfId="28934" xr:uid="{DDC7BCC3-2B65-44EB-BD21-9F181BD0F18E}"/>
    <cellStyle name="Normal 5 7 4 6" xfId="20487" xr:uid="{BBB77183-F975-41B9-B3F3-25FD6590B3E9}"/>
    <cellStyle name="Normal 5 7 4 7" xfId="11190" xr:uid="{B833B7EC-A47B-4668-B260-A673D4B76996}"/>
    <cellStyle name="Normal 5 7 5" xfId="2188" xr:uid="{00000000-0005-0000-0000-0000D11B0000}"/>
    <cellStyle name="Normal 5 7 5 2" xfId="4417" xr:uid="{00000000-0005-0000-0000-0000D21B0000}"/>
    <cellStyle name="Normal 5 7 5 2 2" xfId="8639" xr:uid="{00000000-0005-0000-0000-0000D31B0000}"/>
    <cellStyle name="Normal 5 7 5 2 2 2" xfId="44157" xr:uid="{F654A05B-423B-4C6A-800B-267769DD1D4B}"/>
    <cellStyle name="Normal 5 7 5 2 2 3" xfId="35710" xr:uid="{1AE92D59-7FA7-487B-982B-CBFF79F14978}"/>
    <cellStyle name="Normal 5 7 5 2 2 4" xfId="27262" xr:uid="{91EC2D0A-2830-4026-A25E-BD4B05792265}"/>
    <cellStyle name="Normal 5 7 5 2 2 5" xfId="17965" xr:uid="{A28076EC-2985-47A6-A65A-A75AAF67F394}"/>
    <cellStyle name="Normal 5 7 5 2 3" xfId="39940" xr:uid="{6CAE9FE7-F508-4B87-8820-423444FD9206}"/>
    <cellStyle name="Normal 5 7 5 2 4" xfId="31492" xr:uid="{6B2A8375-A8EA-4A5F-8AEB-DA3C01BBFA16}"/>
    <cellStyle name="Normal 5 7 5 2 5" xfId="23045" xr:uid="{364659B1-438F-4958-84AD-CA99EE641C0A}"/>
    <cellStyle name="Normal 5 7 5 2 6" xfId="13748" xr:uid="{7383BC9F-5A89-4BC0-B386-051D404B9364}"/>
    <cellStyle name="Normal 5 7 5 3" xfId="6494" xr:uid="{00000000-0005-0000-0000-0000D41B0000}"/>
    <cellStyle name="Normal 5 7 5 3 2" xfId="42012" xr:uid="{581C5829-D415-4566-B536-AD1380D052C0}"/>
    <cellStyle name="Normal 5 7 5 3 3" xfId="33565" xr:uid="{E68243FC-99D9-46BC-AE13-562FD9F9B062}"/>
    <cellStyle name="Normal 5 7 5 3 4" xfId="25117" xr:uid="{FD628632-CBF3-4339-8FC8-E9470D46B9B2}"/>
    <cellStyle name="Normal 5 7 5 3 5" xfId="15820" xr:uid="{E69DE531-6AC3-47B3-BAD4-DE1B277FBF4A}"/>
    <cellStyle name="Normal 5 7 5 4" xfId="37795" xr:uid="{05219838-0376-4B46-86C9-DACA9D1DD48E}"/>
    <cellStyle name="Normal 5 7 5 5" xfId="29347" xr:uid="{64C8460D-0A2B-4886-92BE-943352B587D8}"/>
    <cellStyle name="Normal 5 7 5 6" xfId="20900" xr:uid="{899BBF19-9B7F-450A-A03C-D702F5D09777}"/>
    <cellStyle name="Normal 5 7 5 7" xfId="11603" xr:uid="{1360C7A9-CD4A-4433-B88B-4B36B53DEDC2}"/>
    <cellStyle name="Normal 5 7 6" xfId="2624" xr:uid="{00000000-0005-0000-0000-0000D51B0000}"/>
    <cellStyle name="Normal 5 7 6 2" xfId="6907" xr:uid="{00000000-0005-0000-0000-0000D61B0000}"/>
    <cellStyle name="Normal 5 7 6 2 2" xfId="42425" xr:uid="{0ECF8DB1-29DA-42AD-9FA5-37174DE5A45D}"/>
    <cellStyle name="Normal 5 7 6 2 3" xfId="33978" xr:uid="{EFA29080-F2A1-4B60-9E1F-691E58009C5D}"/>
    <cellStyle name="Normal 5 7 6 2 4" xfId="25530" xr:uid="{C878DDA3-11B6-4B78-81FB-3FCD7DAB5731}"/>
    <cellStyle name="Normal 5 7 6 2 5" xfId="16233" xr:uid="{39581544-6BDD-4421-817C-FC84E5B8BFC3}"/>
    <cellStyle name="Normal 5 7 6 3" xfId="38208" xr:uid="{3DE8EDAF-173A-4D14-8FD6-CBCF739F1414}"/>
    <cellStyle name="Normal 5 7 6 4" xfId="29760" xr:uid="{838EF431-B3DC-49E8-B01C-4DCFD0AEC318}"/>
    <cellStyle name="Normal 5 7 6 5" xfId="21313" xr:uid="{DF1ED261-6C8A-4064-871E-4A8A2E9C145C}"/>
    <cellStyle name="Normal 5 7 6 6" xfId="12016" xr:uid="{784A0D1D-0B14-47EB-BAF9-7E9777224861}"/>
    <cellStyle name="Normal 5 7 7" xfId="4842" xr:uid="{00000000-0005-0000-0000-0000D71B0000}"/>
    <cellStyle name="Normal 5 7 7 2" xfId="40360" xr:uid="{EAF83B28-09DD-4315-90C3-F966C27428C4}"/>
    <cellStyle name="Normal 5 7 7 3" xfId="31913" xr:uid="{1170C7DC-7DA0-4308-8726-306438D6A6B2}"/>
    <cellStyle name="Normal 5 7 7 4" xfId="23465" xr:uid="{F2EFB40C-E1C4-4C8E-A403-6EE7948398F6}"/>
    <cellStyle name="Normal 5 7 7 5" xfId="14168" xr:uid="{D4B8791D-7655-4D01-A32C-8363FF82C3C7}"/>
    <cellStyle name="Normal 5 7 8" xfId="8960" xr:uid="{F4BEC964-53C9-4393-B7F1-69B47FC1FF25}"/>
    <cellStyle name="Normal 5 7 8 2" xfId="36143" xr:uid="{988B2614-BE82-4D5C-9CFB-21C981DB92F0}"/>
    <cellStyle name="Normal 5 7 8 3" xfId="18283" xr:uid="{F0F829E5-B585-40DD-899C-1608552F78F5}"/>
    <cellStyle name="Normal 5 7 9" xfId="27695" xr:uid="{815121AC-4E01-4F69-9313-91C56FCF6D73}"/>
    <cellStyle name="Normal 5 8" xfId="880" xr:uid="{00000000-0005-0000-0000-0000D81B0000}"/>
    <cellStyle name="Normal 5 8 2" xfId="3115" xr:uid="{00000000-0005-0000-0000-0000D91B0000}"/>
    <cellStyle name="Normal 5 8 2 2" xfId="7337" xr:uid="{00000000-0005-0000-0000-0000DA1B0000}"/>
    <cellStyle name="Normal 5 8 2 2 2" xfId="42855" xr:uid="{98C44C7E-C7DE-4EFA-8DE6-3A6D235E5BE4}"/>
    <cellStyle name="Normal 5 8 2 2 3" xfId="34408" xr:uid="{5C543919-23CD-443D-B0AD-EA1E1A3B2F3E}"/>
    <cellStyle name="Normal 5 8 2 2 4" xfId="25960" xr:uid="{DA2A0A93-34D4-4A26-8C0F-58B56AE211B2}"/>
    <cellStyle name="Normal 5 8 2 2 5" xfId="16663" xr:uid="{A438580E-BABF-4919-AE29-586A3E47CD2E}"/>
    <cellStyle name="Normal 5 8 2 3" xfId="38638" xr:uid="{F7BF35AB-755F-4D9A-844C-3A42722F87F7}"/>
    <cellStyle name="Normal 5 8 2 4" xfId="30190" xr:uid="{707B6C66-ED2A-4FA0-BF3B-04E2CAF6C138}"/>
    <cellStyle name="Normal 5 8 2 5" xfId="21743" xr:uid="{703FE575-0678-421F-891B-89388B2BF1A2}"/>
    <cellStyle name="Normal 5 8 2 6" xfId="12446" xr:uid="{6B6F9220-0E2C-4944-BD31-E53A895E7ADE}"/>
    <cellStyle name="Normal 5 8 3" xfId="5192" xr:uid="{00000000-0005-0000-0000-0000DB1B0000}"/>
    <cellStyle name="Normal 5 8 3 2" xfId="40710" xr:uid="{4FCF8615-FF3B-4112-A400-A080B6125F09}"/>
    <cellStyle name="Normal 5 8 3 3" xfId="32263" xr:uid="{EC7E84CC-6BCA-42CF-A93C-91BA4845C76C}"/>
    <cellStyle name="Normal 5 8 3 4" xfId="23815" xr:uid="{5D83DA1E-4862-4CDF-8469-DAD6008BE296}"/>
    <cellStyle name="Normal 5 8 3 5" xfId="14518" xr:uid="{689E88E9-FB1C-4979-B505-1852221F9D96}"/>
    <cellStyle name="Normal 5 8 4" xfId="9163" xr:uid="{44C7CAD4-DD7C-48E0-9142-8ED22123C662}"/>
    <cellStyle name="Normal 5 8 4 2" xfId="36493" xr:uid="{A041E2F9-3A62-47ED-8E59-3CD311D1F5B6}"/>
    <cellStyle name="Normal 5 8 4 3" xfId="18479" xr:uid="{30EC688B-3490-48F5-8EE7-06C01B999539}"/>
    <cellStyle name="Normal 5 8 5" xfId="28045" xr:uid="{E5690FAA-433E-49F2-B984-D879B1EAF111}"/>
    <cellStyle name="Normal 5 8 6" xfId="19598" xr:uid="{54242CFB-5908-4413-B94F-F782B67916BB}"/>
    <cellStyle name="Normal 5 8 7" xfId="10301" xr:uid="{69CA30FE-D263-4B12-9E0D-2A5E871BE87A}"/>
    <cellStyle name="Normal 5 9" xfId="1298" xr:uid="{00000000-0005-0000-0000-0000DC1B0000}"/>
    <cellStyle name="Normal 5 9 2" xfId="3528" xr:uid="{00000000-0005-0000-0000-0000DD1B0000}"/>
    <cellStyle name="Normal 5 9 2 2" xfId="7750" xr:uid="{00000000-0005-0000-0000-0000DE1B0000}"/>
    <cellStyle name="Normal 5 9 2 2 2" xfId="43268" xr:uid="{210644C2-AD21-4BC3-B99F-E5CE2E32BE51}"/>
    <cellStyle name="Normal 5 9 2 2 3" xfId="34821" xr:uid="{2747097F-AB71-4F6C-A88C-E8C7EB07549A}"/>
    <cellStyle name="Normal 5 9 2 2 4" xfId="26373" xr:uid="{1D755DB3-5336-4BB1-8E3F-462F48BBD3C0}"/>
    <cellStyle name="Normal 5 9 2 2 5" xfId="17076" xr:uid="{EB171E74-C7F4-4E76-8CDC-7902945C37BE}"/>
    <cellStyle name="Normal 5 9 2 3" xfId="39051" xr:uid="{4471AD89-4314-4F8F-BE00-97D58B5B3AC8}"/>
    <cellStyle name="Normal 5 9 2 4" xfId="30603" xr:uid="{EB056B4B-6687-44D4-ADA1-7A7C7A90CFA3}"/>
    <cellStyle name="Normal 5 9 2 5" xfId="22156" xr:uid="{CF49B2E7-DEDD-4719-8CFC-3AC21A12744D}"/>
    <cellStyle name="Normal 5 9 2 6" xfId="12859" xr:uid="{9B3DB36D-4BAA-4998-B23D-AABD195F3F27}"/>
    <cellStyle name="Normal 5 9 3" xfId="5605" xr:uid="{00000000-0005-0000-0000-0000DF1B0000}"/>
    <cellStyle name="Normal 5 9 3 2" xfId="41123" xr:uid="{252F1B69-D39E-4A16-8377-8726411C6902}"/>
    <cellStyle name="Normal 5 9 3 3" xfId="32676" xr:uid="{C38BED62-C4D0-484A-A29F-7890BBDCE9E7}"/>
    <cellStyle name="Normal 5 9 3 4" xfId="24228" xr:uid="{842DA81A-67AF-4499-A97F-691A295A01EB}"/>
    <cellStyle name="Normal 5 9 3 5" xfId="14931" xr:uid="{987B047E-FFE9-4977-99D1-CC2C27BC1053}"/>
    <cellStyle name="Normal 5 9 4" xfId="36906" xr:uid="{F9EE1825-80E9-4D09-8FD3-1B6DAC17F35A}"/>
    <cellStyle name="Normal 5 9 5" xfId="28458" xr:uid="{AFAAC0CB-F00D-4B87-BB1F-1D6074E70BE2}"/>
    <cellStyle name="Normal 5 9 6" xfId="20011" xr:uid="{251623FA-5A18-4E9A-B5A6-A178883C30F3}"/>
    <cellStyle name="Normal 5 9 7" xfId="10714" xr:uid="{DFB162C2-4588-48E8-BFD6-279298054624}"/>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44158" xr:uid="{231AAB66-1939-48C5-A952-F0AC2051F4AB}"/>
    <cellStyle name="Normal 8 10 2 2 3" xfId="35711" xr:uid="{66132723-16C2-4EC9-ACCE-C1373519E4AD}"/>
    <cellStyle name="Normal 8 10 2 2 4" xfId="27263" xr:uid="{43EAA23C-AE84-41AD-AE37-035FA27F4590}"/>
    <cellStyle name="Normal 8 10 2 2 5" xfId="17966" xr:uid="{1CCD55A1-75ED-4296-8A44-BD1787F73E14}"/>
    <cellStyle name="Normal 8 10 2 3" xfId="39941" xr:uid="{35B2B47D-EE4C-4C86-BB01-96D0328CEEF1}"/>
    <cellStyle name="Normal 8 10 2 4" xfId="31493" xr:uid="{83B87932-2181-44AE-8626-70C938147919}"/>
    <cellStyle name="Normal 8 10 2 5" xfId="23046" xr:uid="{FD5D9460-392C-48C3-87B6-E49E83A68371}"/>
    <cellStyle name="Normal 8 10 2 6" xfId="13749" xr:uid="{8FBCF632-3903-4EE1-B848-3D308EB4D446}"/>
    <cellStyle name="Normal 8 10 3" xfId="6495" xr:uid="{00000000-0005-0000-0000-0000EB1B0000}"/>
    <cellStyle name="Normal 8 10 3 2" xfId="42013" xr:uid="{40FF097F-EDEC-4731-B1CB-AEC1649FFE7B}"/>
    <cellStyle name="Normal 8 10 3 3" xfId="33566" xr:uid="{A44A8B71-F14D-4155-9E61-FCB293DB9BF7}"/>
    <cellStyle name="Normal 8 10 3 4" xfId="25118" xr:uid="{546DD85D-BB61-41B1-B815-9005CFD8ECAD}"/>
    <cellStyle name="Normal 8 10 3 5" xfId="15821" xr:uid="{90B04FD9-D1A7-432D-BFBC-1B5B34D5D026}"/>
    <cellStyle name="Normal 8 10 4" xfId="37796" xr:uid="{16B09727-B9E4-4929-8EDB-9EC684B89EF4}"/>
    <cellStyle name="Normal 8 10 5" xfId="29348" xr:uid="{1E09085A-5588-44DA-B2AE-5F9CBD8B1BC0}"/>
    <cellStyle name="Normal 8 10 6" xfId="20901" xr:uid="{5F0A2D12-5FF0-41CE-8129-9D2D586C9133}"/>
    <cellStyle name="Normal 8 10 7" xfId="11604" xr:uid="{16B0B321-9221-4370-902A-DC82A7CD9EC7}"/>
    <cellStyle name="Normal 8 11" xfId="2625" xr:uid="{00000000-0005-0000-0000-0000EC1B0000}"/>
    <cellStyle name="Normal 8 11 2" xfId="6908" xr:uid="{00000000-0005-0000-0000-0000ED1B0000}"/>
    <cellStyle name="Normal 8 11 2 2" xfId="42426" xr:uid="{ADFAA144-2385-464B-9AF4-4F9FD65558E4}"/>
    <cellStyle name="Normal 8 11 2 3" xfId="33979" xr:uid="{7131BBCC-B9AD-483B-AF8F-21A3353E4474}"/>
    <cellStyle name="Normal 8 11 2 4" xfId="25531" xr:uid="{67FDB2A1-8A64-4D8F-9E31-C57A1481FAFF}"/>
    <cellStyle name="Normal 8 11 2 5" xfId="16234" xr:uid="{082A9495-BEAA-4DAE-AD72-FFEE57C36705}"/>
    <cellStyle name="Normal 8 11 3" xfId="38209" xr:uid="{F8650604-C9E2-49FC-9C8E-592ADECA6268}"/>
    <cellStyle name="Normal 8 11 4" xfId="29761" xr:uid="{D2BE6421-2B37-4420-BFA1-83759698DB96}"/>
    <cellStyle name="Normal 8 11 5" xfId="21314" xr:uid="{65809BAC-035D-4AF1-B457-10B80FC9B1B3}"/>
    <cellStyle name="Normal 8 11 6" xfId="12017" xr:uid="{DD333615-53F9-40BF-B8C5-81532274A3B6}"/>
    <cellStyle name="Normal 8 12" xfId="4843" xr:uid="{00000000-0005-0000-0000-0000EE1B0000}"/>
    <cellStyle name="Normal 8 12 2" xfId="40361" xr:uid="{389D20AF-7BF8-4233-AF4F-FB2CE2821C9B}"/>
    <cellStyle name="Normal 8 12 3" xfId="31914" xr:uid="{15420294-62E3-4FB7-87B2-1BEB59B9D15D}"/>
    <cellStyle name="Normal 8 12 4" xfId="23466" xr:uid="{7BA8436B-8BC5-442C-887D-72036B6D9E58}"/>
    <cellStyle name="Normal 8 12 5" xfId="14169" xr:uid="{E289FB9A-3AE1-407F-80CC-7D4E97E99174}"/>
    <cellStyle name="Normal 8 13" xfId="8742" xr:uid="{AF36CBBC-3EEB-4AC8-923B-65C7C2418AB0}"/>
    <cellStyle name="Normal 8 13 2" xfId="36144" xr:uid="{4E44FFB3-F562-424A-96E5-27D45EA5F242}"/>
    <cellStyle name="Normal 8 13 3" xfId="18065" xr:uid="{6B5BB23F-BA00-434A-AE65-127E8E346D1A}"/>
    <cellStyle name="Normal 8 14" xfId="27696" xr:uid="{29FDE1B8-466F-464B-B02F-B6301891F85E}"/>
    <cellStyle name="Normal 8 15" xfId="19249" xr:uid="{2664B09D-3C64-48E4-A295-B053F0DDD3A6}"/>
    <cellStyle name="Normal 8 16" xfId="9952" xr:uid="{77828772-8CCB-415B-A981-D2564560C485}"/>
    <cellStyle name="Normal 8 2" xfId="479" xr:uid="{00000000-0005-0000-0000-0000EF1B0000}"/>
    <cellStyle name="Normal 8 2 10" xfId="2626" xr:uid="{00000000-0005-0000-0000-0000F01B0000}"/>
    <cellStyle name="Normal 8 2 10 2" xfId="6909" xr:uid="{00000000-0005-0000-0000-0000F11B0000}"/>
    <cellStyle name="Normal 8 2 10 2 2" xfId="42427" xr:uid="{AE9F34C7-7F78-479A-A0EC-E1BBE50369D3}"/>
    <cellStyle name="Normal 8 2 10 2 3" xfId="33980" xr:uid="{D9B1D19B-CFCE-486C-8D78-35FC282B07C8}"/>
    <cellStyle name="Normal 8 2 10 2 4" xfId="25532" xr:uid="{AFEF89ED-B4CF-4F2C-9B46-8590E159DAA6}"/>
    <cellStyle name="Normal 8 2 10 2 5" xfId="16235" xr:uid="{9555D546-A462-40E2-BAD9-63D054DA76EB}"/>
    <cellStyle name="Normal 8 2 10 3" xfId="38210" xr:uid="{0E106489-FF29-4628-A4B8-CF5174404C62}"/>
    <cellStyle name="Normal 8 2 10 4" xfId="29762" xr:uid="{AF068BDC-B2DC-4644-AF71-939D3F7B2B8D}"/>
    <cellStyle name="Normal 8 2 10 5" xfId="21315" xr:uid="{74A898BD-5B5E-4207-B70F-481A5AA0D1D2}"/>
    <cellStyle name="Normal 8 2 10 6" xfId="12018" xr:uid="{2F7FBB09-7224-4094-9BF8-64418B98201B}"/>
    <cellStyle name="Normal 8 2 11" xfId="4844" xr:uid="{00000000-0005-0000-0000-0000F21B0000}"/>
    <cellStyle name="Normal 8 2 11 2" xfId="40362" xr:uid="{F857C877-B4B4-4429-9665-8D0F0B2CCD3F}"/>
    <cellStyle name="Normal 8 2 11 3" xfId="31915" xr:uid="{5D25E041-68DC-47F4-9577-9701AC6F1D9C}"/>
    <cellStyle name="Normal 8 2 11 4" xfId="23467" xr:uid="{EC371359-3BDE-4746-A4D2-D318D37F6F9A}"/>
    <cellStyle name="Normal 8 2 11 5" xfId="14170" xr:uid="{44E76123-439E-4336-9F30-B18F2C5358B9}"/>
    <cellStyle name="Normal 8 2 12" xfId="8751" xr:uid="{476D0553-3387-4D9F-B05B-56EC7A36F7A1}"/>
    <cellStyle name="Normal 8 2 12 2" xfId="36145" xr:uid="{31FB8963-223A-4F74-9F53-4808ECFB40A7}"/>
    <cellStyle name="Normal 8 2 12 3" xfId="18074" xr:uid="{F1199F9E-2459-4A75-BF3A-443CDA63EE8A}"/>
    <cellStyle name="Normal 8 2 13" xfId="27697" xr:uid="{7BAB5B5E-50E1-43DF-A433-1286B728F903}"/>
    <cellStyle name="Normal 8 2 14" xfId="19250" xr:uid="{429EB777-8B38-4360-A4CC-31B0FC7B2E25}"/>
    <cellStyle name="Normal 8 2 15" xfId="9953" xr:uid="{EB9F013F-345C-4781-9915-A47922613A77}"/>
    <cellStyle name="Normal 8 2 2" xfId="480" xr:uid="{00000000-0005-0000-0000-0000F31B0000}"/>
    <cellStyle name="Normal 8 2 2 10" xfId="4845" xr:uid="{00000000-0005-0000-0000-0000F41B0000}"/>
    <cellStyle name="Normal 8 2 2 10 2" xfId="40363" xr:uid="{705A6714-76F5-4590-8ED7-47D36FB22ED4}"/>
    <cellStyle name="Normal 8 2 2 10 3" xfId="31916" xr:uid="{FA00D2BA-19B1-48EF-98DC-B28F4FD9E815}"/>
    <cellStyle name="Normal 8 2 2 10 4" xfId="23468" xr:uid="{E01114C8-EA2B-4FCB-9D2A-FD3472123B59}"/>
    <cellStyle name="Normal 8 2 2 10 5" xfId="14171" xr:uid="{0ABE1BDB-8EA6-4EAA-842D-1A90222FEA6D}"/>
    <cellStyle name="Normal 8 2 2 11" xfId="8783" xr:uid="{3C426022-C415-47DA-A8EF-1D6CE72527BD}"/>
    <cellStyle name="Normal 8 2 2 11 2" xfId="36146" xr:uid="{FCAB5CC7-129E-40F8-BCD6-86AF4263EB54}"/>
    <cellStyle name="Normal 8 2 2 11 3" xfId="18106" xr:uid="{91D1298C-4BA8-411A-833C-2E67BD268115}"/>
    <cellStyle name="Normal 8 2 2 12" xfId="27698" xr:uid="{A818AE2B-15C6-4FE5-A4E0-E9DD96D5AD3B}"/>
    <cellStyle name="Normal 8 2 2 13" xfId="19251" xr:uid="{A2CD42A3-D9DB-4CEA-93E4-B17535C43126}"/>
    <cellStyle name="Normal 8 2 2 14" xfId="9954" xr:uid="{05D41A85-EE40-4936-8492-CC6745C81FF5}"/>
    <cellStyle name="Normal 8 2 2 2" xfId="481" xr:uid="{00000000-0005-0000-0000-0000F51B0000}"/>
    <cellStyle name="Normal 8 2 2 2 10" xfId="8836" xr:uid="{870E50AF-610D-4E0C-BDE0-389D6B32A0FA}"/>
    <cellStyle name="Normal 8 2 2 2 10 2" xfId="36147" xr:uid="{EC5143D3-05BD-41EA-B00F-9389DC28C455}"/>
    <cellStyle name="Normal 8 2 2 2 10 3" xfId="18159" xr:uid="{4A963A9D-A6D1-49D5-93DA-EB727E106F9D}"/>
    <cellStyle name="Normal 8 2 2 2 11" xfId="27699" xr:uid="{D788DF71-A195-4BB4-AF1E-7BE642C9D375}"/>
    <cellStyle name="Normal 8 2 2 2 12" xfId="19252" xr:uid="{4891E99A-E21E-47CC-827F-B4A30D71388D}"/>
    <cellStyle name="Normal 8 2 2 2 13" xfId="9955" xr:uid="{766B3E09-EFAD-4E66-A3D1-489659D421D7}"/>
    <cellStyle name="Normal 8 2 2 2 2" xfId="482" xr:uid="{00000000-0005-0000-0000-0000F61B0000}"/>
    <cellStyle name="Normal 8 2 2 2 2 10" xfId="27700" xr:uid="{FBF8AA3E-F7F5-46BA-AE97-965CD81C169A}"/>
    <cellStyle name="Normal 8 2 2 2 2 11" xfId="19253" xr:uid="{DD83EC81-4110-4DB1-B84A-1A02FFCE357D}"/>
    <cellStyle name="Normal 8 2 2 2 2 12" xfId="9956" xr:uid="{7E6B510D-4A92-42AF-9DBB-CE41EA9343BC}"/>
    <cellStyle name="Normal 8 2 2 2 2 2" xfId="483" xr:uid="{00000000-0005-0000-0000-0000F71B0000}"/>
    <cellStyle name="Normal 8 2 2 2 2 2 10" xfId="19254" xr:uid="{B9EBCE7C-6140-4E11-91CA-F2CEC6FB9EA8}"/>
    <cellStyle name="Normal 8 2 2 2 2 2 11" xfId="9957" xr:uid="{41987584-D553-4F3F-8F65-F19C2050504C}"/>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42924" xr:uid="{81A3B2CF-D2B5-4C3D-9D45-DBF84BDD85C8}"/>
    <cellStyle name="Normal 8 2 2 2 2 2 2 2 2 3" xfId="34477" xr:uid="{CF9B9A3F-575B-43C2-89AB-A4B78E2BA40B}"/>
    <cellStyle name="Normal 8 2 2 2 2 2 2 2 2 4" xfId="26029" xr:uid="{0A6AA7AE-A47C-4275-8374-24C3B069C694}"/>
    <cellStyle name="Normal 8 2 2 2 2 2 2 2 2 5" xfId="16732" xr:uid="{3FC3D296-F1B4-48AD-8CB1-71D4F7976031}"/>
    <cellStyle name="Normal 8 2 2 2 2 2 2 2 3" xfId="38707" xr:uid="{EB8150DE-F1EE-442B-AD30-76BEAB5A11E0}"/>
    <cellStyle name="Normal 8 2 2 2 2 2 2 2 4" xfId="30259" xr:uid="{FE82B6DF-55BD-49E5-BE26-283A3B8DDD49}"/>
    <cellStyle name="Normal 8 2 2 2 2 2 2 2 5" xfId="21812" xr:uid="{E62B9862-5614-4270-BC21-4CDAE883A59D}"/>
    <cellStyle name="Normal 8 2 2 2 2 2 2 2 6" xfId="12515" xr:uid="{DAB860F1-78CC-406C-9026-355E5BEA39C4}"/>
    <cellStyle name="Normal 8 2 2 2 2 2 2 3" xfId="5261" xr:uid="{00000000-0005-0000-0000-0000FB1B0000}"/>
    <cellStyle name="Normal 8 2 2 2 2 2 2 3 2" xfId="40779" xr:uid="{4E9A90EF-E390-435A-B422-E80B7727F658}"/>
    <cellStyle name="Normal 8 2 2 2 2 2 2 3 3" xfId="32332" xr:uid="{BAC8849E-AA85-4705-BECE-E6840DCFC2E6}"/>
    <cellStyle name="Normal 8 2 2 2 2 2 2 3 4" xfId="23884" xr:uid="{43A84F4C-65A7-4735-A5A7-10DC53483903}"/>
    <cellStyle name="Normal 8 2 2 2 2 2 2 3 5" xfId="14587" xr:uid="{1F568C96-F52D-422B-B7FA-14810F5D6474}"/>
    <cellStyle name="Normal 8 2 2 2 2 2 2 4" xfId="9571" xr:uid="{B467C179-FE08-45F9-B1E6-E66379D80EBC}"/>
    <cellStyle name="Normal 8 2 2 2 2 2 2 4 2" xfId="36562" xr:uid="{AD6930F7-7B6E-41D9-A98C-C9832B403964}"/>
    <cellStyle name="Normal 8 2 2 2 2 2 2 4 3" xfId="18884" xr:uid="{B5FA2617-D7AD-47C0-A878-AFFC3E828D58}"/>
    <cellStyle name="Normal 8 2 2 2 2 2 2 5" xfId="28114" xr:uid="{404D293C-522A-4F5A-B690-B9028E8F0179}"/>
    <cellStyle name="Normal 8 2 2 2 2 2 2 6" xfId="19667" xr:uid="{99773269-F6A4-4985-AEE4-292519097009}"/>
    <cellStyle name="Normal 8 2 2 2 2 2 2 7" xfId="10370" xr:uid="{9AB4ECC2-DB3B-4F38-9E60-12EC3D91FA76}"/>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43337" xr:uid="{8CEAF095-C285-47CA-AC96-1B3BC31461A9}"/>
    <cellStyle name="Normal 8 2 2 2 2 2 3 2 2 3" xfId="34890" xr:uid="{91E21815-56FC-4E8C-B232-096385225223}"/>
    <cellStyle name="Normal 8 2 2 2 2 2 3 2 2 4" xfId="26442" xr:uid="{D5D42DE6-A3E2-4FAD-B439-0158B957E7AF}"/>
    <cellStyle name="Normal 8 2 2 2 2 2 3 2 2 5" xfId="17145" xr:uid="{E4ED6C0B-D502-4B79-9CCC-3CE10FCABE59}"/>
    <cellStyle name="Normal 8 2 2 2 2 2 3 2 3" xfId="39120" xr:uid="{0F870DC0-670B-48A8-A971-33719E065E5C}"/>
    <cellStyle name="Normal 8 2 2 2 2 2 3 2 4" xfId="30672" xr:uid="{C353F75F-FBF2-4D44-8A74-9E06C498190A}"/>
    <cellStyle name="Normal 8 2 2 2 2 2 3 2 5" xfId="22225" xr:uid="{244041F4-0364-4A04-A8CD-5AB95B12E124}"/>
    <cellStyle name="Normal 8 2 2 2 2 2 3 2 6" xfId="12928" xr:uid="{58105937-FDA3-460E-9B05-173854125C5D}"/>
    <cellStyle name="Normal 8 2 2 2 2 2 3 3" xfId="5674" xr:uid="{00000000-0005-0000-0000-0000FF1B0000}"/>
    <cellStyle name="Normal 8 2 2 2 2 2 3 3 2" xfId="41192" xr:uid="{11C03066-835C-4254-BE00-2A72AEE50FBC}"/>
    <cellStyle name="Normal 8 2 2 2 2 2 3 3 3" xfId="32745" xr:uid="{D409469E-C9CE-4E88-ADDB-56B3EF0EE1B4}"/>
    <cellStyle name="Normal 8 2 2 2 2 2 3 3 4" xfId="24297" xr:uid="{49E662CA-3306-4F04-B5A8-FC758924D77A}"/>
    <cellStyle name="Normal 8 2 2 2 2 2 3 3 5" xfId="15000" xr:uid="{DD67E871-D719-4954-9B1E-A783C62B8D84}"/>
    <cellStyle name="Normal 8 2 2 2 2 2 3 4" xfId="36975" xr:uid="{82F50A6F-08F6-4004-B5D0-13EBA7CAC287}"/>
    <cellStyle name="Normal 8 2 2 2 2 2 3 5" xfId="28527" xr:uid="{BA6F6329-362C-4C5E-BC27-A8BA9DFBDE01}"/>
    <cellStyle name="Normal 8 2 2 2 2 2 3 6" xfId="20080" xr:uid="{F5F14E70-F7FE-48E6-AC47-0B070E2F76BB}"/>
    <cellStyle name="Normal 8 2 2 2 2 2 3 7" xfId="10783" xr:uid="{9E7C64B7-CF3B-4494-B8B0-74C2C6570388}"/>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43750" xr:uid="{2C01E351-CA28-46CE-AD0D-124FDD1F0552}"/>
    <cellStyle name="Normal 8 2 2 2 2 2 4 2 2 3" xfId="35303" xr:uid="{04E6A493-EC17-41E9-9787-E9A3B44ED7E7}"/>
    <cellStyle name="Normal 8 2 2 2 2 2 4 2 2 4" xfId="26855" xr:uid="{0F14A3EE-0F0B-4B41-AC79-2F8042AFAE5B}"/>
    <cellStyle name="Normal 8 2 2 2 2 2 4 2 2 5" xfId="17558" xr:uid="{87F786B0-8519-4530-B6E7-C5A59D6C8AB4}"/>
    <cellStyle name="Normal 8 2 2 2 2 2 4 2 3" xfId="39533" xr:uid="{32F54C1D-A157-4C29-812B-894A783AE903}"/>
    <cellStyle name="Normal 8 2 2 2 2 2 4 2 4" xfId="31085" xr:uid="{FFC784FF-DE83-4691-AA0E-0C809567054A}"/>
    <cellStyle name="Normal 8 2 2 2 2 2 4 2 5" xfId="22638" xr:uid="{1B86CB59-76C4-4E26-986C-5CF0D9464FB3}"/>
    <cellStyle name="Normal 8 2 2 2 2 2 4 2 6" xfId="13341" xr:uid="{D7FEC6A1-E7AF-4B53-83BC-797EC5F800F0}"/>
    <cellStyle name="Normal 8 2 2 2 2 2 4 3" xfId="6087" xr:uid="{00000000-0005-0000-0000-0000031C0000}"/>
    <cellStyle name="Normal 8 2 2 2 2 2 4 3 2" xfId="41605" xr:uid="{A4669F14-4CAA-4A88-8D12-BB886960980E}"/>
    <cellStyle name="Normal 8 2 2 2 2 2 4 3 3" xfId="33158" xr:uid="{3724198B-1496-499B-A005-33EFA7C41568}"/>
    <cellStyle name="Normal 8 2 2 2 2 2 4 3 4" xfId="24710" xr:uid="{EE2F5923-BEF4-4E78-8D4C-CC524EE596F3}"/>
    <cellStyle name="Normal 8 2 2 2 2 2 4 3 5" xfId="15413" xr:uid="{1638652E-9D84-4D71-9F83-CBEB1027D9E2}"/>
    <cellStyle name="Normal 8 2 2 2 2 2 4 4" xfId="37388" xr:uid="{8DA8CF2F-85F1-49EF-AFA8-302B61D68257}"/>
    <cellStyle name="Normal 8 2 2 2 2 2 4 5" xfId="28940" xr:uid="{F8D7E28C-C4EE-4A76-B6F6-3ABE36F3A52B}"/>
    <cellStyle name="Normal 8 2 2 2 2 2 4 6" xfId="20493" xr:uid="{E76C459C-36EA-4480-991A-CDE0FD129B68}"/>
    <cellStyle name="Normal 8 2 2 2 2 2 4 7" xfId="11196" xr:uid="{9252761F-6DA6-41FC-8190-F76A2DB41A78}"/>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44163" xr:uid="{358E7287-D976-494B-9D73-BFC70FA70636}"/>
    <cellStyle name="Normal 8 2 2 2 2 2 5 2 2 3" xfId="35716" xr:uid="{BDCD1EE6-45AD-4754-85BD-0B2DA82B70A8}"/>
    <cellStyle name="Normal 8 2 2 2 2 2 5 2 2 4" xfId="27268" xr:uid="{9DCD5EEF-C23D-4828-90B9-B5DA4C1BC73A}"/>
    <cellStyle name="Normal 8 2 2 2 2 2 5 2 2 5" xfId="17971" xr:uid="{B0067FF0-84B1-47D6-A107-5784C5D7851E}"/>
    <cellStyle name="Normal 8 2 2 2 2 2 5 2 3" xfId="39946" xr:uid="{B3F04D6D-91F5-46F0-BE98-71D8DFA67A09}"/>
    <cellStyle name="Normal 8 2 2 2 2 2 5 2 4" xfId="31498" xr:uid="{6DA30EA6-039F-4D45-B74B-21C743E692A6}"/>
    <cellStyle name="Normal 8 2 2 2 2 2 5 2 5" xfId="23051" xr:uid="{AD9A838F-74F6-4617-83F9-248D6592F598}"/>
    <cellStyle name="Normal 8 2 2 2 2 2 5 2 6" xfId="13754" xr:uid="{5AC2900E-F95F-4C59-98B4-F90EBE384EE6}"/>
    <cellStyle name="Normal 8 2 2 2 2 2 5 3" xfId="6500" xr:uid="{00000000-0005-0000-0000-0000071C0000}"/>
    <cellStyle name="Normal 8 2 2 2 2 2 5 3 2" xfId="42018" xr:uid="{8FD11080-263E-4060-B86A-447815B5F512}"/>
    <cellStyle name="Normal 8 2 2 2 2 2 5 3 3" xfId="33571" xr:uid="{E098B570-E241-4905-B623-8AC4AC0A954D}"/>
    <cellStyle name="Normal 8 2 2 2 2 2 5 3 4" xfId="25123" xr:uid="{89D6F0B7-C594-4FAD-96F8-FF7C5D794AF8}"/>
    <cellStyle name="Normal 8 2 2 2 2 2 5 3 5" xfId="15826" xr:uid="{2346ADF5-BD1C-42CE-AAF8-0AFEB7556065}"/>
    <cellStyle name="Normal 8 2 2 2 2 2 5 4" xfId="37801" xr:uid="{30ED6C58-41C7-4244-9EEC-B3C686557FF4}"/>
    <cellStyle name="Normal 8 2 2 2 2 2 5 5" xfId="29353" xr:uid="{33A86FB8-1EEE-4EC6-8EFB-06B184797CC8}"/>
    <cellStyle name="Normal 8 2 2 2 2 2 5 6" xfId="20906" xr:uid="{C2AA7F06-D00D-4005-BF4A-629B8F0C75D0}"/>
    <cellStyle name="Normal 8 2 2 2 2 2 5 7" xfId="11609" xr:uid="{8608EF8E-5A93-4D73-BC4F-D521B255796B}"/>
    <cellStyle name="Normal 8 2 2 2 2 2 6" xfId="2630" xr:uid="{00000000-0005-0000-0000-0000081C0000}"/>
    <cellStyle name="Normal 8 2 2 2 2 2 6 2" xfId="6913" xr:uid="{00000000-0005-0000-0000-0000091C0000}"/>
    <cellStyle name="Normal 8 2 2 2 2 2 6 2 2" xfId="42431" xr:uid="{B50D1D72-4DCB-4088-AE32-815B6511271D}"/>
    <cellStyle name="Normal 8 2 2 2 2 2 6 2 3" xfId="33984" xr:uid="{82AF9552-1517-4BC1-BEFF-99D038C24E5B}"/>
    <cellStyle name="Normal 8 2 2 2 2 2 6 2 4" xfId="25536" xr:uid="{384C57E6-ADD9-4296-8B4E-F269F4359AF4}"/>
    <cellStyle name="Normal 8 2 2 2 2 2 6 2 5" xfId="16239" xr:uid="{EB4EB23A-C891-4413-A646-896DC087DF83}"/>
    <cellStyle name="Normal 8 2 2 2 2 2 6 3" xfId="38214" xr:uid="{1C922A93-1425-403C-8C0E-1100B9D970AF}"/>
    <cellStyle name="Normal 8 2 2 2 2 2 6 4" xfId="29766" xr:uid="{C6B588D1-946B-4499-B3F7-B8FDDD0EF2BC}"/>
    <cellStyle name="Normal 8 2 2 2 2 2 6 5" xfId="21319" xr:uid="{DDCFA7ED-7126-40E7-BBE1-B095A8E56F29}"/>
    <cellStyle name="Normal 8 2 2 2 2 2 6 6" xfId="12022" xr:uid="{E99B790E-3729-41FD-86DC-E278FD5B4477}"/>
    <cellStyle name="Normal 8 2 2 2 2 2 7" xfId="4848" xr:uid="{00000000-0005-0000-0000-00000A1C0000}"/>
    <cellStyle name="Normal 8 2 2 2 2 2 7 2" xfId="40366" xr:uid="{5ADA75DF-7B09-47C2-9BEF-FD0D4DE8807A}"/>
    <cellStyle name="Normal 8 2 2 2 2 2 7 3" xfId="31919" xr:uid="{4299FCB3-36E7-4B60-9892-9A09D6995777}"/>
    <cellStyle name="Normal 8 2 2 2 2 2 7 4" xfId="23471" xr:uid="{517C9D53-56A8-4B4C-AFD1-1FBF09E427B6}"/>
    <cellStyle name="Normal 8 2 2 2 2 2 7 5" xfId="14174" xr:uid="{3B316918-C102-4A07-B2D9-70B42075AF11}"/>
    <cellStyle name="Normal 8 2 2 2 2 2 8" xfId="9146" xr:uid="{0E570703-055D-406D-8BD9-575AF6037A75}"/>
    <cellStyle name="Normal 8 2 2 2 2 2 8 2" xfId="36149" xr:uid="{716E480F-522D-4EA6-91EC-FE55DB26DD5D}"/>
    <cellStyle name="Normal 8 2 2 2 2 2 8 3" xfId="18469" xr:uid="{56FA71BE-A90A-42F2-90E4-E3D5204AA6C0}"/>
    <cellStyle name="Normal 8 2 2 2 2 2 9" xfId="27701" xr:uid="{5A5850A8-B975-4335-BD88-911F7F5CF1EF}"/>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42923" xr:uid="{A4759AB5-8E62-4DAB-9A96-2B3DA0EE67C0}"/>
    <cellStyle name="Normal 8 2 2 2 2 3 2 2 3" xfId="34476" xr:uid="{7C66900C-08D9-4C5D-88E0-982C828D6149}"/>
    <cellStyle name="Normal 8 2 2 2 2 3 2 2 4" xfId="26028" xr:uid="{76253066-FD78-40BC-B858-6FEC6DAF4987}"/>
    <cellStyle name="Normal 8 2 2 2 2 3 2 2 5" xfId="16731" xr:uid="{5B9355CD-421C-4A7F-90B2-10A61CAF7F90}"/>
    <cellStyle name="Normal 8 2 2 2 2 3 2 3" xfId="38706" xr:uid="{2D5FC529-C991-489A-BBBC-575D940A6E30}"/>
    <cellStyle name="Normal 8 2 2 2 2 3 2 4" xfId="30258" xr:uid="{0C048D6E-B944-4BA4-9255-56463F11E6A7}"/>
    <cellStyle name="Normal 8 2 2 2 2 3 2 5" xfId="21811" xr:uid="{A7F8B2D2-066C-42FD-A9A4-9CB573434668}"/>
    <cellStyle name="Normal 8 2 2 2 2 3 2 6" xfId="12514" xr:uid="{751D3D98-271F-4E70-A083-0F868F40BEE8}"/>
    <cellStyle name="Normal 8 2 2 2 2 3 3" xfId="5260" xr:uid="{00000000-0005-0000-0000-00000E1C0000}"/>
    <cellStyle name="Normal 8 2 2 2 2 3 3 2" xfId="40778" xr:uid="{201C58F9-4500-4F60-A3EC-8D772DD8B143}"/>
    <cellStyle name="Normal 8 2 2 2 2 3 3 3" xfId="32331" xr:uid="{A881974F-5CAA-4798-B164-92F428DAE82E}"/>
    <cellStyle name="Normal 8 2 2 2 2 3 3 4" xfId="23883" xr:uid="{D3ED781E-0352-430F-B7BF-48D690BB770E}"/>
    <cellStyle name="Normal 8 2 2 2 2 3 3 5" xfId="14586" xr:uid="{89539AF2-5B12-4D13-B621-9371D24D0061}"/>
    <cellStyle name="Normal 8 2 2 2 2 3 4" xfId="9364" xr:uid="{21426B7C-FC96-483C-B560-AC4767107497}"/>
    <cellStyle name="Normal 8 2 2 2 2 3 4 2" xfId="36561" xr:uid="{B1BB299E-5BED-4C52-BDF3-C73067FD1F93}"/>
    <cellStyle name="Normal 8 2 2 2 2 3 4 3" xfId="18677" xr:uid="{AF7B583C-D91F-4E10-BCFD-287D8E98C834}"/>
    <cellStyle name="Normal 8 2 2 2 2 3 5" xfId="28113" xr:uid="{1B0B6D18-3431-4565-A45F-2138AE60A987}"/>
    <cellStyle name="Normal 8 2 2 2 2 3 6" xfId="19666" xr:uid="{90B46482-562A-4D23-8C3E-40CCD0BDC131}"/>
    <cellStyle name="Normal 8 2 2 2 2 3 7" xfId="10369" xr:uid="{0A9CC530-D2A9-43AA-BD0E-090AB669340E}"/>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43336" xr:uid="{04D7F915-E5FA-4FEE-B0C8-2192DF155A63}"/>
    <cellStyle name="Normal 8 2 2 2 2 4 2 2 3" xfId="34889" xr:uid="{6C5B870A-17FD-471C-87D5-F02277C88BB1}"/>
    <cellStyle name="Normal 8 2 2 2 2 4 2 2 4" xfId="26441" xr:uid="{3994EE92-6449-494A-AF06-C26190356EAB}"/>
    <cellStyle name="Normal 8 2 2 2 2 4 2 2 5" xfId="17144" xr:uid="{C4E63EA8-371B-46FB-8745-4B662BE21575}"/>
    <cellStyle name="Normal 8 2 2 2 2 4 2 3" xfId="39119" xr:uid="{73D9A8A0-E85B-4388-BFCF-C433E872D6BF}"/>
    <cellStyle name="Normal 8 2 2 2 2 4 2 4" xfId="30671" xr:uid="{E4553842-99A7-4C85-8208-D5D7F1989007}"/>
    <cellStyle name="Normal 8 2 2 2 2 4 2 5" xfId="22224" xr:uid="{26148683-960C-4E43-BBA2-72C444526C0C}"/>
    <cellStyle name="Normal 8 2 2 2 2 4 2 6" xfId="12927" xr:uid="{ADBFAD4A-F21C-4053-8C0F-861B3873FF75}"/>
    <cellStyle name="Normal 8 2 2 2 2 4 3" xfId="5673" xr:uid="{00000000-0005-0000-0000-0000121C0000}"/>
    <cellStyle name="Normal 8 2 2 2 2 4 3 2" xfId="41191" xr:uid="{60A01B86-DD05-4D96-BCC1-CE8E6FEAC22C}"/>
    <cellStyle name="Normal 8 2 2 2 2 4 3 3" xfId="32744" xr:uid="{A5598D86-40E8-400F-9C98-EBA40CFBF5DB}"/>
    <cellStyle name="Normal 8 2 2 2 2 4 3 4" xfId="24296" xr:uid="{92651ABA-A51C-4742-AE61-4B9FDC90D830}"/>
    <cellStyle name="Normal 8 2 2 2 2 4 3 5" xfId="14999" xr:uid="{1FAC139C-3334-47FB-82EE-104D52CE4F42}"/>
    <cellStyle name="Normal 8 2 2 2 2 4 4" xfId="36974" xr:uid="{74577D12-1844-45C8-9892-DC55A983AA67}"/>
    <cellStyle name="Normal 8 2 2 2 2 4 5" xfId="28526" xr:uid="{5EC21E4C-0F66-4E5D-9741-992C4B7F7E89}"/>
    <cellStyle name="Normal 8 2 2 2 2 4 6" xfId="20079" xr:uid="{E72BD9C2-4696-40F7-82D5-3726FEE812F0}"/>
    <cellStyle name="Normal 8 2 2 2 2 4 7" xfId="10782" xr:uid="{19C9297D-2836-4D47-A6D8-2DF80FFB1693}"/>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43749" xr:uid="{90B82D5E-EF6F-47A5-8BEA-ADD4458CCCC5}"/>
    <cellStyle name="Normal 8 2 2 2 2 5 2 2 3" xfId="35302" xr:uid="{21BC0A63-2C74-4B78-A647-FDBC2EDBA45E}"/>
    <cellStyle name="Normal 8 2 2 2 2 5 2 2 4" xfId="26854" xr:uid="{6536260E-21C9-4960-BF42-FF2571F84B84}"/>
    <cellStyle name="Normal 8 2 2 2 2 5 2 2 5" xfId="17557" xr:uid="{E2C7FBAC-72C7-492F-BAFB-F8593A15A6B6}"/>
    <cellStyle name="Normal 8 2 2 2 2 5 2 3" xfId="39532" xr:uid="{B95A5F74-DF17-491F-B6AD-1D89BBA9E6CB}"/>
    <cellStyle name="Normal 8 2 2 2 2 5 2 4" xfId="31084" xr:uid="{65091F04-6B5F-4D3D-8735-B47F05699D8D}"/>
    <cellStyle name="Normal 8 2 2 2 2 5 2 5" xfId="22637" xr:uid="{D6B9BA11-E09D-46D8-AD56-F8348B18503F}"/>
    <cellStyle name="Normal 8 2 2 2 2 5 2 6" xfId="13340" xr:uid="{32E8E1B4-F7D1-4EA7-8DF2-53AC332E086D}"/>
    <cellStyle name="Normal 8 2 2 2 2 5 3" xfId="6086" xr:uid="{00000000-0005-0000-0000-0000161C0000}"/>
    <cellStyle name="Normal 8 2 2 2 2 5 3 2" xfId="41604" xr:uid="{D73552B6-3FE0-49D5-90DE-2AB78A0BDBAD}"/>
    <cellStyle name="Normal 8 2 2 2 2 5 3 3" xfId="33157" xr:uid="{533EA3A3-EEB9-499E-BB2D-1DEA3C68C18A}"/>
    <cellStyle name="Normal 8 2 2 2 2 5 3 4" xfId="24709" xr:uid="{D71EFD66-7306-4B6B-8FC7-70661EA5B2B2}"/>
    <cellStyle name="Normal 8 2 2 2 2 5 3 5" xfId="15412" xr:uid="{273D83DB-8BD0-4455-B957-F7F088107F2E}"/>
    <cellStyle name="Normal 8 2 2 2 2 5 4" xfId="37387" xr:uid="{0D33DB13-131C-4725-B69E-1A25EC120737}"/>
    <cellStyle name="Normal 8 2 2 2 2 5 5" xfId="28939" xr:uid="{B23912B1-E04D-4548-8D83-F00A18714626}"/>
    <cellStyle name="Normal 8 2 2 2 2 5 6" xfId="20492" xr:uid="{64B5F4B3-D999-4119-8917-20DD1D3F1AD5}"/>
    <cellStyle name="Normal 8 2 2 2 2 5 7" xfId="11195" xr:uid="{E43F624A-9B32-43F4-92AC-4B4FB2D42847}"/>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44162" xr:uid="{2B30A890-2F46-4618-BCF3-FE9BE5AA768C}"/>
    <cellStyle name="Normal 8 2 2 2 2 6 2 2 3" xfId="35715" xr:uid="{42BFE443-5A15-4AC7-9E30-2DB8813F94D7}"/>
    <cellStyle name="Normal 8 2 2 2 2 6 2 2 4" xfId="27267" xr:uid="{40AD5843-076E-4E93-86F4-B003FF283EF2}"/>
    <cellStyle name="Normal 8 2 2 2 2 6 2 2 5" xfId="17970" xr:uid="{DA33DB0D-916E-4A64-989A-B592FF9CD4F2}"/>
    <cellStyle name="Normal 8 2 2 2 2 6 2 3" xfId="39945" xr:uid="{9CE38FF8-6806-4614-BF6E-08FFF68788CE}"/>
    <cellStyle name="Normal 8 2 2 2 2 6 2 4" xfId="31497" xr:uid="{B021AAE4-F7D2-4134-B177-CC1BFD36C5A5}"/>
    <cellStyle name="Normal 8 2 2 2 2 6 2 5" xfId="23050" xr:uid="{674B007E-785D-4C20-95BD-EF2223BF60BE}"/>
    <cellStyle name="Normal 8 2 2 2 2 6 2 6" xfId="13753" xr:uid="{37ECE424-8441-452A-ADAE-09DDEEE1EAC2}"/>
    <cellStyle name="Normal 8 2 2 2 2 6 3" xfId="6499" xr:uid="{00000000-0005-0000-0000-00001A1C0000}"/>
    <cellStyle name="Normal 8 2 2 2 2 6 3 2" xfId="42017" xr:uid="{FFCB9390-68DC-4C06-BFC3-BC11AC5EC122}"/>
    <cellStyle name="Normal 8 2 2 2 2 6 3 3" xfId="33570" xr:uid="{26FCCC04-791A-44AE-8CEE-82200CA5543F}"/>
    <cellStyle name="Normal 8 2 2 2 2 6 3 4" xfId="25122" xr:uid="{DC9399DA-6072-4C01-B35D-971AACECC96E}"/>
    <cellStyle name="Normal 8 2 2 2 2 6 3 5" xfId="15825" xr:uid="{7EE54198-2255-466F-8A88-573B702F5E5F}"/>
    <cellStyle name="Normal 8 2 2 2 2 6 4" xfId="37800" xr:uid="{FAB52665-D6AF-426F-B0EF-747F2C6EB56C}"/>
    <cellStyle name="Normal 8 2 2 2 2 6 5" xfId="29352" xr:uid="{EF13BB5E-03AB-4013-AF52-7EFD572CA216}"/>
    <cellStyle name="Normal 8 2 2 2 2 6 6" xfId="20905" xr:uid="{4D2C4653-001E-4A89-9EA7-B1334B6FB7DC}"/>
    <cellStyle name="Normal 8 2 2 2 2 6 7" xfId="11608" xr:uid="{CE1C42AF-FF5C-4B42-9232-FF12396F6B40}"/>
    <cellStyle name="Normal 8 2 2 2 2 7" xfId="2629" xr:uid="{00000000-0005-0000-0000-00001B1C0000}"/>
    <cellStyle name="Normal 8 2 2 2 2 7 2" xfId="6912" xr:uid="{00000000-0005-0000-0000-00001C1C0000}"/>
    <cellStyle name="Normal 8 2 2 2 2 7 2 2" xfId="42430" xr:uid="{CD5A9802-206A-4010-814D-8A1E0B454509}"/>
    <cellStyle name="Normal 8 2 2 2 2 7 2 3" xfId="33983" xr:uid="{A1E89F5F-C652-4B89-84B2-214A643EAE3D}"/>
    <cellStyle name="Normal 8 2 2 2 2 7 2 4" xfId="25535" xr:uid="{C6425AE8-AD4A-415C-A472-97A5B12219F1}"/>
    <cellStyle name="Normal 8 2 2 2 2 7 2 5" xfId="16238" xr:uid="{A95B695A-AD2C-4CC5-AEE4-E236DF30D3A9}"/>
    <cellStyle name="Normal 8 2 2 2 2 7 3" xfId="38213" xr:uid="{A4C2A345-E911-4DC2-8D1D-D19C4B1C6D2F}"/>
    <cellStyle name="Normal 8 2 2 2 2 7 4" xfId="29765" xr:uid="{DF2FDBE2-5BDD-43D1-A3F3-7A6963029B06}"/>
    <cellStyle name="Normal 8 2 2 2 2 7 5" xfId="21318" xr:uid="{11184E32-9B33-46FF-AEC8-C603397ACF46}"/>
    <cellStyle name="Normal 8 2 2 2 2 7 6" xfId="12021" xr:uid="{8B7C55B4-FD28-4057-A0BD-5787AD2100F8}"/>
    <cellStyle name="Normal 8 2 2 2 2 8" xfId="4847" xr:uid="{00000000-0005-0000-0000-00001D1C0000}"/>
    <cellStyle name="Normal 8 2 2 2 2 8 2" xfId="40365" xr:uid="{BC2E8B55-F8E1-4D09-B835-CD9B2D52139C}"/>
    <cellStyle name="Normal 8 2 2 2 2 8 3" xfId="31918" xr:uid="{C0F23915-F8F2-46A3-8624-A4EC73BFC573}"/>
    <cellStyle name="Normal 8 2 2 2 2 8 4" xfId="23470" xr:uid="{13AE04F3-97B8-4A43-974B-AF27F3101AB9}"/>
    <cellStyle name="Normal 8 2 2 2 2 8 5" xfId="14173" xr:uid="{9D21E74A-F0B4-4774-AEB5-53C76B52C3BF}"/>
    <cellStyle name="Normal 8 2 2 2 2 9" xfId="8939" xr:uid="{385BAC75-25D1-414A-8E33-9B6DCCA130DE}"/>
    <cellStyle name="Normal 8 2 2 2 2 9 2" xfId="36148" xr:uid="{98CB69B1-6ED8-4053-BF1F-443E6B47DE03}"/>
    <cellStyle name="Normal 8 2 2 2 2 9 3" xfId="18262" xr:uid="{0B6F09A7-FF65-49EB-BB7E-9F59781C6C2D}"/>
    <cellStyle name="Normal 8 2 2 2 3" xfId="484" xr:uid="{00000000-0005-0000-0000-00001E1C0000}"/>
    <cellStyle name="Normal 8 2 2 2 3 10" xfId="19255" xr:uid="{D8436BEF-B6A8-49BC-BBC6-3E916A58503D}"/>
    <cellStyle name="Normal 8 2 2 2 3 11" xfId="9958" xr:uid="{A4838126-8AD2-412F-B68D-8720BEFD5913}"/>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42925" xr:uid="{2C3DE270-8A03-4EDF-AD88-9B6F0665FA44}"/>
    <cellStyle name="Normal 8 2 2 2 3 2 2 2 3" xfId="34478" xr:uid="{856D8F45-9CF8-4624-A57F-9BD86A9CB80A}"/>
    <cellStyle name="Normal 8 2 2 2 3 2 2 2 4" xfId="26030" xr:uid="{85F4831E-19D1-4A9E-94B5-D2D1240E7DFA}"/>
    <cellStyle name="Normal 8 2 2 2 3 2 2 2 5" xfId="16733" xr:uid="{13963C7D-E808-4F3E-9480-BB945AD5AD32}"/>
    <cellStyle name="Normal 8 2 2 2 3 2 2 3" xfId="38708" xr:uid="{2932CDFD-9301-45FE-A6F8-2837D1B077FE}"/>
    <cellStyle name="Normal 8 2 2 2 3 2 2 4" xfId="30260" xr:uid="{7E614B5F-A62E-4B37-B6FC-BDB10FB752C7}"/>
    <cellStyle name="Normal 8 2 2 2 3 2 2 5" xfId="21813" xr:uid="{5781BCC3-3701-4E55-A410-362B610126BE}"/>
    <cellStyle name="Normal 8 2 2 2 3 2 2 6" xfId="12516" xr:uid="{35EF90A4-E824-48C5-920A-CFD647FEB6DD}"/>
    <cellStyle name="Normal 8 2 2 2 3 2 3" xfId="5262" xr:uid="{00000000-0005-0000-0000-0000221C0000}"/>
    <cellStyle name="Normal 8 2 2 2 3 2 3 2" xfId="40780" xr:uid="{ACA18346-8D71-42EF-85BA-EA4B8B62FD27}"/>
    <cellStyle name="Normal 8 2 2 2 3 2 3 3" xfId="32333" xr:uid="{4CF4F324-0C34-43D9-92E1-2A38C060FC98}"/>
    <cellStyle name="Normal 8 2 2 2 3 2 3 4" xfId="23885" xr:uid="{DCA4D6E6-2419-423F-A97C-4A8B66734F41}"/>
    <cellStyle name="Normal 8 2 2 2 3 2 3 5" xfId="14588" xr:uid="{B62DE079-81C4-4037-8BCE-8FA901437B07}"/>
    <cellStyle name="Normal 8 2 2 2 3 2 4" xfId="9468" xr:uid="{8CC4AD0E-72B4-4935-8967-B171D7B5EF8D}"/>
    <cellStyle name="Normal 8 2 2 2 3 2 4 2" xfId="36563" xr:uid="{E8765C45-CDA7-4563-A9B5-BF98E70E127F}"/>
    <cellStyle name="Normal 8 2 2 2 3 2 4 3" xfId="18781" xr:uid="{D35754E8-361D-480B-89BB-676F48DF9731}"/>
    <cellStyle name="Normal 8 2 2 2 3 2 5" xfId="28115" xr:uid="{14C3B1E0-1E06-47C4-8951-C58149E4E842}"/>
    <cellStyle name="Normal 8 2 2 2 3 2 6" xfId="19668" xr:uid="{BC5B6D73-8235-40D6-9A27-0BAC7A6BB825}"/>
    <cellStyle name="Normal 8 2 2 2 3 2 7" xfId="10371" xr:uid="{07C30EFC-E9E9-42E1-AF5A-ADE2AE57FAEC}"/>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43338" xr:uid="{331B1AAB-B1D3-4A3C-BB10-F7F2E8CD453A}"/>
    <cellStyle name="Normal 8 2 2 2 3 3 2 2 3" xfId="34891" xr:uid="{0DE1BB68-40ED-4FD5-923D-7BB02C160FE9}"/>
    <cellStyle name="Normal 8 2 2 2 3 3 2 2 4" xfId="26443" xr:uid="{A316264A-CCCE-4C6B-89EA-BAF72E3DB335}"/>
    <cellStyle name="Normal 8 2 2 2 3 3 2 2 5" xfId="17146" xr:uid="{2E6C1730-47B2-4DA8-997B-E0AA97A8C0AB}"/>
    <cellStyle name="Normal 8 2 2 2 3 3 2 3" xfId="39121" xr:uid="{EA9B60E1-FB9D-40A8-8B1E-1F4A194A3601}"/>
    <cellStyle name="Normal 8 2 2 2 3 3 2 4" xfId="30673" xr:uid="{4EEF75E3-B43B-4D2C-9A43-B8A8EBE75E96}"/>
    <cellStyle name="Normal 8 2 2 2 3 3 2 5" xfId="22226" xr:uid="{81CC605A-B6D0-4B8C-BA75-CB45FEC1A34F}"/>
    <cellStyle name="Normal 8 2 2 2 3 3 2 6" xfId="12929" xr:uid="{A2A2A0FE-345D-49D5-A042-FF364D87D934}"/>
    <cellStyle name="Normal 8 2 2 2 3 3 3" xfId="5675" xr:uid="{00000000-0005-0000-0000-0000261C0000}"/>
    <cellStyle name="Normal 8 2 2 2 3 3 3 2" xfId="41193" xr:uid="{69E15028-EE54-47B3-B38E-F3A608DE91BF}"/>
    <cellStyle name="Normal 8 2 2 2 3 3 3 3" xfId="32746" xr:uid="{CAF1415A-0E5E-4344-B9CB-71F246FD778E}"/>
    <cellStyle name="Normal 8 2 2 2 3 3 3 4" xfId="24298" xr:uid="{28CEEFA4-05BA-404E-BB86-3EE14F3D3107}"/>
    <cellStyle name="Normal 8 2 2 2 3 3 3 5" xfId="15001" xr:uid="{4DEE66C5-452B-4331-A92C-E77404295F9E}"/>
    <cellStyle name="Normal 8 2 2 2 3 3 4" xfId="36976" xr:uid="{B2FB21F0-A65D-4194-8C74-43770B7E9F73}"/>
    <cellStyle name="Normal 8 2 2 2 3 3 5" xfId="28528" xr:uid="{B4F1686F-E37E-46EA-B144-F3C7C074689E}"/>
    <cellStyle name="Normal 8 2 2 2 3 3 6" xfId="20081" xr:uid="{83FA9915-C023-4381-A9D3-E66A4BF624D4}"/>
    <cellStyle name="Normal 8 2 2 2 3 3 7" xfId="10784" xr:uid="{0D07F9E0-1974-4052-A0E6-06BD29B00A55}"/>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43751" xr:uid="{281EE482-A20C-41B0-8B12-B24EABDC582A}"/>
    <cellStyle name="Normal 8 2 2 2 3 4 2 2 3" xfId="35304" xr:uid="{5A390430-740F-4010-A07F-D187141F9AD9}"/>
    <cellStyle name="Normal 8 2 2 2 3 4 2 2 4" xfId="26856" xr:uid="{21313C63-0CE6-4293-91F8-8ADE70DFBF8E}"/>
    <cellStyle name="Normal 8 2 2 2 3 4 2 2 5" xfId="17559" xr:uid="{2C1D1B7F-0D41-4A69-938A-C797D60C8200}"/>
    <cellStyle name="Normal 8 2 2 2 3 4 2 3" xfId="39534" xr:uid="{33F1820F-FC1F-4A23-B250-FD123396ABDE}"/>
    <cellStyle name="Normal 8 2 2 2 3 4 2 4" xfId="31086" xr:uid="{D592EF21-587A-4CC9-8D64-26B5564011D6}"/>
    <cellStyle name="Normal 8 2 2 2 3 4 2 5" xfId="22639" xr:uid="{CA57A03D-9B03-4097-A7D6-CD6409A770E8}"/>
    <cellStyle name="Normal 8 2 2 2 3 4 2 6" xfId="13342" xr:uid="{B38D4F92-FAEC-491F-8BEE-EE00BBC7E06C}"/>
    <cellStyle name="Normal 8 2 2 2 3 4 3" xfId="6088" xr:uid="{00000000-0005-0000-0000-00002A1C0000}"/>
    <cellStyle name="Normal 8 2 2 2 3 4 3 2" xfId="41606" xr:uid="{55F1F5A1-87BF-4063-8825-77B4657786AD}"/>
    <cellStyle name="Normal 8 2 2 2 3 4 3 3" xfId="33159" xr:uid="{333BD047-CEE4-475D-8795-404233035704}"/>
    <cellStyle name="Normal 8 2 2 2 3 4 3 4" xfId="24711" xr:uid="{2EE2CEFD-5AB0-481E-9C87-DDC6D079AB27}"/>
    <cellStyle name="Normal 8 2 2 2 3 4 3 5" xfId="15414" xr:uid="{42153589-9762-4D32-875F-5FA31A8B71EE}"/>
    <cellStyle name="Normal 8 2 2 2 3 4 4" xfId="37389" xr:uid="{22FA9771-B649-410D-A063-F0A8921C9011}"/>
    <cellStyle name="Normal 8 2 2 2 3 4 5" xfId="28941" xr:uid="{BAE5D097-691E-43A6-9E68-F4BF453A91D6}"/>
    <cellStyle name="Normal 8 2 2 2 3 4 6" xfId="20494" xr:uid="{1185713E-903C-43C5-9911-835B8A111257}"/>
    <cellStyle name="Normal 8 2 2 2 3 4 7" xfId="11197" xr:uid="{69A650B1-2C8E-4EFB-9EC4-A38C09BB1619}"/>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44164" xr:uid="{12510A0C-0625-4DB5-B6BE-4341B23D64CF}"/>
    <cellStyle name="Normal 8 2 2 2 3 5 2 2 3" xfId="35717" xr:uid="{B31FD881-73B6-4F95-BC2D-63CD38A5B7A8}"/>
    <cellStyle name="Normal 8 2 2 2 3 5 2 2 4" xfId="27269" xr:uid="{3B473895-96D4-4730-BA03-A1116FD145BE}"/>
    <cellStyle name="Normal 8 2 2 2 3 5 2 2 5" xfId="17972" xr:uid="{66502E6B-8303-487B-A79B-13516FA58AC7}"/>
    <cellStyle name="Normal 8 2 2 2 3 5 2 3" xfId="39947" xr:uid="{5C8A1FFC-7155-493C-9A95-C13B7EEC051F}"/>
    <cellStyle name="Normal 8 2 2 2 3 5 2 4" xfId="31499" xr:uid="{9BD83E19-39F9-4C48-8D05-361F2B08B154}"/>
    <cellStyle name="Normal 8 2 2 2 3 5 2 5" xfId="23052" xr:uid="{6AA46B70-269E-4863-8CD3-683C99BCEFB5}"/>
    <cellStyle name="Normal 8 2 2 2 3 5 2 6" xfId="13755" xr:uid="{DB028767-F270-4F90-A204-876BFEE2EC99}"/>
    <cellStyle name="Normal 8 2 2 2 3 5 3" xfId="6501" xr:uid="{00000000-0005-0000-0000-00002E1C0000}"/>
    <cellStyle name="Normal 8 2 2 2 3 5 3 2" xfId="42019" xr:uid="{2CE1F419-B7DC-4184-9ED2-A20C270867BD}"/>
    <cellStyle name="Normal 8 2 2 2 3 5 3 3" xfId="33572" xr:uid="{8B4EDFFF-3DFE-4429-9457-451DF2288CCC}"/>
    <cellStyle name="Normal 8 2 2 2 3 5 3 4" xfId="25124" xr:uid="{4BAFCB26-8077-4A5A-B0A5-89205A2A1A10}"/>
    <cellStyle name="Normal 8 2 2 2 3 5 3 5" xfId="15827" xr:uid="{EDAA22BD-45E5-44C1-A5D0-79FB1BC41984}"/>
    <cellStyle name="Normal 8 2 2 2 3 5 4" xfId="37802" xr:uid="{5BC8EDA5-8E33-4FAB-ABD8-2345BD821425}"/>
    <cellStyle name="Normal 8 2 2 2 3 5 5" xfId="29354" xr:uid="{33135F40-2DB0-49DB-B68A-0F14B3D6BE9E}"/>
    <cellStyle name="Normal 8 2 2 2 3 5 6" xfId="20907" xr:uid="{6B7AE187-04BE-47CA-8DE1-0358794DC733}"/>
    <cellStyle name="Normal 8 2 2 2 3 5 7" xfId="11610" xr:uid="{A0A16CA8-1DBD-4E6B-86FA-1E9DE3D70EE8}"/>
    <cellStyle name="Normal 8 2 2 2 3 6" xfId="2631" xr:uid="{00000000-0005-0000-0000-00002F1C0000}"/>
    <cellStyle name="Normal 8 2 2 2 3 6 2" xfId="6914" xr:uid="{00000000-0005-0000-0000-0000301C0000}"/>
    <cellStyle name="Normal 8 2 2 2 3 6 2 2" xfId="42432" xr:uid="{B7E48C32-C484-4089-BADF-39C9CD00F370}"/>
    <cellStyle name="Normal 8 2 2 2 3 6 2 3" xfId="33985" xr:uid="{618CD32E-DDC9-4FEB-8C15-7C33DF258E26}"/>
    <cellStyle name="Normal 8 2 2 2 3 6 2 4" xfId="25537" xr:uid="{7D340DE1-6B0A-472D-A43E-A2A32CA08296}"/>
    <cellStyle name="Normal 8 2 2 2 3 6 2 5" xfId="16240" xr:uid="{27F7010C-580A-40FF-85FA-91819262C7C8}"/>
    <cellStyle name="Normal 8 2 2 2 3 6 3" xfId="38215" xr:uid="{81E2B294-6E90-4D18-B0B5-08EE69226C72}"/>
    <cellStyle name="Normal 8 2 2 2 3 6 4" xfId="29767" xr:uid="{40DC27C2-424E-497A-A2BB-F9432DA73170}"/>
    <cellStyle name="Normal 8 2 2 2 3 6 5" xfId="21320" xr:uid="{FB788951-521A-4D41-A45B-767ED37A224F}"/>
    <cellStyle name="Normal 8 2 2 2 3 6 6" xfId="12023" xr:uid="{E53736CB-4D06-4B21-8F11-E81E729B4A7F}"/>
    <cellStyle name="Normal 8 2 2 2 3 7" xfId="4849" xr:uid="{00000000-0005-0000-0000-0000311C0000}"/>
    <cellStyle name="Normal 8 2 2 2 3 7 2" xfId="40367" xr:uid="{F601C3C4-6EF5-48F3-AECA-28FFEA233E55}"/>
    <cellStyle name="Normal 8 2 2 2 3 7 3" xfId="31920" xr:uid="{608BCEBD-8ADC-4AFE-B852-17F47BB1B099}"/>
    <cellStyle name="Normal 8 2 2 2 3 7 4" xfId="23472" xr:uid="{15FF4CD8-F39E-42CE-A182-D0FD5CC3F5DB}"/>
    <cellStyle name="Normal 8 2 2 2 3 7 5" xfId="14175" xr:uid="{365C8864-8522-4D86-A389-1B717C4FA6EA}"/>
    <cellStyle name="Normal 8 2 2 2 3 8" xfId="9043" xr:uid="{BAC463DF-40A7-4F07-ADD3-7274E57F505C}"/>
    <cellStyle name="Normal 8 2 2 2 3 8 2" xfId="36150" xr:uid="{643E7E86-ABC9-41B9-BC4D-037E41AAFFAD}"/>
    <cellStyle name="Normal 8 2 2 2 3 8 3" xfId="18366" xr:uid="{29C72CA1-1751-4EA0-87C0-B0D2DE936382}"/>
    <cellStyle name="Normal 8 2 2 2 3 9" xfId="27702" xr:uid="{630BD2C6-5D29-4638-B223-3E88322621C6}"/>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42922" xr:uid="{BC72507C-9756-46F9-93FA-04FD7B644D70}"/>
    <cellStyle name="Normal 8 2 2 2 4 2 2 3" xfId="34475" xr:uid="{1C2373B5-4436-4354-93A2-71704760FD03}"/>
    <cellStyle name="Normal 8 2 2 2 4 2 2 4" xfId="26027" xr:uid="{2EAE8C94-FE37-4ED4-BFD6-3177EDD5BD93}"/>
    <cellStyle name="Normal 8 2 2 2 4 2 2 5" xfId="16730" xr:uid="{EC7F9E4C-C84C-4B41-8435-023EC4B44465}"/>
    <cellStyle name="Normal 8 2 2 2 4 2 3" xfId="38705" xr:uid="{FAAC05D6-72C4-4726-B6F4-8642046EEB0C}"/>
    <cellStyle name="Normal 8 2 2 2 4 2 4" xfId="30257" xr:uid="{E032BAC2-8378-4958-9BC1-F7F05EC096EF}"/>
    <cellStyle name="Normal 8 2 2 2 4 2 5" xfId="21810" xr:uid="{513F0C38-374C-43F0-911E-5DCC83E02B62}"/>
    <cellStyle name="Normal 8 2 2 2 4 2 6" xfId="12513" xr:uid="{DFDED564-63D9-4DE4-85AE-6E514AF4BA25}"/>
    <cellStyle name="Normal 8 2 2 2 4 3" xfId="5259" xr:uid="{00000000-0005-0000-0000-0000351C0000}"/>
    <cellStyle name="Normal 8 2 2 2 4 3 2" xfId="40777" xr:uid="{D53B78EA-2738-431C-948A-51BB6F4C9C15}"/>
    <cellStyle name="Normal 8 2 2 2 4 3 3" xfId="32330" xr:uid="{BDA871A2-EDC4-4518-A56F-9E044691CE92}"/>
    <cellStyle name="Normal 8 2 2 2 4 3 4" xfId="23882" xr:uid="{17164014-60F7-4DAD-AEE4-93AB1FA5B1C8}"/>
    <cellStyle name="Normal 8 2 2 2 4 3 5" xfId="14585" xr:uid="{A23331ED-F066-4CFB-B7DA-D814F54BB656}"/>
    <cellStyle name="Normal 8 2 2 2 4 4" xfId="9261" xr:uid="{70C29865-A6DE-4682-9EB1-83E4E07FD0A7}"/>
    <cellStyle name="Normal 8 2 2 2 4 4 2" xfId="36560" xr:uid="{98C2504B-AAFE-4EEE-8D5B-B90216C34F95}"/>
    <cellStyle name="Normal 8 2 2 2 4 4 3" xfId="18574" xr:uid="{9196CB49-10A1-45A8-8C7D-B93F48B1FC04}"/>
    <cellStyle name="Normal 8 2 2 2 4 5" xfId="28112" xr:uid="{D7322221-BDE4-4B88-A183-71F8007AD810}"/>
    <cellStyle name="Normal 8 2 2 2 4 6" xfId="19665" xr:uid="{7F46C9A4-4BE3-4CFA-AE01-CC6C85BE9FFF}"/>
    <cellStyle name="Normal 8 2 2 2 4 7" xfId="10368" xr:uid="{18E65687-D17B-4270-9F78-DE19808863A3}"/>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43335" xr:uid="{F15391C9-D37A-406F-B210-B96FC27D767C}"/>
    <cellStyle name="Normal 8 2 2 2 5 2 2 3" xfId="34888" xr:uid="{4AD14A80-6311-4CD1-AF0F-AE071B30DB87}"/>
    <cellStyle name="Normal 8 2 2 2 5 2 2 4" xfId="26440" xr:uid="{5EAF9D0D-1EF9-4837-8501-E106BDE7A2EB}"/>
    <cellStyle name="Normal 8 2 2 2 5 2 2 5" xfId="17143" xr:uid="{B1501A3C-1830-4811-8925-51495D884E27}"/>
    <cellStyle name="Normal 8 2 2 2 5 2 3" xfId="39118" xr:uid="{0DA784A3-0D65-4E07-B031-534DE45E952B}"/>
    <cellStyle name="Normal 8 2 2 2 5 2 4" xfId="30670" xr:uid="{FBEEB323-0B4F-47D2-AB83-E3AF7F134BC8}"/>
    <cellStyle name="Normal 8 2 2 2 5 2 5" xfId="22223" xr:uid="{8E5476F8-91B3-4EC4-A46F-9BDD43761FA2}"/>
    <cellStyle name="Normal 8 2 2 2 5 2 6" xfId="12926" xr:uid="{166ED5BF-6DBE-4891-B854-04C37E40BF57}"/>
    <cellStyle name="Normal 8 2 2 2 5 3" xfId="5672" xr:uid="{00000000-0005-0000-0000-0000391C0000}"/>
    <cellStyle name="Normal 8 2 2 2 5 3 2" xfId="41190" xr:uid="{C083BF22-4FA2-4B2B-A922-8A49E3D20934}"/>
    <cellStyle name="Normal 8 2 2 2 5 3 3" xfId="32743" xr:uid="{6BD44D61-FC70-4B3A-AC38-923E5A771768}"/>
    <cellStyle name="Normal 8 2 2 2 5 3 4" xfId="24295" xr:uid="{C224F80E-5AE7-426B-A865-CCDFCF1FF147}"/>
    <cellStyle name="Normal 8 2 2 2 5 3 5" xfId="14998" xr:uid="{EF7FADFA-65B9-4E3C-8AB7-C9715A218572}"/>
    <cellStyle name="Normal 8 2 2 2 5 4" xfId="36973" xr:uid="{5383AF7B-FB48-42E9-B462-F35AF801986E}"/>
    <cellStyle name="Normal 8 2 2 2 5 5" xfId="28525" xr:uid="{A5ECADF8-4712-4D56-9A69-7844C57B1D57}"/>
    <cellStyle name="Normal 8 2 2 2 5 6" xfId="20078" xr:uid="{11D5C9DD-0B8E-4DC5-B61C-73C1DF45EEEC}"/>
    <cellStyle name="Normal 8 2 2 2 5 7" xfId="10781" xr:uid="{4AEE4B43-9031-4EA7-BE2F-EFDC01222523}"/>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43748" xr:uid="{D5EC428E-8E69-435C-9842-2F8047C2DCA3}"/>
    <cellStyle name="Normal 8 2 2 2 6 2 2 3" xfId="35301" xr:uid="{5CFE78A0-9966-4B13-A077-5CAC16056D13}"/>
    <cellStyle name="Normal 8 2 2 2 6 2 2 4" xfId="26853" xr:uid="{5FBB4284-72A8-459A-82AD-04B1B566D185}"/>
    <cellStyle name="Normal 8 2 2 2 6 2 2 5" xfId="17556" xr:uid="{6B2C7A65-0D1B-47A6-8C3E-994D824F57CC}"/>
    <cellStyle name="Normal 8 2 2 2 6 2 3" xfId="39531" xr:uid="{6640AFE5-F635-4AB8-A4FF-C08D43DCDC3D}"/>
    <cellStyle name="Normal 8 2 2 2 6 2 4" xfId="31083" xr:uid="{366E0724-F0EF-4A42-B614-BFED2EC30BA1}"/>
    <cellStyle name="Normal 8 2 2 2 6 2 5" xfId="22636" xr:uid="{0EE6E346-B4A7-421B-963E-C9A3F5347F41}"/>
    <cellStyle name="Normal 8 2 2 2 6 2 6" xfId="13339" xr:uid="{5301F46E-48CE-40FB-B79E-43C85AA9DADD}"/>
    <cellStyle name="Normal 8 2 2 2 6 3" xfId="6085" xr:uid="{00000000-0005-0000-0000-00003D1C0000}"/>
    <cellStyle name="Normal 8 2 2 2 6 3 2" xfId="41603" xr:uid="{7372234B-5C88-445F-8F9E-78CC9B82DDF8}"/>
    <cellStyle name="Normal 8 2 2 2 6 3 3" xfId="33156" xr:uid="{9410C8B8-8EF3-4D2D-B7FD-425AE5651767}"/>
    <cellStyle name="Normal 8 2 2 2 6 3 4" xfId="24708" xr:uid="{A387548A-F0EE-41CB-9C33-9299F5C25BD7}"/>
    <cellStyle name="Normal 8 2 2 2 6 3 5" xfId="15411" xr:uid="{B82B77EE-54CB-4CCA-9C39-7E3431F8E18A}"/>
    <cellStyle name="Normal 8 2 2 2 6 4" xfId="37386" xr:uid="{A023AB95-C5E9-426A-A275-41275CA2932A}"/>
    <cellStyle name="Normal 8 2 2 2 6 5" xfId="28938" xr:uid="{F37100C9-C5D1-4691-BE51-E315614E2844}"/>
    <cellStyle name="Normal 8 2 2 2 6 6" xfId="20491" xr:uid="{AB8064C7-CD6B-404D-AD5F-9293AB3AC75C}"/>
    <cellStyle name="Normal 8 2 2 2 6 7" xfId="11194" xr:uid="{3CEEEA9A-9A00-4115-983A-69FECFAC79A6}"/>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44161" xr:uid="{E33045DA-1429-445B-9BEC-82537747841E}"/>
    <cellStyle name="Normal 8 2 2 2 7 2 2 3" xfId="35714" xr:uid="{A11BE299-9F63-4E8E-AFB4-B3900D0EA099}"/>
    <cellStyle name="Normal 8 2 2 2 7 2 2 4" xfId="27266" xr:uid="{00BFB04B-5E71-4371-A8E3-07326D4574BF}"/>
    <cellStyle name="Normal 8 2 2 2 7 2 2 5" xfId="17969" xr:uid="{277465A3-A46D-4219-A3FF-27F4C5F61225}"/>
    <cellStyle name="Normal 8 2 2 2 7 2 3" xfId="39944" xr:uid="{3294B4CC-97F4-4FE6-98FE-65296D21DC99}"/>
    <cellStyle name="Normal 8 2 2 2 7 2 4" xfId="31496" xr:uid="{20A681C8-DEA1-41D9-AE79-34C34478C41E}"/>
    <cellStyle name="Normal 8 2 2 2 7 2 5" xfId="23049" xr:uid="{A0BD7004-4A22-43A9-824B-78084D61ED92}"/>
    <cellStyle name="Normal 8 2 2 2 7 2 6" xfId="13752" xr:uid="{9A0021B8-83F0-4B39-B8A7-37E42A7E1D7C}"/>
    <cellStyle name="Normal 8 2 2 2 7 3" xfId="6498" xr:uid="{00000000-0005-0000-0000-0000411C0000}"/>
    <cellStyle name="Normal 8 2 2 2 7 3 2" xfId="42016" xr:uid="{56035EC3-781D-4D3D-9519-8B95C49B42A6}"/>
    <cellStyle name="Normal 8 2 2 2 7 3 3" xfId="33569" xr:uid="{620B1EC8-84E9-4FED-8412-C247E7A7D4F9}"/>
    <cellStyle name="Normal 8 2 2 2 7 3 4" xfId="25121" xr:uid="{FD0F5C2E-E3E6-40D9-99C5-F4DC49CD34E0}"/>
    <cellStyle name="Normal 8 2 2 2 7 3 5" xfId="15824" xr:uid="{8207B23D-A088-4359-B9B3-9E0AFD12BDF8}"/>
    <cellStyle name="Normal 8 2 2 2 7 4" xfId="37799" xr:uid="{BC44271D-F479-4DBC-BEE3-A0A08B82D267}"/>
    <cellStyle name="Normal 8 2 2 2 7 5" xfId="29351" xr:uid="{9FC45692-5DF5-4B4D-A65B-2A2039159F08}"/>
    <cellStyle name="Normal 8 2 2 2 7 6" xfId="20904" xr:uid="{E0122746-F810-400D-BDA5-47E718FF9C72}"/>
    <cellStyle name="Normal 8 2 2 2 7 7" xfId="11607" xr:uid="{D2E9A514-1634-4722-929E-D5DD48B69902}"/>
    <cellStyle name="Normal 8 2 2 2 8" xfId="2628" xr:uid="{00000000-0005-0000-0000-0000421C0000}"/>
    <cellStyle name="Normal 8 2 2 2 8 2" xfId="6911" xr:uid="{00000000-0005-0000-0000-0000431C0000}"/>
    <cellStyle name="Normal 8 2 2 2 8 2 2" xfId="42429" xr:uid="{DE21297B-14E7-4837-B726-CAA77F8345A4}"/>
    <cellStyle name="Normal 8 2 2 2 8 2 3" xfId="33982" xr:uid="{67E2F377-2BEF-49E4-92A2-6CE3AF1734C1}"/>
    <cellStyle name="Normal 8 2 2 2 8 2 4" xfId="25534" xr:uid="{4E750CB8-8F2D-4F29-935D-468D441E6343}"/>
    <cellStyle name="Normal 8 2 2 2 8 2 5" xfId="16237" xr:uid="{7293339C-DF33-483A-AB10-F3400ED9DF41}"/>
    <cellStyle name="Normal 8 2 2 2 8 3" xfId="38212" xr:uid="{6ED61CD2-FEA6-4C31-9292-63723D1E8BBB}"/>
    <cellStyle name="Normal 8 2 2 2 8 4" xfId="29764" xr:uid="{8C4E2AE9-31EB-471B-B181-A0083856DFE9}"/>
    <cellStyle name="Normal 8 2 2 2 8 5" xfId="21317" xr:uid="{0233D627-051A-463F-9895-75B2A109A739}"/>
    <cellStyle name="Normal 8 2 2 2 8 6" xfId="12020" xr:uid="{EF9BFEE9-4485-431E-BE6E-8D323EB497E6}"/>
    <cellStyle name="Normal 8 2 2 2 9" xfId="4846" xr:uid="{00000000-0005-0000-0000-0000441C0000}"/>
    <cellStyle name="Normal 8 2 2 2 9 2" xfId="40364" xr:uid="{6C1DAD15-172C-4F8B-94A2-48D37CD929E2}"/>
    <cellStyle name="Normal 8 2 2 2 9 3" xfId="31917" xr:uid="{F70643D3-591E-4E7E-B629-899E74A7FDEC}"/>
    <cellStyle name="Normal 8 2 2 2 9 4" xfId="23469" xr:uid="{E6B323DA-4FC3-4DDF-90AD-B7310A3C5B9A}"/>
    <cellStyle name="Normal 8 2 2 2 9 5" xfId="14172" xr:uid="{35C2AECA-14A2-48C9-8751-6356B731B347}"/>
    <cellStyle name="Normal 8 2 2 3" xfId="485" xr:uid="{00000000-0005-0000-0000-0000451C0000}"/>
    <cellStyle name="Normal 8 2 2 3 10" xfId="27703" xr:uid="{27A17EF9-2AF0-46EE-BC62-810DFB0E6298}"/>
    <cellStyle name="Normal 8 2 2 3 11" xfId="19256" xr:uid="{F359F78B-A4F1-46FE-B925-03786B02DCA8}"/>
    <cellStyle name="Normal 8 2 2 3 12" xfId="9959" xr:uid="{62AFA1D2-C5D3-4346-8AEB-E2C46B95B573}"/>
    <cellStyle name="Normal 8 2 2 3 2" xfId="486" xr:uid="{00000000-0005-0000-0000-0000461C0000}"/>
    <cellStyle name="Normal 8 2 2 3 2 10" xfId="19257" xr:uid="{93606EC6-F3A5-4354-A6B8-1F26724E8E2E}"/>
    <cellStyle name="Normal 8 2 2 3 2 11" xfId="9960" xr:uid="{207D2CBD-5C03-49E9-95E6-0BEB588C8BCE}"/>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42927" xr:uid="{AE5914BF-B2BF-4947-A832-A6CB4BCAE44A}"/>
    <cellStyle name="Normal 8 2 2 3 2 2 2 2 3" xfId="34480" xr:uid="{ECC57DE5-64DB-4242-A467-A71E9B167F1D}"/>
    <cellStyle name="Normal 8 2 2 3 2 2 2 2 4" xfId="26032" xr:uid="{21E598C7-655C-4B0C-97AB-66CE84D33862}"/>
    <cellStyle name="Normal 8 2 2 3 2 2 2 2 5" xfId="16735" xr:uid="{95AE1D3B-867D-426C-80DD-34D01E014BD9}"/>
    <cellStyle name="Normal 8 2 2 3 2 2 2 3" xfId="38710" xr:uid="{0AA852C4-97FC-49F2-ADD8-CEB9CF67C771}"/>
    <cellStyle name="Normal 8 2 2 3 2 2 2 4" xfId="30262" xr:uid="{63B1C478-4210-4CA9-B0D9-1F02EA28A0CD}"/>
    <cellStyle name="Normal 8 2 2 3 2 2 2 5" xfId="21815" xr:uid="{422EA3BC-5BCE-4C33-9C4C-95608B7E41D7}"/>
    <cellStyle name="Normal 8 2 2 3 2 2 2 6" xfId="12518" xr:uid="{770CB26F-6668-4CD8-939E-AB26B5353D29}"/>
    <cellStyle name="Normal 8 2 2 3 2 2 3" xfId="5264" xr:uid="{00000000-0005-0000-0000-00004A1C0000}"/>
    <cellStyle name="Normal 8 2 2 3 2 2 3 2" xfId="40782" xr:uid="{8E680134-E309-437C-BD1C-029CD2A6BB8D}"/>
    <cellStyle name="Normal 8 2 2 3 2 2 3 3" xfId="32335" xr:uid="{E06E2E1B-2FD7-41BB-842C-B964CE148FCF}"/>
    <cellStyle name="Normal 8 2 2 3 2 2 3 4" xfId="23887" xr:uid="{83ADF88B-20ED-441A-BBD0-7C87ADA52049}"/>
    <cellStyle name="Normal 8 2 2 3 2 2 3 5" xfId="14590" xr:uid="{8FF0FDB9-F7E6-43A8-915C-86B736F69309}"/>
    <cellStyle name="Normal 8 2 2 3 2 2 4" xfId="9518" xr:uid="{FDE93D5E-A6D1-456B-8726-FC2AB8FD16A4}"/>
    <cellStyle name="Normal 8 2 2 3 2 2 4 2" xfId="36565" xr:uid="{1653760B-224D-4969-995F-6C74F0632401}"/>
    <cellStyle name="Normal 8 2 2 3 2 2 4 3" xfId="18831" xr:uid="{011AB1D9-3271-4B09-838D-66D7F993FA81}"/>
    <cellStyle name="Normal 8 2 2 3 2 2 5" xfId="28117" xr:uid="{3B95E73C-F861-4841-A3E6-4F428B216FEC}"/>
    <cellStyle name="Normal 8 2 2 3 2 2 6" xfId="19670" xr:uid="{2304BEA5-5967-4A45-80AC-B111DC6F2C22}"/>
    <cellStyle name="Normal 8 2 2 3 2 2 7" xfId="10373" xr:uid="{4508B87A-6BC0-4A4E-802D-2B111DBAB51D}"/>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43340" xr:uid="{F0DC7233-00DC-4F20-9F13-5B55AF73955C}"/>
    <cellStyle name="Normal 8 2 2 3 2 3 2 2 3" xfId="34893" xr:uid="{1B4F53D5-58BE-46F7-86CE-70D96627B76F}"/>
    <cellStyle name="Normal 8 2 2 3 2 3 2 2 4" xfId="26445" xr:uid="{9BF43942-98C3-4FE3-AB32-26B4DBFAF5C6}"/>
    <cellStyle name="Normal 8 2 2 3 2 3 2 2 5" xfId="17148" xr:uid="{4CA92B5A-A187-4A89-B36D-45837EB7E79A}"/>
    <cellStyle name="Normal 8 2 2 3 2 3 2 3" xfId="39123" xr:uid="{4FD12146-A2A0-4F04-9D4D-D390AB0AD38F}"/>
    <cellStyle name="Normal 8 2 2 3 2 3 2 4" xfId="30675" xr:uid="{4C5E6A31-D3CB-4A86-BAEA-61E022C5FF8A}"/>
    <cellStyle name="Normal 8 2 2 3 2 3 2 5" xfId="22228" xr:uid="{90715B0B-BAA1-4358-AF8F-0D8F1139886D}"/>
    <cellStyle name="Normal 8 2 2 3 2 3 2 6" xfId="12931" xr:uid="{BFFF1965-131D-4457-A905-90DB52985B80}"/>
    <cellStyle name="Normal 8 2 2 3 2 3 3" xfId="5677" xr:uid="{00000000-0005-0000-0000-00004E1C0000}"/>
    <cellStyle name="Normal 8 2 2 3 2 3 3 2" xfId="41195" xr:uid="{791E7B16-0701-46C5-B208-9579D2F17CD4}"/>
    <cellStyle name="Normal 8 2 2 3 2 3 3 3" xfId="32748" xr:uid="{F51CE4F7-5FD1-49B7-936D-2ECFBF62F0B4}"/>
    <cellStyle name="Normal 8 2 2 3 2 3 3 4" xfId="24300" xr:uid="{1BCED4CC-0FBA-40B9-AE45-7F475674DA3F}"/>
    <cellStyle name="Normal 8 2 2 3 2 3 3 5" xfId="15003" xr:uid="{B8B77B48-7481-4FD0-9979-45750C423B05}"/>
    <cellStyle name="Normal 8 2 2 3 2 3 4" xfId="36978" xr:uid="{CD3D79B5-5FCE-4E1F-AA48-2E9BD0435FF6}"/>
    <cellStyle name="Normal 8 2 2 3 2 3 5" xfId="28530" xr:uid="{A1280A95-D33D-4531-AE0A-11730C981317}"/>
    <cellStyle name="Normal 8 2 2 3 2 3 6" xfId="20083" xr:uid="{173FA3DC-0D01-4F68-BCD2-73FD51D35159}"/>
    <cellStyle name="Normal 8 2 2 3 2 3 7" xfId="10786" xr:uid="{D6757237-E1C7-4599-A599-8AC6CECD809A}"/>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43753" xr:uid="{2A018D3B-AEFC-42AB-81D7-3FA95F438F85}"/>
    <cellStyle name="Normal 8 2 2 3 2 4 2 2 3" xfId="35306" xr:uid="{B6B79D1F-5CA8-4F27-9ECD-36082F9D6B25}"/>
    <cellStyle name="Normal 8 2 2 3 2 4 2 2 4" xfId="26858" xr:uid="{360F40E5-09A3-4FC0-8893-397EC6D1E7C7}"/>
    <cellStyle name="Normal 8 2 2 3 2 4 2 2 5" xfId="17561" xr:uid="{90DCA846-CB28-4C51-8E64-32D951E71791}"/>
    <cellStyle name="Normal 8 2 2 3 2 4 2 3" xfId="39536" xr:uid="{5FD0E76E-976F-4476-8FC6-48AFC79A042E}"/>
    <cellStyle name="Normal 8 2 2 3 2 4 2 4" xfId="31088" xr:uid="{B91C9FB7-D821-4A5C-8A12-F83AA71BC00B}"/>
    <cellStyle name="Normal 8 2 2 3 2 4 2 5" xfId="22641" xr:uid="{78D1E74E-831E-4AF9-831A-D238A3DFC16E}"/>
    <cellStyle name="Normal 8 2 2 3 2 4 2 6" xfId="13344" xr:uid="{FDC5FB4A-16D8-4D9C-BB2B-43371452505D}"/>
    <cellStyle name="Normal 8 2 2 3 2 4 3" xfId="6090" xr:uid="{00000000-0005-0000-0000-0000521C0000}"/>
    <cellStyle name="Normal 8 2 2 3 2 4 3 2" xfId="41608" xr:uid="{FD6B8BE1-21B0-47E4-B42F-306EF11F3A9F}"/>
    <cellStyle name="Normal 8 2 2 3 2 4 3 3" xfId="33161" xr:uid="{2CC3F09D-8D47-48D4-B771-31EF39624087}"/>
    <cellStyle name="Normal 8 2 2 3 2 4 3 4" xfId="24713" xr:uid="{4F869DB9-5FF7-49C3-957C-EDD744F7F92E}"/>
    <cellStyle name="Normal 8 2 2 3 2 4 3 5" xfId="15416" xr:uid="{C91E55F6-5F8D-4EAB-A5C1-02F68975D4EE}"/>
    <cellStyle name="Normal 8 2 2 3 2 4 4" xfId="37391" xr:uid="{854F52FD-CFA6-42D8-8F0D-6D5620E2687C}"/>
    <cellStyle name="Normal 8 2 2 3 2 4 5" xfId="28943" xr:uid="{3C0916A0-79E7-4BB5-8E66-8F0639D2AA16}"/>
    <cellStyle name="Normal 8 2 2 3 2 4 6" xfId="20496" xr:uid="{F33A2D4B-4193-46DF-B0D6-FCC6C60D42EB}"/>
    <cellStyle name="Normal 8 2 2 3 2 4 7" xfId="11199" xr:uid="{9D612C2C-9CAA-40D0-BE38-65E9EA496B25}"/>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44166" xr:uid="{A217B59A-3387-4DB5-8C04-2A0FB34DA1E4}"/>
    <cellStyle name="Normal 8 2 2 3 2 5 2 2 3" xfId="35719" xr:uid="{0DA4CB56-2732-4088-926D-7A3F7C1649F8}"/>
    <cellStyle name="Normal 8 2 2 3 2 5 2 2 4" xfId="27271" xr:uid="{3494CCA1-1E14-44A6-81AD-764D0C4401B3}"/>
    <cellStyle name="Normal 8 2 2 3 2 5 2 2 5" xfId="17974" xr:uid="{0ECA07E6-A5FE-4892-8B40-47733598F787}"/>
    <cellStyle name="Normal 8 2 2 3 2 5 2 3" xfId="39949" xr:uid="{FAE42FD9-EE05-4F15-823C-021047D8DD93}"/>
    <cellStyle name="Normal 8 2 2 3 2 5 2 4" xfId="31501" xr:uid="{7D099802-78B6-407B-8529-D186C4E79F94}"/>
    <cellStyle name="Normal 8 2 2 3 2 5 2 5" xfId="23054" xr:uid="{E44E7732-8631-46B7-B357-C450C22D7647}"/>
    <cellStyle name="Normal 8 2 2 3 2 5 2 6" xfId="13757" xr:uid="{B9A23B0A-7E8D-4938-BAA3-034F4489E89F}"/>
    <cellStyle name="Normal 8 2 2 3 2 5 3" xfId="6503" xr:uid="{00000000-0005-0000-0000-0000561C0000}"/>
    <cellStyle name="Normal 8 2 2 3 2 5 3 2" xfId="42021" xr:uid="{12CAD855-86CF-450E-902F-3AF32EFA0A7A}"/>
    <cellStyle name="Normal 8 2 2 3 2 5 3 3" xfId="33574" xr:uid="{39F30C68-786B-43D1-ABA6-766CB5B393C5}"/>
    <cellStyle name="Normal 8 2 2 3 2 5 3 4" xfId="25126" xr:uid="{3CCA993D-EFCB-4C55-84FE-78F1D0EC71A9}"/>
    <cellStyle name="Normal 8 2 2 3 2 5 3 5" xfId="15829" xr:uid="{7D10547E-6824-475A-93FF-EACDBBC5C534}"/>
    <cellStyle name="Normal 8 2 2 3 2 5 4" xfId="37804" xr:uid="{AC497916-CFA8-405A-A0A2-06D595C751D2}"/>
    <cellStyle name="Normal 8 2 2 3 2 5 5" xfId="29356" xr:uid="{D07669DD-3479-46A4-8E9E-0CE2A4DBE6A3}"/>
    <cellStyle name="Normal 8 2 2 3 2 5 6" xfId="20909" xr:uid="{CA56AF9A-A8CA-4C08-AB9A-ACFCAF3B085D}"/>
    <cellStyle name="Normal 8 2 2 3 2 5 7" xfId="11612" xr:uid="{B3C5062C-9092-40BE-911B-79CB4D7479F1}"/>
    <cellStyle name="Normal 8 2 2 3 2 6" xfId="2633" xr:uid="{00000000-0005-0000-0000-0000571C0000}"/>
    <cellStyle name="Normal 8 2 2 3 2 6 2" xfId="6916" xr:uid="{00000000-0005-0000-0000-0000581C0000}"/>
    <cellStyle name="Normal 8 2 2 3 2 6 2 2" xfId="42434" xr:uid="{87939C4C-B62D-4D0F-97C8-2C19114F76DE}"/>
    <cellStyle name="Normal 8 2 2 3 2 6 2 3" xfId="33987" xr:uid="{02310F3B-D737-4D8C-AD39-43ABE16E9316}"/>
    <cellStyle name="Normal 8 2 2 3 2 6 2 4" xfId="25539" xr:uid="{139B70F3-6064-497A-9BE7-97BE2DAB99E4}"/>
    <cellStyle name="Normal 8 2 2 3 2 6 2 5" xfId="16242" xr:uid="{AB7333E1-3723-4A38-AA65-48501A337D41}"/>
    <cellStyle name="Normal 8 2 2 3 2 6 3" xfId="38217" xr:uid="{23851EC4-1E9E-4FC6-87D5-18457B7DA0DB}"/>
    <cellStyle name="Normal 8 2 2 3 2 6 4" xfId="29769" xr:uid="{A181FC4C-632F-49B1-B681-CF0400A76375}"/>
    <cellStyle name="Normal 8 2 2 3 2 6 5" xfId="21322" xr:uid="{3E0AA5E5-11A9-4D8B-BEC4-202C9D41A7A7}"/>
    <cellStyle name="Normal 8 2 2 3 2 6 6" xfId="12025" xr:uid="{D6F6A5CB-8522-4691-AE13-11135EF23B0F}"/>
    <cellStyle name="Normal 8 2 2 3 2 7" xfId="4851" xr:uid="{00000000-0005-0000-0000-0000591C0000}"/>
    <cellStyle name="Normal 8 2 2 3 2 7 2" xfId="40369" xr:uid="{0D5769DC-CB21-49A2-8390-81CF037D54D4}"/>
    <cellStyle name="Normal 8 2 2 3 2 7 3" xfId="31922" xr:uid="{3884EBED-87C7-411D-A99A-8CB263A95482}"/>
    <cellStyle name="Normal 8 2 2 3 2 7 4" xfId="23474" xr:uid="{242698F3-AB50-441E-A9BB-61677FD109DB}"/>
    <cellStyle name="Normal 8 2 2 3 2 7 5" xfId="14177" xr:uid="{2CAA3F56-F682-4D1B-8636-75AB81F2B853}"/>
    <cellStyle name="Normal 8 2 2 3 2 8" xfId="9093" xr:uid="{ADE34C72-BCCB-477C-B66A-BE7159CEB281}"/>
    <cellStyle name="Normal 8 2 2 3 2 8 2" xfId="36152" xr:uid="{38B23CB5-396E-4AD2-BF65-B0B0524678A9}"/>
    <cellStyle name="Normal 8 2 2 3 2 8 3" xfId="18416" xr:uid="{982FE086-A31F-4BED-8E34-90B243589A35}"/>
    <cellStyle name="Normal 8 2 2 3 2 9" xfId="27704" xr:uid="{8CEF908D-E8B8-4117-A689-F02755232484}"/>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42926" xr:uid="{49A31BA1-A76F-4884-901C-46267550A532}"/>
    <cellStyle name="Normal 8 2 2 3 3 2 2 3" xfId="34479" xr:uid="{8900B659-2E96-492A-903F-7F4F2557DC1A}"/>
    <cellStyle name="Normal 8 2 2 3 3 2 2 4" xfId="26031" xr:uid="{FEE57843-9388-4CB6-A6AA-66A0313FBAC7}"/>
    <cellStyle name="Normal 8 2 2 3 3 2 2 5" xfId="16734" xr:uid="{311A9893-2C36-41D2-A239-8AC63BCAAE5C}"/>
    <cellStyle name="Normal 8 2 2 3 3 2 3" xfId="38709" xr:uid="{1CDE7962-80D5-4B0B-985E-C9292BBD67B8}"/>
    <cellStyle name="Normal 8 2 2 3 3 2 4" xfId="30261" xr:uid="{4591C757-5D1C-4FCF-8A45-DA6CF550A2A1}"/>
    <cellStyle name="Normal 8 2 2 3 3 2 5" xfId="21814" xr:uid="{9AB89B56-796A-46DB-8FA3-1ACA2AD21BB5}"/>
    <cellStyle name="Normal 8 2 2 3 3 2 6" xfId="12517" xr:uid="{391E63E8-71FF-4E99-95AB-6D333C0202BD}"/>
    <cellStyle name="Normal 8 2 2 3 3 3" xfId="5263" xr:uid="{00000000-0005-0000-0000-00005D1C0000}"/>
    <cellStyle name="Normal 8 2 2 3 3 3 2" xfId="40781" xr:uid="{AA674FF9-B260-4F9C-BE4A-F558F4CDEBB2}"/>
    <cellStyle name="Normal 8 2 2 3 3 3 3" xfId="32334" xr:uid="{213CC4FD-0A42-4242-A93F-49C7503FCF15}"/>
    <cellStyle name="Normal 8 2 2 3 3 3 4" xfId="23886" xr:uid="{509B5982-1D68-4C46-BCA8-DD4A34C3FB27}"/>
    <cellStyle name="Normal 8 2 2 3 3 3 5" xfId="14589" xr:uid="{55C37F3C-42B4-49AC-A261-9E01CC9AB5C8}"/>
    <cellStyle name="Normal 8 2 2 3 3 4" xfId="9311" xr:uid="{F4618F1E-1235-4269-B5C6-B09BE5034F6C}"/>
    <cellStyle name="Normal 8 2 2 3 3 4 2" xfId="36564" xr:uid="{4F8E850A-9466-4B9A-BD67-166411D54487}"/>
    <cellStyle name="Normal 8 2 2 3 3 4 3" xfId="18624" xr:uid="{F663811F-435F-4CCE-88FD-5761114C8367}"/>
    <cellStyle name="Normal 8 2 2 3 3 5" xfId="28116" xr:uid="{8ED7FE77-E8A1-41F7-A55B-3FC576F4BB87}"/>
    <cellStyle name="Normal 8 2 2 3 3 6" xfId="19669" xr:uid="{EB96B4E4-7073-4336-B94E-73BE69E7778E}"/>
    <cellStyle name="Normal 8 2 2 3 3 7" xfId="10372" xr:uid="{FC98404D-5557-4EF0-AF10-091141CD517E}"/>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43339" xr:uid="{AA3A474F-4C77-4513-9D54-8E48BC2568BE}"/>
    <cellStyle name="Normal 8 2 2 3 4 2 2 3" xfId="34892" xr:uid="{04A72975-D4BC-48C6-8242-F4BCD7B3B443}"/>
    <cellStyle name="Normal 8 2 2 3 4 2 2 4" xfId="26444" xr:uid="{FBC38DB5-ACD3-4E6B-9E09-C400B5DA9909}"/>
    <cellStyle name="Normal 8 2 2 3 4 2 2 5" xfId="17147" xr:uid="{3CC043A9-712A-4C96-BB2A-56A43284E421}"/>
    <cellStyle name="Normal 8 2 2 3 4 2 3" xfId="39122" xr:uid="{88D2835B-6467-41FD-B67A-89013B1D1318}"/>
    <cellStyle name="Normal 8 2 2 3 4 2 4" xfId="30674" xr:uid="{44DDF8D6-FAAC-44EE-935F-6B7007D0281D}"/>
    <cellStyle name="Normal 8 2 2 3 4 2 5" xfId="22227" xr:uid="{41C8DB25-6C4D-4F91-B607-C4E4926E602D}"/>
    <cellStyle name="Normal 8 2 2 3 4 2 6" xfId="12930" xr:uid="{72E15462-889A-4534-BDE9-78CD0DC0ECD1}"/>
    <cellStyle name="Normal 8 2 2 3 4 3" xfId="5676" xr:uid="{00000000-0005-0000-0000-0000611C0000}"/>
    <cellStyle name="Normal 8 2 2 3 4 3 2" xfId="41194" xr:uid="{64A4F3C9-DF29-47F9-9AD0-7895F13B8B8C}"/>
    <cellStyle name="Normal 8 2 2 3 4 3 3" xfId="32747" xr:uid="{A3EABC38-A32C-40BA-A3BF-E0B684249566}"/>
    <cellStyle name="Normal 8 2 2 3 4 3 4" xfId="24299" xr:uid="{EE14CB0F-103E-4AE4-95F3-8BBDD452C6D6}"/>
    <cellStyle name="Normal 8 2 2 3 4 3 5" xfId="15002" xr:uid="{B77952E3-5A53-4699-97F1-78A5A42F2E0B}"/>
    <cellStyle name="Normal 8 2 2 3 4 4" xfId="36977" xr:uid="{A02F8209-A201-4ED9-B010-34B982FA2F73}"/>
    <cellStyle name="Normal 8 2 2 3 4 5" xfId="28529" xr:uid="{6DF765FA-19F2-4D0F-BAF4-D167F1946E42}"/>
    <cellStyle name="Normal 8 2 2 3 4 6" xfId="20082" xr:uid="{A43FD20B-E91B-4057-8D19-1BC7F34BB55D}"/>
    <cellStyle name="Normal 8 2 2 3 4 7" xfId="10785" xr:uid="{90FD4DAA-E892-48DE-8E03-B69628D1AB76}"/>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43752" xr:uid="{766EBBBC-1DC1-47EC-A921-10F0BE53C125}"/>
    <cellStyle name="Normal 8 2 2 3 5 2 2 3" xfId="35305" xr:uid="{E6D55DBF-12DA-4F74-8DEE-BF6AF72777CC}"/>
    <cellStyle name="Normal 8 2 2 3 5 2 2 4" xfId="26857" xr:uid="{A0FAEDBF-F540-4BC3-9B76-4EEE416557B7}"/>
    <cellStyle name="Normal 8 2 2 3 5 2 2 5" xfId="17560" xr:uid="{4E8F82C7-72AB-4448-A7A0-EBD83102F977}"/>
    <cellStyle name="Normal 8 2 2 3 5 2 3" xfId="39535" xr:uid="{167D6A8B-356F-4446-AFF4-3395DD15EDDC}"/>
    <cellStyle name="Normal 8 2 2 3 5 2 4" xfId="31087" xr:uid="{DED1C6E5-B3D1-4A18-BF19-8B196865A920}"/>
    <cellStyle name="Normal 8 2 2 3 5 2 5" xfId="22640" xr:uid="{8B185B21-99AF-4DDC-A8D4-6F481D4700F2}"/>
    <cellStyle name="Normal 8 2 2 3 5 2 6" xfId="13343" xr:uid="{3C973CD0-5A0D-4F94-8CD8-61288B1E8540}"/>
    <cellStyle name="Normal 8 2 2 3 5 3" xfId="6089" xr:uid="{00000000-0005-0000-0000-0000651C0000}"/>
    <cellStyle name="Normal 8 2 2 3 5 3 2" xfId="41607" xr:uid="{069E54BC-F731-4F71-9A47-2723097266F1}"/>
    <cellStyle name="Normal 8 2 2 3 5 3 3" xfId="33160" xr:uid="{059AA7BE-D23E-4BE8-AC1D-C1C32ED8F1CF}"/>
    <cellStyle name="Normal 8 2 2 3 5 3 4" xfId="24712" xr:uid="{8F7AC011-EF66-43CA-9B69-FAC7F87C6DA8}"/>
    <cellStyle name="Normal 8 2 2 3 5 3 5" xfId="15415" xr:uid="{9765029F-B04C-4228-86C4-6F717F94E975}"/>
    <cellStyle name="Normal 8 2 2 3 5 4" xfId="37390" xr:uid="{DDD6A839-77AA-467B-9892-9F3EBC7D3DF2}"/>
    <cellStyle name="Normal 8 2 2 3 5 5" xfId="28942" xr:uid="{0752EAEE-833E-496E-88FE-2A3F242BF396}"/>
    <cellStyle name="Normal 8 2 2 3 5 6" xfId="20495" xr:uid="{FCEA1224-2E65-4D7B-B0F4-6B1113834FE3}"/>
    <cellStyle name="Normal 8 2 2 3 5 7" xfId="11198" xr:uid="{00F54F6C-FB8D-477B-8C1E-760DF2F6098D}"/>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44165" xr:uid="{62F7DD6F-2042-48D2-8F2D-E224DE7A06ED}"/>
    <cellStyle name="Normal 8 2 2 3 6 2 2 3" xfId="35718" xr:uid="{056A85FD-8000-4C98-92E7-58EDC95D594A}"/>
    <cellStyle name="Normal 8 2 2 3 6 2 2 4" xfId="27270" xr:uid="{F24296D1-888A-416B-BC6C-D4066CE883BB}"/>
    <cellStyle name="Normal 8 2 2 3 6 2 2 5" xfId="17973" xr:uid="{9A839F51-103B-4107-98F7-F262DB042EAD}"/>
    <cellStyle name="Normal 8 2 2 3 6 2 3" xfId="39948" xr:uid="{D0EDB618-D9A4-4414-B8DB-462C3DA42C5F}"/>
    <cellStyle name="Normal 8 2 2 3 6 2 4" xfId="31500" xr:uid="{C8C533C9-A9B0-49FC-B226-372299ADAA57}"/>
    <cellStyle name="Normal 8 2 2 3 6 2 5" xfId="23053" xr:uid="{7DB03103-5BD2-4454-8B70-AC0878E21CBA}"/>
    <cellStyle name="Normal 8 2 2 3 6 2 6" xfId="13756" xr:uid="{7F0F621D-DA3C-4E0D-A64D-88085E38A6ED}"/>
    <cellStyle name="Normal 8 2 2 3 6 3" xfId="6502" xr:uid="{00000000-0005-0000-0000-0000691C0000}"/>
    <cellStyle name="Normal 8 2 2 3 6 3 2" xfId="42020" xr:uid="{308EE677-84BD-499F-B791-07F5A7859F63}"/>
    <cellStyle name="Normal 8 2 2 3 6 3 3" xfId="33573" xr:uid="{7F373E13-85F5-4033-86AB-E6F70DA2C7EC}"/>
    <cellStyle name="Normal 8 2 2 3 6 3 4" xfId="25125" xr:uid="{DFAE66B5-C26E-430C-AC1F-92177A295748}"/>
    <cellStyle name="Normal 8 2 2 3 6 3 5" xfId="15828" xr:uid="{14000747-DA93-4D25-AA52-B6838FFA9234}"/>
    <cellStyle name="Normal 8 2 2 3 6 4" xfId="37803" xr:uid="{33B2FF45-5DA9-49CC-A075-5E32E1870E67}"/>
    <cellStyle name="Normal 8 2 2 3 6 5" xfId="29355" xr:uid="{A56E0C9A-EE66-42D9-AE8D-BF47EAD14754}"/>
    <cellStyle name="Normal 8 2 2 3 6 6" xfId="20908" xr:uid="{2131C0BA-7EDA-41FF-BD6A-617E6E340EE3}"/>
    <cellStyle name="Normal 8 2 2 3 6 7" xfId="11611" xr:uid="{8CF4F30C-B32D-41DE-B414-3CAD591BCA33}"/>
    <cellStyle name="Normal 8 2 2 3 7" xfId="2632" xr:uid="{00000000-0005-0000-0000-00006A1C0000}"/>
    <cellStyle name="Normal 8 2 2 3 7 2" xfId="6915" xr:uid="{00000000-0005-0000-0000-00006B1C0000}"/>
    <cellStyle name="Normal 8 2 2 3 7 2 2" xfId="42433" xr:uid="{9A2F4C07-4F31-49FC-BDD4-3EAE98896D5B}"/>
    <cellStyle name="Normal 8 2 2 3 7 2 3" xfId="33986" xr:uid="{4A9F72F0-D3D0-4821-9683-F1E045A24CC5}"/>
    <cellStyle name="Normal 8 2 2 3 7 2 4" xfId="25538" xr:uid="{96B6E37D-6F6F-4682-979B-A831CCFEE250}"/>
    <cellStyle name="Normal 8 2 2 3 7 2 5" xfId="16241" xr:uid="{00E28F0F-8216-4708-9353-41DD8918DE8D}"/>
    <cellStyle name="Normal 8 2 2 3 7 3" xfId="38216" xr:uid="{1522F811-D64E-46BD-BF99-7C6EEC8C1302}"/>
    <cellStyle name="Normal 8 2 2 3 7 4" xfId="29768" xr:uid="{29C17A99-18AB-451F-AC94-FE0D40788835}"/>
    <cellStyle name="Normal 8 2 2 3 7 5" xfId="21321" xr:uid="{B75053B0-C7B2-4EFE-BFD9-852CC8067169}"/>
    <cellStyle name="Normal 8 2 2 3 7 6" xfId="12024" xr:uid="{24E5201C-3B2A-42B4-A5FD-F60CC0007B02}"/>
    <cellStyle name="Normal 8 2 2 3 8" xfId="4850" xr:uid="{00000000-0005-0000-0000-00006C1C0000}"/>
    <cellStyle name="Normal 8 2 2 3 8 2" xfId="40368" xr:uid="{3DCDC07B-A0F7-4837-BD2A-D3C27FD072BE}"/>
    <cellStyle name="Normal 8 2 2 3 8 3" xfId="31921" xr:uid="{1182D5D8-07EC-49CC-BE55-C0EB027F0208}"/>
    <cellStyle name="Normal 8 2 2 3 8 4" xfId="23473" xr:uid="{76054897-8F3E-411F-AFFD-FC67A23E2EC3}"/>
    <cellStyle name="Normal 8 2 2 3 8 5" xfId="14176" xr:uid="{BA3AE4AF-DBD5-4297-8B41-7FAA13B80BED}"/>
    <cellStyle name="Normal 8 2 2 3 9" xfId="8886" xr:uid="{B2A45ACA-2377-4A40-A818-E7106AD46E30}"/>
    <cellStyle name="Normal 8 2 2 3 9 2" xfId="36151" xr:uid="{1F06E0FA-EBF8-495D-967C-153BA2CFC417}"/>
    <cellStyle name="Normal 8 2 2 3 9 3" xfId="18209" xr:uid="{070FF689-F0FB-497E-9BB3-DF6B860F7E60}"/>
    <cellStyle name="Normal 8 2 2 4" xfId="487" xr:uid="{00000000-0005-0000-0000-00006D1C0000}"/>
    <cellStyle name="Normal 8 2 2 4 10" xfId="19258" xr:uid="{11C7CE17-9332-4EBB-8525-A5EE989CAC08}"/>
    <cellStyle name="Normal 8 2 2 4 11" xfId="9961" xr:uid="{BDBA3D1F-301C-4735-988B-781309963423}"/>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42928" xr:uid="{1FA894C1-404F-41CD-904D-7BAC4BB78C4E}"/>
    <cellStyle name="Normal 8 2 2 4 2 2 2 3" xfId="34481" xr:uid="{36A8C333-D648-45C1-9117-61E294BD7009}"/>
    <cellStyle name="Normal 8 2 2 4 2 2 2 4" xfId="26033" xr:uid="{41CBEB7A-07C9-4562-B3C0-261BE59B70AD}"/>
    <cellStyle name="Normal 8 2 2 4 2 2 2 5" xfId="16736" xr:uid="{BFADCA85-1E93-491F-B685-41E4E32EA24C}"/>
    <cellStyle name="Normal 8 2 2 4 2 2 3" xfId="38711" xr:uid="{FF861DA3-5C97-497A-9003-04B6556F6D76}"/>
    <cellStyle name="Normal 8 2 2 4 2 2 4" xfId="30263" xr:uid="{443772E4-1423-4DE4-A6D5-BD709C5C5CA0}"/>
    <cellStyle name="Normal 8 2 2 4 2 2 5" xfId="21816" xr:uid="{F413068E-FAD1-4129-87D8-87BD5AB2DA1F}"/>
    <cellStyle name="Normal 8 2 2 4 2 2 6" xfId="12519" xr:uid="{374F9201-33B4-416B-8158-46A7532E8D00}"/>
    <cellStyle name="Normal 8 2 2 4 2 3" xfId="5265" xr:uid="{00000000-0005-0000-0000-0000711C0000}"/>
    <cellStyle name="Normal 8 2 2 4 2 3 2" xfId="40783" xr:uid="{040EC436-C2A5-42CB-B3C8-A15C210C3929}"/>
    <cellStyle name="Normal 8 2 2 4 2 3 3" xfId="32336" xr:uid="{4A60063E-0529-4608-9A6A-97B4E9188030}"/>
    <cellStyle name="Normal 8 2 2 4 2 3 4" xfId="23888" xr:uid="{CDC720AA-B0AE-4FFC-90F8-E4166BC8E2C7}"/>
    <cellStyle name="Normal 8 2 2 4 2 3 5" xfId="14591" xr:uid="{031274B8-602A-43B0-9D21-59BA86E97FE0}"/>
    <cellStyle name="Normal 8 2 2 4 2 4" xfId="9415" xr:uid="{88D7FF95-DEA9-4369-BE01-487FC7B2B7E8}"/>
    <cellStyle name="Normal 8 2 2 4 2 4 2" xfId="36566" xr:uid="{43B1F3C3-D88D-4EEE-B8E8-7C18365FBB86}"/>
    <cellStyle name="Normal 8 2 2 4 2 4 3" xfId="18728" xr:uid="{1DA74885-A1E9-4722-B2F5-525275BA5C7A}"/>
    <cellStyle name="Normal 8 2 2 4 2 5" xfId="28118" xr:uid="{D9A97ABC-ABD9-4636-B0B6-DA2964A7128F}"/>
    <cellStyle name="Normal 8 2 2 4 2 6" xfId="19671" xr:uid="{31DCC6B2-9CF4-4E4A-887B-EC1196EAA3B8}"/>
    <cellStyle name="Normal 8 2 2 4 2 7" xfId="10374" xr:uid="{7FC2FFE1-2B34-46D2-A357-FE5FBF91D775}"/>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43341" xr:uid="{0AE1521A-B1C5-4F1C-BCA9-50FE40569E97}"/>
    <cellStyle name="Normal 8 2 2 4 3 2 2 3" xfId="34894" xr:uid="{0C3BE41E-EA60-4059-8FAA-30DAF4F13E39}"/>
    <cellStyle name="Normal 8 2 2 4 3 2 2 4" xfId="26446" xr:uid="{5F3B7BB8-FF12-4C1A-A71D-12C509A94C26}"/>
    <cellStyle name="Normal 8 2 2 4 3 2 2 5" xfId="17149" xr:uid="{49B2ADC0-E691-498D-A8F4-395409647D6D}"/>
    <cellStyle name="Normal 8 2 2 4 3 2 3" xfId="39124" xr:uid="{ADA60D92-2250-4CCB-98C9-5490F82F9274}"/>
    <cellStyle name="Normal 8 2 2 4 3 2 4" xfId="30676" xr:uid="{95583ED3-E41B-4B2D-96D3-C1689E9A4C6C}"/>
    <cellStyle name="Normal 8 2 2 4 3 2 5" xfId="22229" xr:uid="{028488A7-C770-404B-A19A-DE2B4DDC7EF8}"/>
    <cellStyle name="Normal 8 2 2 4 3 2 6" xfId="12932" xr:uid="{B75EF135-2176-4D66-A6C2-14BEF00F1070}"/>
    <cellStyle name="Normal 8 2 2 4 3 3" xfId="5678" xr:uid="{00000000-0005-0000-0000-0000751C0000}"/>
    <cellStyle name="Normal 8 2 2 4 3 3 2" xfId="41196" xr:uid="{FBA85CFF-6CE0-414C-81A3-61806200A19B}"/>
    <cellStyle name="Normal 8 2 2 4 3 3 3" xfId="32749" xr:uid="{F269C67F-2BEC-418D-B505-0C8470DE1892}"/>
    <cellStyle name="Normal 8 2 2 4 3 3 4" xfId="24301" xr:uid="{5582F19C-F89E-48D7-8957-DDE54F1D7FE3}"/>
    <cellStyle name="Normal 8 2 2 4 3 3 5" xfId="15004" xr:uid="{F3580EC4-2FD9-4BA9-A85B-8BCEB2FFC8D8}"/>
    <cellStyle name="Normal 8 2 2 4 3 4" xfId="36979" xr:uid="{C27CBBC2-B3A7-45A5-9A73-EE3C0243EE86}"/>
    <cellStyle name="Normal 8 2 2 4 3 5" xfId="28531" xr:uid="{F3A128DA-481B-4AD6-98A3-3D2821C7A581}"/>
    <cellStyle name="Normal 8 2 2 4 3 6" xfId="20084" xr:uid="{8CB2726B-7B0B-4002-9D81-243D89FE2ABB}"/>
    <cellStyle name="Normal 8 2 2 4 3 7" xfId="10787" xr:uid="{8EB1E03F-4AC0-49BA-BF6D-0C6E7F4FD3BF}"/>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43754" xr:uid="{C756409C-C2D6-4426-BCFC-8129500A5012}"/>
    <cellStyle name="Normal 8 2 2 4 4 2 2 3" xfId="35307" xr:uid="{D06ECF20-1FEC-498E-A215-F4FD136C5AB8}"/>
    <cellStyle name="Normal 8 2 2 4 4 2 2 4" xfId="26859" xr:uid="{9ED9D6E9-694F-47F0-A1EA-D826B84C121F}"/>
    <cellStyle name="Normal 8 2 2 4 4 2 2 5" xfId="17562" xr:uid="{F044D01E-84AE-4E2D-8409-FBD2230B67B5}"/>
    <cellStyle name="Normal 8 2 2 4 4 2 3" xfId="39537" xr:uid="{B0D6F059-CDB9-44D3-9E2A-77FE04DE3C9F}"/>
    <cellStyle name="Normal 8 2 2 4 4 2 4" xfId="31089" xr:uid="{8E301EFB-7375-4DF2-8750-1BC6A183E43E}"/>
    <cellStyle name="Normal 8 2 2 4 4 2 5" xfId="22642" xr:uid="{770CD691-6F1E-4F9D-A823-53DDD70A0928}"/>
    <cellStyle name="Normal 8 2 2 4 4 2 6" xfId="13345" xr:uid="{80210A76-C677-41E2-AB5F-C2F97BF52283}"/>
    <cellStyle name="Normal 8 2 2 4 4 3" xfId="6091" xr:uid="{00000000-0005-0000-0000-0000791C0000}"/>
    <cellStyle name="Normal 8 2 2 4 4 3 2" xfId="41609" xr:uid="{19F69374-7980-4CBB-9B87-6A49647A98D8}"/>
    <cellStyle name="Normal 8 2 2 4 4 3 3" xfId="33162" xr:uid="{FBD3D8D3-494B-42F8-85FA-69C25C8F46DA}"/>
    <cellStyle name="Normal 8 2 2 4 4 3 4" xfId="24714" xr:uid="{819E91C5-8A47-4163-9A9C-5634EBC43303}"/>
    <cellStyle name="Normal 8 2 2 4 4 3 5" xfId="15417" xr:uid="{F7B25063-B8F6-423C-8F92-E09C878CF7E0}"/>
    <cellStyle name="Normal 8 2 2 4 4 4" xfId="37392" xr:uid="{B5244AB8-82F1-4526-86EB-CC668224D44E}"/>
    <cellStyle name="Normal 8 2 2 4 4 5" xfId="28944" xr:uid="{24386A19-33DF-4934-B67E-529A7EAED4B1}"/>
    <cellStyle name="Normal 8 2 2 4 4 6" xfId="20497" xr:uid="{D6B0A3A8-2FF5-4525-BF98-C26F85FB7037}"/>
    <cellStyle name="Normal 8 2 2 4 4 7" xfId="11200" xr:uid="{4F22B0FA-CC4E-491D-B09F-704BCA65A398}"/>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44167" xr:uid="{3CCDF239-9426-4249-A661-C2D05DBAD816}"/>
    <cellStyle name="Normal 8 2 2 4 5 2 2 3" xfId="35720" xr:uid="{EE4F752C-C2BC-47FB-B12B-61862ED4B3C3}"/>
    <cellStyle name="Normal 8 2 2 4 5 2 2 4" xfId="27272" xr:uid="{1B5A1099-12DE-4100-A828-9D940469CBF8}"/>
    <cellStyle name="Normal 8 2 2 4 5 2 2 5" xfId="17975" xr:uid="{CA23BB41-225D-43FE-A6AE-B4B84A37BFD7}"/>
    <cellStyle name="Normal 8 2 2 4 5 2 3" xfId="39950" xr:uid="{1AFA3111-CABA-471C-8390-9EBACB521B2C}"/>
    <cellStyle name="Normal 8 2 2 4 5 2 4" xfId="31502" xr:uid="{3BF13FA7-7C72-4F8F-AE1E-BF5AD2ACECD5}"/>
    <cellStyle name="Normal 8 2 2 4 5 2 5" xfId="23055" xr:uid="{EE9FCEE7-5E48-43FF-A665-8E2AC33622F2}"/>
    <cellStyle name="Normal 8 2 2 4 5 2 6" xfId="13758" xr:uid="{D0520758-0A5B-4C79-B42A-FC5EA7C5FC56}"/>
    <cellStyle name="Normal 8 2 2 4 5 3" xfId="6504" xr:uid="{00000000-0005-0000-0000-00007D1C0000}"/>
    <cellStyle name="Normal 8 2 2 4 5 3 2" xfId="42022" xr:uid="{C5EBDA29-448A-4A90-8A86-1178A7B26506}"/>
    <cellStyle name="Normal 8 2 2 4 5 3 3" xfId="33575" xr:uid="{CDA35ABE-BAE8-40B8-BB6D-FCD49AE8ABFD}"/>
    <cellStyle name="Normal 8 2 2 4 5 3 4" xfId="25127" xr:uid="{36A645BF-B6DC-4D19-A303-EC0891ED8317}"/>
    <cellStyle name="Normal 8 2 2 4 5 3 5" xfId="15830" xr:uid="{F3EBC126-F69E-40DC-A8B0-0C9B5EF4DE8B}"/>
    <cellStyle name="Normal 8 2 2 4 5 4" xfId="37805" xr:uid="{1B087E0E-1DF8-4BA7-ACE1-522BFE2780F2}"/>
    <cellStyle name="Normal 8 2 2 4 5 5" xfId="29357" xr:uid="{2D0EF3D6-F18B-4627-BE60-165C391FDEEF}"/>
    <cellStyle name="Normal 8 2 2 4 5 6" xfId="20910" xr:uid="{18DE061A-F0B3-46F6-8985-18141C97F8A9}"/>
    <cellStyle name="Normal 8 2 2 4 5 7" xfId="11613" xr:uid="{95797803-239C-451C-99BA-1C94C8885CF8}"/>
    <cellStyle name="Normal 8 2 2 4 6" xfId="2634" xr:uid="{00000000-0005-0000-0000-00007E1C0000}"/>
    <cellStyle name="Normal 8 2 2 4 6 2" xfId="6917" xr:uid="{00000000-0005-0000-0000-00007F1C0000}"/>
    <cellStyle name="Normal 8 2 2 4 6 2 2" xfId="42435" xr:uid="{D7A8B194-D05B-47F5-8B00-49249A9132DE}"/>
    <cellStyle name="Normal 8 2 2 4 6 2 3" xfId="33988" xr:uid="{E0787C95-E6FE-4514-A6C1-FE299E95ADD5}"/>
    <cellStyle name="Normal 8 2 2 4 6 2 4" xfId="25540" xr:uid="{38A07AD0-4997-460B-9057-FC1C2AE5CAD1}"/>
    <cellStyle name="Normal 8 2 2 4 6 2 5" xfId="16243" xr:uid="{F56CF247-271E-456A-8012-A9D425FAFB69}"/>
    <cellStyle name="Normal 8 2 2 4 6 3" xfId="38218" xr:uid="{F41E31F1-16FB-4315-881D-0CB912C28C8A}"/>
    <cellStyle name="Normal 8 2 2 4 6 4" xfId="29770" xr:uid="{D029A5A2-9FC2-43C5-9503-58581D492765}"/>
    <cellStyle name="Normal 8 2 2 4 6 5" xfId="21323" xr:uid="{36DA9AF7-E255-47E8-8772-79BF70789568}"/>
    <cellStyle name="Normal 8 2 2 4 6 6" xfId="12026" xr:uid="{BC7030C3-15C4-4023-A6EB-BBA28F601E71}"/>
    <cellStyle name="Normal 8 2 2 4 7" xfId="4852" xr:uid="{00000000-0005-0000-0000-0000801C0000}"/>
    <cellStyle name="Normal 8 2 2 4 7 2" xfId="40370" xr:uid="{A28006A3-6643-4A83-9051-4CB6295896E1}"/>
    <cellStyle name="Normal 8 2 2 4 7 3" xfId="31923" xr:uid="{6BF7BF2C-ED21-4C94-8DF4-D1632A0972CA}"/>
    <cellStyle name="Normal 8 2 2 4 7 4" xfId="23475" xr:uid="{78A37022-12DB-4C8D-B2E9-EA57CC1CFC62}"/>
    <cellStyle name="Normal 8 2 2 4 7 5" xfId="14178" xr:uid="{9A6F1CD7-3570-4C70-A616-E7E73A7B3058}"/>
    <cellStyle name="Normal 8 2 2 4 8" xfId="8990" xr:uid="{F08D85C9-EB04-4227-BEA0-1B51DDB63DFA}"/>
    <cellStyle name="Normal 8 2 2 4 8 2" xfId="36153" xr:uid="{76409805-F780-4203-B0CB-B52203EBA56C}"/>
    <cellStyle name="Normal 8 2 2 4 8 3" xfId="18313" xr:uid="{F387F497-FEB8-453A-B864-9917DF5E60F4}"/>
    <cellStyle name="Normal 8 2 2 4 9" xfId="27705" xr:uid="{565970BE-958B-4E60-8433-F25983D50712}"/>
    <cellStyle name="Normal 8 2 2 5" xfId="947" xr:uid="{00000000-0005-0000-0000-0000811C0000}"/>
    <cellStyle name="Normal 8 2 2 5 2" xfId="3181" xr:uid="{00000000-0005-0000-0000-0000821C0000}"/>
    <cellStyle name="Normal 8 2 2 5 2 2" xfId="7403" xr:uid="{00000000-0005-0000-0000-0000831C0000}"/>
    <cellStyle name="Normal 8 2 2 5 2 2 2" xfId="42921" xr:uid="{69D71114-3F2D-4B86-B8BD-A5F452F411E7}"/>
    <cellStyle name="Normal 8 2 2 5 2 2 3" xfId="34474" xr:uid="{FAD199FC-7EAF-4578-A002-D95BB8512149}"/>
    <cellStyle name="Normal 8 2 2 5 2 2 4" xfId="26026" xr:uid="{93EB6F75-98C3-4F87-B0AE-BFDD051E2F71}"/>
    <cellStyle name="Normal 8 2 2 5 2 2 5" xfId="16729" xr:uid="{2BDBD1F3-51BE-4C05-9F86-7C0881FC04BB}"/>
    <cellStyle name="Normal 8 2 2 5 2 3" xfId="38704" xr:uid="{E93C4EAE-BEB6-48D6-9391-21B5EFABEC08}"/>
    <cellStyle name="Normal 8 2 2 5 2 4" xfId="30256" xr:uid="{31F670BA-4433-494D-8FDD-0082535E1D36}"/>
    <cellStyle name="Normal 8 2 2 5 2 5" xfId="21809" xr:uid="{9D2711DC-BA4F-4BD3-B29C-10D30D8C3C7F}"/>
    <cellStyle name="Normal 8 2 2 5 2 6" xfId="12512" xr:uid="{B05F3D2F-2113-427E-9CA9-060AB156FC95}"/>
    <cellStyle name="Normal 8 2 2 5 3" xfId="5258" xr:uid="{00000000-0005-0000-0000-0000841C0000}"/>
    <cellStyle name="Normal 8 2 2 5 3 2" xfId="40776" xr:uid="{067333AD-7839-4A79-AE31-BA7600FADA60}"/>
    <cellStyle name="Normal 8 2 2 5 3 3" xfId="32329" xr:uid="{BE01C3E3-79FC-42DF-83B3-C3DEA0FCC68C}"/>
    <cellStyle name="Normal 8 2 2 5 3 4" xfId="23881" xr:uid="{D8285EBA-2574-4EBD-B51F-50FE9C962D68}"/>
    <cellStyle name="Normal 8 2 2 5 3 5" xfId="14584" xr:uid="{DEE71D68-89E5-42E5-9B98-9E50D646196E}"/>
    <cellStyle name="Normal 8 2 2 5 4" xfId="9207" xr:uid="{D4CDC4D2-5794-400F-B850-1B259D26C1FE}"/>
    <cellStyle name="Normal 8 2 2 5 4 2" xfId="36559" xr:uid="{A2834FB0-483B-431C-AF16-719558095E1D}"/>
    <cellStyle name="Normal 8 2 2 5 4 3" xfId="18521" xr:uid="{708A7B45-752C-4B4A-9CE2-C59D3B8F08BE}"/>
    <cellStyle name="Normal 8 2 2 5 5" xfId="28111" xr:uid="{93CA8169-494A-46F8-85E5-E50D6C04E8BF}"/>
    <cellStyle name="Normal 8 2 2 5 6" xfId="19664" xr:uid="{35005516-01EE-4313-85CB-2F33F42ED14F}"/>
    <cellStyle name="Normal 8 2 2 5 7" xfId="10367" xr:uid="{BFD8CC6E-3B7D-4950-A75B-6EAD98DBF54B}"/>
    <cellStyle name="Normal 8 2 2 6" xfId="1364" xr:uid="{00000000-0005-0000-0000-0000851C0000}"/>
    <cellStyle name="Normal 8 2 2 6 2" xfId="3594" xr:uid="{00000000-0005-0000-0000-0000861C0000}"/>
    <cellStyle name="Normal 8 2 2 6 2 2" xfId="7816" xr:uid="{00000000-0005-0000-0000-0000871C0000}"/>
    <cellStyle name="Normal 8 2 2 6 2 2 2" xfId="43334" xr:uid="{900E7283-0214-4476-B855-7EB3DF0818FE}"/>
    <cellStyle name="Normal 8 2 2 6 2 2 3" xfId="34887" xr:uid="{8FE069A2-3E3A-4F70-809B-EC84A1E6BADB}"/>
    <cellStyle name="Normal 8 2 2 6 2 2 4" xfId="26439" xr:uid="{5584718C-0768-4D8D-8D16-76ECE216C16E}"/>
    <cellStyle name="Normal 8 2 2 6 2 2 5" xfId="17142" xr:uid="{9D9D0130-C567-46A2-9B99-5CA81E8A4FF1}"/>
    <cellStyle name="Normal 8 2 2 6 2 3" xfId="39117" xr:uid="{55BCDAD4-8983-41D1-A385-BFA7C54CA86B}"/>
    <cellStyle name="Normal 8 2 2 6 2 4" xfId="30669" xr:uid="{6717BE8C-6D7A-4C35-9DD7-9D5E31E70098}"/>
    <cellStyle name="Normal 8 2 2 6 2 5" xfId="22222" xr:uid="{49646CF1-A07B-48B4-9867-E917A0774C8D}"/>
    <cellStyle name="Normal 8 2 2 6 2 6" xfId="12925" xr:uid="{4F6EB81A-D33B-4686-9870-76D8CEE42004}"/>
    <cellStyle name="Normal 8 2 2 6 3" xfId="5671" xr:uid="{00000000-0005-0000-0000-0000881C0000}"/>
    <cellStyle name="Normal 8 2 2 6 3 2" xfId="41189" xr:uid="{419C5689-A6FB-4CE2-AA46-1065C9AC2E97}"/>
    <cellStyle name="Normal 8 2 2 6 3 3" xfId="32742" xr:uid="{C505A4B5-D2E2-424E-A275-DFFBD952438E}"/>
    <cellStyle name="Normal 8 2 2 6 3 4" xfId="24294" xr:uid="{48C9DD97-E8A9-4CC0-B4A3-4D727C95A217}"/>
    <cellStyle name="Normal 8 2 2 6 3 5" xfId="14997" xr:uid="{8472D71F-B661-4608-94D9-D564504BD7BE}"/>
    <cellStyle name="Normal 8 2 2 6 4" xfId="36972" xr:uid="{ECDB0367-B93F-4625-91C3-5E529DE62CDB}"/>
    <cellStyle name="Normal 8 2 2 6 5" xfId="28524" xr:uid="{E8EAF0F7-62DE-4C87-956B-2EA6B70F31E2}"/>
    <cellStyle name="Normal 8 2 2 6 6" xfId="20077" xr:uid="{C46730C9-D4BB-412B-AAC7-2A3522DFDDE7}"/>
    <cellStyle name="Normal 8 2 2 6 7" xfId="10780" xr:uid="{3BA89BE5-1BC6-4FA0-A3FB-AA739DEBFFF6}"/>
    <cellStyle name="Normal 8 2 2 7" xfId="1777" xr:uid="{00000000-0005-0000-0000-0000891C0000}"/>
    <cellStyle name="Normal 8 2 2 7 2" xfId="4007" xr:uid="{00000000-0005-0000-0000-00008A1C0000}"/>
    <cellStyle name="Normal 8 2 2 7 2 2" xfId="8229" xr:uid="{00000000-0005-0000-0000-00008B1C0000}"/>
    <cellStyle name="Normal 8 2 2 7 2 2 2" xfId="43747" xr:uid="{7CC3B2A3-69D2-4348-94F0-DB0470E0C67C}"/>
    <cellStyle name="Normal 8 2 2 7 2 2 3" xfId="35300" xr:uid="{72B4CADF-C0E7-44A3-891E-7691D1012D01}"/>
    <cellStyle name="Normal 8 2 2 7 2 2 4" xfId="26852" xr:uid="{039F0F93-C184-4D08-B357-3E41AB1A5A95}"/>
    <cellStyle name="Normal 8 2 2 7 2 2 5" xfId="17555" xr:uid="{971564FA-8CB2-4B79-B2F1-D95AE4DF5157}"/>
    <cellStyle name="Normal 8 2 2 7 2 3" xfId="39530" xr:uid="{AA1FE6E0-D1C9-414D-9F23-6D1A3B053664}"/>
    <cellStyle name="Normal 8 2 2 7 2 4" xfId="31082" xr:uid="{53BAE58B-82AE-430E-A806-AEBE5C015B1E}"/>
    <cellStyle name="Normal 8 2 2 7 2 5" xfId="22635" xr:uid="{08645D7F-B353-4C89-8823-5BF32B7E8294}"/>
    <cellStyle name="Normal 8 2 2 7 2 6" xfId="13338" xr:uid="{8E399152-84CA-47BA-AAA0-2F853683187A}"/>
    <cellStyle name="Normal 8 2 2 7 3" xfId="6084" xr:uid="{00000000-0005-0000-0000-00008C1C0000}"/>
    <cellStyle name="Normal 8 2 2 7 3 2" xfId="41602" xr:uid="{C31F7C7D-3B3A-4E09-93B1-F74056F9A388}"/>
    <cellStyle name="Normal 8 2 2 7 3 3" xfId="33155" xr:uid="{17529D04-5DC0-4738-B2CA-FAA89C697EA5}"/>
    <cellStyle name="Normal 8 2 2 7 3 4" xfId="24707" xr:uid="{ADD4366E-165C-4DBC-AD2E-D25FB7A9FA15}"/>
    <cellStyle name="Normal 8 2 2 7 3 5" xfId="15410" xr:uid="{28EB3BA3-DFEB-4481-8E97-68BE3426CEE0}"/>
    <cellStyle name="Normal 8 2 2 7 4" xfId="37385" xr:uid="{A8B93764-635F-440C-BDD4-060C94DF34D6}"/>
    <cellStyle name="Normal 8 2 2 7 5" xfId="28937" xr:uid="{B030DA3C-2739-48B3-B208-BAADA33B0AA1}"/>
    <cellStyle name="Normal 8 2 2 7 6" xfId="20490" xr:uid="{E54AFEE3-F773-429E-8F43-931B8D373F86}"/>
    <cellStyle name="Normal 8 2 2 7 7" xfId="11193" xr:uid="{3B208A7D-4F30-42B9-835D-AF8B141FFB78}"/>
    <cellStyle name="Normal 8 2 2 8" xfId="2191" xr:uid="{00000000-0005-0000-0000-00008D1C0000}"/>
    <cellStyle name="Normal 8 2 2 8 2" xfId="4420" xr:uid="{00000000-0005-0000-0000-00008E1C0000}"/>
    <cellStyle name="Normal 8 2 2 8 2 2" xfId="8642" xr:uid="{00000000-0005-0000-0000-00008F1C0000}"/>
    <cellStyle name="Normal 8 2 2 8 2 2 2" xfId="44160" xr:uid="{C7EDCDF6-CEB6-4E2A-829E-3174DC5D7F35}"/>
    <cellStyle name="Normal 8 2 2 8 2 2 3" xfId="35713" xr:uid="{77C898A1-6414-428E-9BBC-962B4DFF7FBC}"/>
    <cellStyle name="Normal 8 2 2 8 2 2 4" xfId="27265" xr:uid="{02D1FB26-E910-40DF-B459-3300A927C3D4}"/>
    <cellStyle name="Normal 8 2 2 8 2 2 5" xfId="17968" xr:uid="{0649DB45-DD9A-4F1E-8E34-DAD3C01C7D44}"/>
    <cellStyle name="Normal 8 2 2 8 2 3" xfId="39943" xr:uid="{EDA8104F-B43A-4D64-9DCD-2F288E0ADEF9}"/>
    <cellStyle name="Normal 8 2 2 8 2 4" xfId="31495" xr:uid="{106C9144-64D7-40A2-A412-5E4F4D66728C}"/>
    <cellStyle name="Normal 8 2 2 8 2 5" xfId="23048" xr:uid="{3E726BF2-EE72-45C1-9C30-761BF0228BBA}"/>
    <cellStyle name="Normal 8 2 2 8 2 6" xfId="13751" xr:uid="{5DC613FA-E4F8-47C0-8AAB-9D5C485D0174}"/>
    <cellStyle name="Normal 8 2 2 8 3" xfId="6497" xr:uid="{00000000-0005-0000-0000-0000901C0000}"/>
    <cellStyle name="Normal 8 2 2 8 3 2" xfId="42015" xr:uid="{7B53814A-AA65-4229-A771-ED655F26F815}"/>
    <cellStyle name="Normal 8 2 2 8 3 3" xfId="33568" xr:uid="{D9B48C93-41D9-4F5C-9526-27E0A5BC07E1}"/>
    <cellStyle name="Normal 8 2 2 8 3 4" xfId="25120" xr:uid="{BBCC15DC-BB81-485A-B399-00EAD9C13440}"/>
    <cellStyle name="Normal 8 2 2 8 3 5" xfId="15823" xr:uid="{64B29C77-405F-4995-83CC-860A9B0D15AA}"/>
    <cellStyle name="Normal 8 2 2 8 4" xfId="37798" xr:uid="{83BD4B12-2682-4775-9118-FBE16F684837}"/>
    <cellStyle name="Normal 8 2 2 8 5" xfId="29350" xr:uid="{95AE3DF3-D6AE-403C-A586-DA32252BA6B6}"/>
    <cellStyle name="Normal 8 2 2 8 6" xfId="20903" xr:uid="{CCA5B831-1A37-45B8-9EA6-C82F20B9CF3B}"/>
    <cellStyle name="Normal 8 2 2 8 7" xfId="11606" xr:uid="{A1BC28D6-BE1A-4D8A-B1E7-2C91A1AF0977}"/>
    <cellStyle name="Normal 8 2 2 9" xfId="2627" xr:uid="{00000000-0005-0000-0000-0000911C0000}"/>
    <cellStyle name="Normal 8 2 2 9 2" xfId="6910" xr:uid="{00000000-0005-0000-0000-0000921C0000}"/>
    <cellStyle name="Normal 8 2 2 9 2 2" xfId="42428" xr:uid="{D92A48F5-874D-429C-B08B-F620F4ECDF89}"/>
    <cellStyle name="Normal 8 2 2 9 2 3" xfId="33981" xr:uid="{8BD54FCD-85DC-41AB-B641-40EAA8A2E5DC}"/>
    <cellStyle name="Normal 8 2 2 9 2 4" xfId="25533" xr:uid="{6406BCDA-BF02-4BD1-981C-1205C05FB55F}"/>
    <cellStyle name="Normal 8 2 2 9 2 5" xfId="16236" xr:uid="{683BE9B1-E2D6-40DD-B1FF-7744ADD407BA}"/>
    <cellStyle name="Normal 8 2 2 9 3" xfId="38211" xr:uid="{C070CDB7-D980-4D42-BDC9-7F003EA444B7}"/>
    <cellStyle name="Normal 8 2 2 9 4" xfId="29763" xr:uid="{B6186765-5F7B-456A-A783-BBECE0966AF4}"/>
    <cellStyle name="Normal 8 2 2 9 5" xfId="21316" xr:uid="{B9F0154E-D7B9-42AB-B051-070CBB408F75}"/>
    <cellStyle name="Normal 8 2 2 9 6" xfId="12019" xr:uid="{38874FB1-C96B-4823-9565-15EE87E6B042}"/>
    <cellStyle name="Normal 8 2 3" xfId="488" xr:uid="{00000000-0005-0000-0000-0000931C0000}"/>
    <cellStyle name="Normal 8 2 3 10" xfId="8835" xr:uid="{2F0FB8B3-D08B-41EB-93AB-2D83A1BD6036}"/>
    <cellStyle name="Normal 8 2 3 10 2" xfId="36154" xr:uid="{FA83457A-AC6F-4498-88D1-968A92F3499A}"/>
    <cellStyle name="Normal 8 2 3 10 3" xfId="18158" xr:uid="{6C6C9111-74A3-4D7B-84E6-8F2FA2338E13}"/>
    <cellStyle name="Normal 8 2 3 11" xfId="27706" xr:uid="{FCC4A64D-4E77-4F68-80EC-2743D97BA6C4}"/>
    <cellStyle name="Normal 8 2 3 12" xfId="19259" xr:uid="{BAC4B0EB-6CD8-4329-BB7A-A2E73A154E40}"/>
    <cellStyle name="Normal 8 2 3 13" xfId="9962" xr:uid="{E826B95B-B1FB-4C64-B347-EA7736CB4B23}"/>
    <cellStyle name="Normal 8 2 3 2" xfId="489" xr:uid="{00000000-0005-0000-0000-0000941C0000}"/>
    <cellStyle name="Normal 8 2 3 2 10" xfId="27707" xr:uid="{1D9EC62A-F6E1-46D0-A534-3D99C5D72060}"/>
    <cellStyle name="Normal 8 2 3 2 11" xfId="19260" xr:uid="{24D49632-177D-43BF-BAFF-8A777F318AE7}"/>
    <cellStyle name="Normal 8 2 3 2 12" xfId="9963" xr:uid="{3ECE63C7-BCB6-47BE-81A8-F17718D39F7D}"/>
    <cellStyle name="Normal 8 2 3 2 2" xfId="490" xr:uid="{00000000-0005-0000-0000-0000951C0000}"/>
    <cellStyle name="Normal 8 2 3 2 2 10" xfId="19261" xr:uid="{29FD7401-BA95-4DD0-9825-8F2F7934E5F5}"/>
    <cellStyle name="Normal 8 2 3 2 2 11" xfId="9964" xr:uid="{24BF3331-35E6-45DC-BED6-6A3DCC19C08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42931" xr:uid="{2757913D-C000-4F1E-9722-050539A669B6}"/>
    <cellStyle name="Normal 8 2 3 2 2 2 2 2 3" xfId="34484" xr:uid="{FCE34168-8619-4AE6-BEA3-22165F85A928}"/>
    <cellStyle name="Normal 8 2 3 2 2 2 2 2 4" xfId="26036" xr:uid="{0E016A96-F9C0-4847-9D99-EAF8A9B207CA}"/>
    <cellStyle name="Normal 8 2 3 2 2 2 2 2 5" xfId="16739" xr:uid="{48CE0B55-4474-4039-954A-A38441D07C6E}"/>
    <cellStyle name="Normal 8 2 3 2 2 2 2 3" xfId="38714" xr:uid="{34CE061A-54A1-42EA-ABE8-5E6385E1A918}"/>
    <cellStyle name="Normal 8 2 3 2 2 2 2 4" xfId="30266" xr:uid="{FEAF138A-CF77-4955-90EC-1881FB558221}"/>
    <cellStyle name="Normal 8 2 3 2 2 2 2 5" xfId="21819" xr:uid="{7F2D673C-6254-453A-87BC-7E95E2391BAC}"/>
    <cellStyle name="Normal 8 2 3 2 2 2 2 6" xfId="12522" xr:uid="{419B2557-452A-4CE4-883D-1A0EC0E190C3}"/>
    <cellStyle name="Normal 8 2 3 2 2 2 3" xfId="5268" xr:uid="{00000000-0005-0000-0000-0000991C0000}"/>
    <cellStyle name="Normal 8 2 3 2 2 2 3 2" xfId="40786" xr:uid="{53942874-24ED-448D-98BE-3434B68B9331}"/>
    <cellStyle name="Normal 8 2 3 2 2 2 3 3" xfId="32339" xr:uid="{4E88035A-39D4-4DCC-9537-51BF604804F3}"/>
    <cellStyle name="Normal 8 2 3 2 2 2 3 4" xfId="23891" xr:uid="{7C31977E-6CDC-4725-A09D-3083CD5F5F44}"/>
    <cellStyle name="Normal 8 2 3 2 2 2 3 5" xfId="14594" xr:uid="{61734C32-DBCD-44DA-A354-14EA4B810B88}"/>
    <cellStyle name="Normal 8 2 3 2 2 2 4" xfId="9570" xr:uid="{BA9732E0-D9E4-47DB-882D-D871A821FA55}"/>
    <cellStyle name="Normal 8 2 3 2 2 2 4 2" xfId="36569" xr:uid="{B0976FAC-27DB-4C74-8C87-C34B77CFAD90}"/>
    <cellStyle name="Normal 8 2 3 2 2 2 4 3" xfId="18883" xr:uid="{22A5B453-B011-4E59-AA1D-E53E78CA2EFC}"/>
    <cellStyle name="Normal 8 2 3 2 2 2 5" xfId="28121" xr:uid="{EE7AF75F-E7AF-4B13-9D67-455D54F19AB0}"/>
    <cellStyle name="Normal 8 2 3 2 2 2 6" xfId="19674" xr:uid="{BBDCC3C3-74C3-4E61-98FC-2CE28C6DDBBE}"/>
    <cellStyle name="Normal 8 2 3 2 2 2 7" xfId="10377" xr:uid="{A04FCF5B-3F61-4565-8EE6-007EC19861D1}"/>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43344" xr:uid="{39443664-A507-4632-954C-91A09016F722}"/>
    <cellStyle name="Normal 8 2 3 2 2 3 2 2 3" xfId="34897" xr:uid="{A8BDB69B-9E80-46AE-AE7D-99EB2FEBAD1A}"/>
    <cellStyle name="Normal 8 2 3 2 2 3 2 2 4" xfId="26449" xr:uid="{33445C7B-9F21-4AD5-A05A-434357457E28}"/>
    <cellStyle name="Normal 8 2 3 2 2 3 2 2 5" xfId="17152" xr:uid="{D2BF86EF-129C-4A07-AAF0-7D593DF9137E}"/>
    <cellStyle name="Normal 8 2 3 2 2 3 2 3" xfId="39127" xr:uid="{29EBFE5D-4087-4D9E-9ECF-2CA8D3F08F35}"/>
    <cellStyle name="Normal 8 2 3 2 2 3 2 4" xfId="30679" xr:uid="{DBB3946B-BC40-4B48-A4EB-F63B597A28E6}"/>
    <cellStyle name="Normal 8 2 3 2 2 3 2 5" xfId="22232" xr:uid="{B9E28B27-72E6-4230-950B-2CC8EEA188E6}"/>
    <cellStyle name="Normal 8 2 3 2 2 3 2 6" xfId="12935" xr:uid="{BA408785-8B76-4715-A346-B24247E460D8}"/>
    <cellStyle name="Normal 8 2 3 2 2 3 3" xfId="5681" xr:uid="{00000000-0005-0000-0000-00009D1C0000}"/>
    <cellStyle name="Normal 8 2 3 2 2 3 3 2" xfId="41199" xr:uid="{ADA1B805-4043-450A-B820-2AA088E62B3E}"/>
    <cellStyle name="Normal 8 2 3 2 2 3 3 3" xfId="32752" xr:uid="{34B7C12E-1EDE-4DFF-B80E-0E60DDF2270F}"/>
    <cellStyle name="Normal 8 2 3 2 2 3 3 4" xfId="24304" xr:uid="{7A7D0240-A7C3-449A-BD30-6397A9997345}"/>
    <cellStyle name="Normal 8 2 3 2 2 3 3 5" xfId="15007" xr:uid="{D5853762-6B2B-4A23-87C9-23073ACD438A}"/>
    <cellStyle name="Normal 8 2 3 2 2 3 4" xfId="36982" xr:uid="{AF5C2A79-5915-44C2-BB13-FD7B1C7B3D88}"/>
    <cellStyle name="Normal 8 2 3 2 2 3 5" xfId="28534" xr:uid="{C20BEF0D-0E5D-4CA5-9B92-B52E0C56F89A}"/>
    <cellStyle name="Normal 8 2 3 2 2 3 6" xfId="20087" xr:uid="{0B89ED81-B656-4BA5-8694-0D710EFC2B44}"/>
    <cellStyle name="Normal 8 2 3 2 2 3 7" xfId="10790" xr:uid="{7E79BEF3-9070-4807-BFD0-B1BD9D4FC58D}"/>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43757" xr:uid="{002551D4-B16B-4B7F-9329-E2CF8ABD749F}"/>
    <cellStyle name="Normal 8 2 3 2 2 4 2 2 3" xfId="35310" xr:uid="{88D49071-B78F-482F-A317-B079E634420D}"/>
    <cellStyle name="Normal 8 2 3 2 2 4 2 2 4" xfId="26862" xr:uid="{A990F74A-1EF3-402A-ADC9-9FD4C2B78B81}"/>
    <cellStyle name="Normal 8 2 3 2 2 4 2 2 5" xfId="17565" xr:uid="{D50483BA-C5BB-4B12-86A7-6A329BD7514F}"/>
    <cellStyle name="Normal 8 2 3 2 2 4 2 3" xfId="39540" xr:uid="{111B5521-EC28-4700-9FA8-A104808E2E61}"/>
    <cellStyle name="Normal 8 2 3 2 2 4 2 4" xfId="31092" xr:uid="{DA2695AF-5223-49C8-BA7B-E338CCAE45AC}"/>
    <cellStyle name="Normal 8 2 3 2 2 4 2 5" xfId="22645" xr:uid="{BF254E95-2CF9-4E73-A54C-074D6C23D3DA}"/>
    <cellStyle name="Normal 8 2 3 2 2 4 2 6" xfId="13348" xr:uid="{94B59B45-8FAE-4A96-8200-C383D32CC6F2}"/>
    <cellStyle name="Normal 8 2 3 2 2 4 3" xfId="6094" xr:uid="{00000000-0005-0000-0000-0000A11C0000}"/>
    <cellStyle name="Normal 8 2 3 2 2 4 3 2" xfId="41612" xr:uid="{BFA149C0-1107-4B5C-B570-FFF0B6CBBD9B}"/>
    <cellStyle name="Normal 8 2 3 2 2 4 3 3" xfId="33165" xr:uid="{2CBC1D6A-A4D2-4D45-B84F-5BBF4AD0CE81}"/>
    <cellStyle name="Normal 8 2 3 2 2 4 3 4" xfId="24717" xr:uid="{EDCEED74-D7F9-40E5-AAB6-E253B703AF69}"/>
    <cellStyle name="Normal 8 2 3 2 2 4 3 5" xfId="15420" xr:uid="{95979435-AD75-4B2D-B912-2ED8645FE8A1}"/>
    <cellStyle name="Normal 8 2 3 2 2 4 4" xfId="37395" xr:uid="{547B420D-9C12-4509-8936-7270F32FF0AC}"/>
    <cellStyle name="Normal 8 2 3 2 2 4 5" xfId="28947" xr:uid="{B2E44DC7-E71B-40E5-BC58-2DDF329CA092}"/>
    <cellStyle name="Normal 8 2 3 2 2 4 6" xfId="20500" xr:uid="{A74568C3-0795-4F62-BE35-7B3E8B827D47}"/>
    <cellStyle name="Normal 8 2 3 2 2 4 7" xfId="11203" xr:uid="{AA8D5F0F-E53F-4334-957C-6B2C0B6FA95F}"/>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44170" xr:uid="{69D651C0-B3B5-48CC-A3F6-160467EB0290}"/>
    <cellStyle name="Normal 8 2 3 2 2 5 2 2 3" xfId="35723" xr:uid="{2B1216BD-72E7-47BC-B3CB-6A6B5FBF4949}"/>
    <cellStyle name="Normal 8 2 3 2 2 5 2 2 4" xfId="27275" xr:uid="{4DFD8B7F-3656-4074-83DA-0F2F439FB854}"/>
    <cellStyle name="Normal 8 2 3 2 2 5 2 2 5" xfId="17978" xr:uid="{38276F1B-3E0E-46EE-9480-6C1D963D7C1F}"/>
    <cellStyle name="Normal 8 2 3 2 2 5 2 3" xfId="39953" xr:uid="{13D9449C-79A8-4192-BF30-1C7AE6E2487D}"/>
    <cellStyle name="Normal 8 2 3 2 2 5 2 4" xfId="31505" xr:uid="{CA535648-D7C7-44F1-8D8E-5AA3882061B7}"/>
    <cellStyle name="Normal 8 2 3 2 2 5 2 5" xfId="23058" xr:uid="{557A77DF-E613-40C6-B516-14A6BC723855}"/>
    <cellStyle name="Normal 8 2 3 2 2 5 2 6" xfId="13761" xr:uid="{67F9CE70-8F24-4D5A-A718-891FFDF340E0}"/>
    <cellStyle name="Normal 8 2 3 2 2 5 3" xfId="6507" xr:uid="{00000000-0005-0000-0000-0000A51C0000}"/>
    <cellStyle name="Normal 8 2 3 2 2 5 3 2" xfId="42025" xr:uid="{8A503C84-BD18-48EB-A71B-132A569E47C3}"/>
    <cellStyle name="Normal 8 2 3 2 2 5 3 3" xfId="33578" xr:uid="{AD33E121-40EB-41CD-9579-4CBBDD980710}"/>
    <cellStyle name="Normal 8 2 3 2 2 5 3 4" xfId="25130" xr:uid="{EFAB50CF-730F-48CC-A717-3B59D4DCD06D}"/>
    <cellStyle name="Normal 8 2 3 2 2 5 3 5" xfId="15833" xr:uid="{7B776D87-E0DE-45BF-99B2-4D203B2B1F88}"/>
    <cellStyle name="Normal 8 2 3 2 2 5 4" xfId="37808" xr:uid="{73DEE911-7986-41BC-BB1A-363521E8AB3F}"/>
    <cellStyle name="Normal 8 2 3 2 2 5 5" xfId="29360" xr:uid="{CD8826F8-2BC1-476F-9A27-CFCFF2FD0833}"/>
    <cellStyle name="Normal 8 2 3 2 2 5 6" xfId="20913" xr:uid="{619C3FE6-0743-4241-97F3-AFC0FA85F924}"/>
    <cellStyle name="Normal 8 2 3 2 2 5 7" xfId="11616" xr:uid="{740EB5F0-0BAA-4689-97E5-1682B9822F6D}"/>
    <cellStyle name="Normal 8 2 3 2 2 6" xfId="2637" xr:uid="{00000000-0005-0000-0000-0000A61C0000}"/>
    <cellStyle name="Normal 8 2 3 2 2 6 2" xfId="6920" xr:uid="{00000000-0005-0000-0000-0000A71C0000}"/>
    <cellStyle name="Normal 8 2 3 2 2 6 2 2" xfId="42438" xr:uid="{F78FBB20-DDB5-4BFF-8336-4858C9D4F9E9}"/>
    <cellStyle name="Normal 8 2 3 2 2 6 2 3" xfId="33991" xr:uid="{A0140D2C-D63B-41E8-B499-32C3D8EF2C68}"/>
    <cellStyle name="Normal 8 2 3 2 2 6 2 4" xfId="25543" xr:uid="{59A19EE6-C530-42A3-A7EF-7CD9B21E38CE}"/>
    <cellStyle name="Normal 8 2 3 2 2 6 2 5" xfId="16246" xr:uid="{226FED58-A68D-4C7F-801C-5AB6478F5C4F}"/>
    <cellStyle name="Normal 8 2 3 2 2 6 3" xfId="38221" xr:uid="{FA15D1FF-E670-4926-9F16-5E2169FF9893}"/>
    <cellStyle name="Normal 8 2 3 2 2 6 4" xfId="29773" xr:uid="{4E96E8BF-1043-4AF5-A7E7-EA84459FB2EB}"/>
    <cellStyle name="Normal 8 2 3 2 2 6 5" xfId="21326" xr:uid="{9708A55E-C3D9-4CAF-A4B0-27C335B25A39}"/>
    <cellStyle name="Normal 8 2 3 2 2 6 6" xfId="12029" xr:uid="{DFEBFDB0-2C5B-4784-BF4F-E92EA080BE19}"/>
    <cellStyle name="Normal 8 2 3 2 2 7" xfId="4855" xr:uid="{00000000-0005-0000-0000-0000A81C0000}"/>
    <cellStyle name="Normal 8 2 3 2 2 7 2" xfId="40373" xr:uid="{117C72B9-E752-45A1-BF78-B72E18670916}"/>
    <cellStyle name="Normal 8 2 3 2 2 7 3" xfId="31926" xr:uid="{4F217393-753B-44E7-848B-D41D9F68CBAA}"/>
    <cellStyle name="Normal 8 2 3 2 2 7 4" xfId="23478" xr:uid="{0240124A-A632-4C5C-B2F9-51E419092BE3}"/>
    <cellStyle name="Normal 8 2 3 2 2 7 5" xfId="14181" xr:uid="{CFA622E4-25E8-42D7-9D7B-52B698CEC195}"/>
    <cellStyle name="Normal 8 2 3 2 2 8" xfId="9145" xr:uid="{C71E6005-187D-4837-92B4-619AF06B3A3B}"/>
    <cellStyle name="Normal 8 2 3 2 2 8 2" xfId="36156" xr:uid="{EC0DA87F-1DA9-4347-8EC4-097DC7B58755}"/>
    <cellStyle name="Normal 8 2 3 2 2 8 3" xfId="18468" xr:uid="{ED83AF24-DE2C-4EBE-A042-8332B0E9B783}"/>
    <cellStyle name="Normal 8 2 3 2 2 9" xfId="27708" xr:uid="{47189998-3C7B-4B31-B0A4-45F7EF30A141}"/>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42930" xr:uid="{5514DDF3-0CDD-4DD6-9B57-F9EB8137A96A}"/>
    <cellStyle name="Normal 8 2 3 2 3 2 2 3" xfId="34483" xr:uid="{E5C32E6B-42C9-4D4B-A026-94B44B60677F}"/>
    <cellStyle name="Normal 8 2 3 2 3 2 2 4" xfId="26035" xr:uid="{1EA741EA-0A1A-43D9-A6FD-8279B53A6183}"/>
    <cellStyle name="Normal 8 2 3 2 3 2 2 5" xfId="16738" xr:uid="{A2153238-4CA9-4E74-84F7-A4694FE06D56}"/>
    <cellStyle name="Normal 8 2 3 2 3 2 3" xfId="38713" xr:uid="{2A869149-BF1E-4723-B12A-F6703DA191E4}"/>
    <cellStyle name="Normal 8 2 3 2 3 2 4" xfId="30265" xr:uid="{E432F576-9570-4F82-ABA3-B7F2D92D8AAC}"/>
    <cellStyle name="Normal 8 2 3 2 3 2 5" xfId="21818" xr:uid="{D0D13968-4422-46BD-BF75-43C8AA7519CF}"/>
    <cellStyle name="Normal 8 2 3 2 3 2 6" xfId="12521" xr:uid="{437AFC21-3696-4166-92B7-AD8F823901FF}"/>
    <cellStyle name="Normal 8 2 3 2 3 3" xfId="5267" xr:uid="{00000000-0005-0000-0000-0000AC1C0000}"/>
    <cellStyle name="Normal 8 2 3 2 3 3 2" xfId="40785" xr:uid="{C4510215-650F-49D5-A4E4-2B11A36DD791}"/>
    <cellStyle name="Normal 8 2 3 2 3 3 3" xfId="32338" xr:uid="{D4F843B3-1F5E-4BF9-8CC6-E86D578BF63A}"/>
    <cellStyle name="Normal 8 2 3 2 3 3 4" xfId="23890" xr:uid="{EB2AB63B-AB99-452B-8A51-DD1764935CA6}"/>
    <cellStyle name="Normal 8 2 3 2 3 3 5" xfId="14593" xr:uid="{C9EFE8A2-BF0D-49CC-B9D6-77EDB26DA9C3}"/>
    <cellStyle name="Normal 8 2 3 2 3 4" xfId="9363" xr:uid="{C94C6C98-A8BC-4AC9-B084-0D2219E89AA8}"/>
    <cellStyle name="Normal 8 2 3 2 3 4 2" xfId="36568" xr:uid="{E9BBE9D7-8088-41AF-AA62-DC5DBABD8D1C}"/>
    <cellStyle name="Normal 8 2 3 2 3 4 3" xfId="18676" xr:uid="{9CB20595-E2F7-4799-94A4-A37A05F02DBE}"/>
    <cellStyle name="Normal 8 2 3 2 3 5" xfId="28120" xr:uid="{846C46C5-7830-4F0C-9929-00FCA5D76D29}"/>
    <cellStyle name="Normal 8 2 3 2 3 6" xfId="19673" xr:uid="{733EA195-3B3F-4F5B-9124-09DD14090082}"/>
    <cellStyle name="Normal 8 2 3 2 3 7" xfId="10376" xr:uid="{BE77FCB6-3A61-4C55-A273-2966502577C3}"/>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43343" xr:uid="{73101A25-CD7E-470A-843B-9AE5EEA1BE02}"/>
    <cellStyle name="Normal 8 2 3 2 4 2 2 3" xfId="34896" xr:uid="{AD32BF78-F0EB-473E-8CB4-2BEB165B24A3}"/>
    <cellStyle name="Normal 8 2 3 2 4 2 2 4" xfId="26448" xr:uid="{41877B66-11BF-4AEE-8F5B-EE15549297EF}"/>
    <cellStyle name="Normal 8 2 3 2 4 2 2 5" xfId="17151" xr:uid="{2B423A84-7E8C-4D2E-B1D9-3F5F9BC62B56}"/>
    <cellStyle name="Normal 8 2 3 2 4 2 3" xfId="39126" xr:uid="{660064A6-85F1-44DC-A954-5D7FC60E5A4A}"/>
    <cellStyle name="Normal 8 2 3 2 4 2 4" xfId="30678" xr:uid="{00FB20A9-5D37-4538-8A64-C827D6EF4BE1}"/>
    <cellStyle name="Normal 8 2 3 2 4 2 5" xfId="22231" xr:uid="{FC19B5F3-8BE9-4AE5-ADE6-B4BDE9FDBA72}"/>
    <cellStyle name="Normal 8 2 3 2 4 2 6" xfId="12934" xr:uid="{2EF84095-3201-4523-A75C-F43F534C117F}"/>
    <cellStyle name="Normal 8 2 3 2 4 3" xfId="5680" xr:uid="{00000000-0005-0000-0000-0000B01C0000}"/>
    <cellStyle name="Normal 8 2 3 2 4 3 2" xfId="41198" xr:uid="{084B10D9-1DBE-46C2-AB6B-AFC7FD05C5FD}"/>
    <cellStyle name="Normal 8 2 3 2 4 3 3" xfId="32751" xr:uid="{B39AB46F-30BA-4F64-89B0-24D1463A0EEE}"/>
    <cellStyle name="Normal 8 2 3 2 4 3 4" xfId="24303" xr:uid="{285AF275-7CDD-4FB5-93FC-4BB0DE909A85}"/>
    <cellStyle name="Normal 8 2 3 2 4 3 5" xfId="15006" xr:uid="{5AEDBAE3-413D-4B82-8D02-78A19BBBA63C}"/>
    <cellStyle name="Normal 8 2 3 2 4 4" xfId="36981" xr:uid="{82CA13DE-C28F-4237-9C93-DE86C1769B0A}"/>
    <cellStyle name="Normal 8 2 3 2 4 5" xfId="28533" xr:uid="{59B8CCC3-97FF-464F-A8C1-1A53625274E0}"/>
    <cellStyle name="Normal 8 2 3 2 4 6" xfId="20086" xr:uid="{BC098D5F-A803-4823-87F9-C8A4C4931220}"/>
    <cellStyle name="Normal 8 2 3 2 4 7" xfId="10789" xr:uid="{D8B49F0B-2FBA-4039-82A2-BC18F056A94F}"/>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43756" xr:uid="{4091C177-B92B-49ED-AC16-E3D0CE6A99AB}"/>
    <cellStyle name="Normal 8 2 3 2 5 2 2 3" xfId="35309" xr:uid="{16856A0B-245A-43E8-8F80-C93E1987862F}"/>
    <cellStyle name="Normal 8 2 3 2 5 2 2 4" xfId="26861" xr:uid="{626277FD-C3C6-4AB2-ACAE-D3A67B75B5B1}"/>
    <cellStyle name="Normal 8 2 3 2 5 2 2 5" xfId="17564" xr:uid="{749A135A-F455-41C9-A202-E2E36029EE92}"/>
    <cellStyle name="Normal 8 2 3 2 5 2 3" xfId="39539" xr:uid="{46AFE5CC-3655-4734-B6D9-2617884BD118}"/>
    <cellStyle name="Normal 8 2 3 2 5 2 4" xfId="31091" xr:uid="{9556E6DC-6F27-45B4-8A09-D143A4B8D4AB}"/>
    <cellStyle name="Normal 8 2 3 2 5 2 5" xfId="22644" xr:uid="{97594C76-62D8-4761-99C2-43E7F355B1C7}"/>
    <cellStyle name="Normal 8 2 3 2 5 2 6" xfId="13347" xr:uid="{2E2BEFB0-ECF1-49F8-93D1-FBA2DF8E9140}"/>
    <cellStyle name="Normal 8 2 3 2 5 3" xfId="6093" xr:uid="{00000000-0005-0000-0000-0000B41C0000}"/>
    <cellStyle name="Normal 8 2 3 2 5 3 2" xfId="41611" xr:uid="{FCAD56D0-2CDC-4D51-ABAA-7A56595B1B83}"/>
    <cellStyle name="Normal 8 2 3 2 5 3 3" xfId="33164" xr:uid="{15BC8CDC-5121-49F2-B118-C8792864C9DD}"/>
    <cellStyle name="Normal 8 2 3 2 5 3 4" xfId="24716" xr:uid="{3D68B5C9-3BC0-4233-A759-BD69D021B6BE}"/>
    <cellStyle name="Normal 8 2 3 2 5 3 5" xfId="15419" xr:uid="{46AFD82D-6F53-4A16-8A80-BEB8C6BC5B23}"/>
    <cellStyle name="Normal 8 2 3 2 5 4" xfId="37394" xr:uid="{8057F8AF-915C-4B39-A303-71DE6E958E9A}"/>
    <cellStyle name="Normal 8 2 3 2 5 5" xfId="28946" xr:uid="{F758DBF0-F6B7-465F-88B2-14DF343C2A05}"/>
    <cellStyle name="Normal 8 2 3 2 5 6" xfId="20499" xr:uid="{0A38B23A-32AA-4552-B4C0-62F3163DA0F2}"/>
    <cellStyle name="Normal 8 2 3 2 5 7" xfId="11202" xr:uid="{92A939D9-9024-4885-A942-E2CC1A0B921A}"/>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44169" xr:uid="{C93B5DC5-245B-4E62-BAFA-4F2B20AA27EB}"/>
    <cellStyle name="Normal 8 2 3 2 6 2 2 3" xfId="35722" xr:uid="{A518FE53-B37E-43FA-BBDB-D12AA51EB70F}"/>
    <cellStyle name="Normal 8 2 3 2 6 2 2 4" xfId="27274" xr:uid="{C9CCCE26-B654-48A5-8B27-FAC9C0995AF0}"/>
    <cellStyle name="Normal 8 2 3 2 6 2 2 5" xfId="17977" xr:uid="{64EDD6E8-C653-4892-9BC7-1A8BF8B6D8CA}"/>
    <cellStyle name="Normal 8 2 3 2 6 2 3" xfId="39952" xr:uid="{10302678-95AF-4C9E-AEE9-3141DD42E4D7}"/>
    <cellStyle name="Normal 8 2 3 2 6 2 4" xfId="31504" xr:uid="{D10DB6CE-9AAC-4804-BAE4-71EEB003F49A}"/>
    <cellStyle name="Normal 8 2 3 2 6 2 5" xfId="23057" xr:uid="{1C6B39DC-6FAC-4CB0-B9B4-A5A043B48713}"/>
    <cellStyle name="Normal 8 2 3 2 6 2 6" xfId="13760" xr:uid="{D02F4B5A-2A2F-48BF-A346-5CF3C5CD599E}"/>
    <cellStyle name="Normal 8 2 3 2 6 3" xfId="6506" xr:uid="{00000000-0005-0000-0000-0000B81C0000}"/>
    <cellStyle name="Normal 8 2 3 2 6 3 2" xfId="42024" xr:uid="{C1955481-3ACF-4722-B7CF-AF857EDEAB5A}"/>
    <cellStyle name="Normal 8 2 3 2 6 3 3" xfId="33577" xr:uid="{D83145D9-DF76-4479-BD81-48EDC48E0433}"/>
    <cellStyle name="Normal 8 2 3 2 6 3 4" xfId="25129" xr:uid="{2D340880-A991-4B99-B0F9-1EE87089D2D0}"/>
    <cellStyle name="Normal 8 2 3 2 6 3 5" xfId="15832" xr:uid="{CF31FBBA-3C48-40AF-9213-E90902BB9998}"/>
    <cellStyle name="Normal 8 2 3 2 6 4" xfId="37807" xr:uid="{E33E14B9-8CD3-4E0E-A6E1-5469EC11BAB9}"/>
    <cellStyle name="Normal 8 2 3 2 6 5" xfId="29359" xr:uid="{C92882CA-FD71-41EC-A0A8-810969BE82C8}"/>
    <cellStyle name="Normal 8 2 3 2 6 6" xfId="20912" xr:uid="{30D3E4FE-D2DE-40C2-800E-367EA3E2D6F2}"/>
    <cellStyle name="Normal 8 2 3 2 6 7" xfId="11615" xr:uid="{1FD94449-1F40-4140-9597-08DB98C54EA3}"/>
    <cellStyle name="Normal 8 2 3 2 7" xfId="2636" xr:uid="{00000000-0005-0000-0000-0000B91C0000}"/>
    <cellStyle name="Normal 8 2 3 2 7 2" xfId="6919" xr:uid="{00000000-0005-0000-0000-0000BA1C0000}"/>
    <cellStyle name="Normal 8 2 3 2 7 2 2" xfId="42437" xr:uid="{EFF95715-0220-4298-AB44-EFA750909A6A}"/>
    <cellStyle name="Normal 8 2 3 2 7 2 3" xfId="33990" xr:uid="{E8E54713-50AE-4E7F-9812-969F8C0EC307}"/>
    <cellStyle name="Normal 8 2 3 2 7 2 4" xfId="25542" xr:uid="{8EEBD7EF-8F5C-4238-BEF6-658361EC9556}"/>
    <cellStyle name="Normal 8 2 3 2 7 2 5" xfId="16245" xr:uid="{0C6949BF-CCB2-423D-BE12-E7C344ADCB18}"/>
    <cellStyle name="Normal 8 2 3 2 7 3" xfId="38220" xr:uid="{CB17E057-9E21-4DFB-98F5-AE65F83DDCB2}"/>
    <cellStyle name="Normal 8 2 3 2 7 4" xfId="29772" xr:uid="{C3E155B3-F7C4-4BB2-BD06-54CE8709BC33}"/>
    <cellStyle name="Normal 8 2 3 2 7 5" xfId="21325" xr:uid="{E0E3126A-E01A-423C-AE72-B2CFEEBCA781}"/>
    <cellStyle name="Normal 8 2 3 2 7 6" xfId="12028" xr:uid="{F6370D8D-51C7-41EA-875A-6AC6565B65AC}"/>
    <cellStyle name="Normal 8 2 3 2 8" xfId="4854" xr:uid="{00000000-0005-0000-0000-0000BB1C0000}"/>
    <cellStyle name="Normal 8 2 3 2 8 2" xfId="40372" xr:uid="{26E375EB-0A3A-439C-9771-C0FBB7C356BA}"/>
    <cellStyle name="Normal 8 2 3 2 8 3" xfId="31925" xr:uid="{21C4CAFA-4087-4D67-A8CD-16B821A13187}"/>
    <cellStyle name="Normal 8 2 3 2 8 4" xfId="23477" xr:uid="{A2CB7801-1520-43D4-ADC3-713D39E1EC99}"/>
    <cellStyle name="Normal 8 2 3 2 8 5" xfId="14180" xr:uid="{AEC2ED7C-C8FE-4031-8F06-D56938B69B36}"/>
    <cellStyle name="Normal 8 2 3 2 9" xfId="8938" xr:uid="{1EAF77CE-4DC3-40DC-AA9D-31320D478EE9}"/>
    <cellStyle name="Normal 8 2 3 2 9 2" xfId="36155" xr:uid="{C7814BA9-BD4B-4071-8FA0-DEDE16CDDD64}"/>
    <cellStyle name="Normal 8 2 3 2 9 3" xfId="18261" xr:uid="{D1BBE107-CBC7-4129-9EA3-4C24C9418CA4}"/>
    <cellStyle name="Normal 8 2 3 3" xfId="491" xr:uid="{00000000-0005-0000-0000-0000BC1C0000}"/>
    <cellStyle name="Normal 8 2 3 3 10" xfId="19262" xr:uid="{D64ED73A-99F2-403B-BB22-4FB1AABF376C}"/>
    <cellStyle name="Normal 8 2 3 3 11" xfId="9965" xr:uid="{D149AC38-042E-4B3F-8A5E-FB72FA160A0D}"/>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42932" xr:uid="{A047144E-2094-4CCF-B219-7417C17B8022}"/>
    <cellStyle name="Normal 8 2 3 3 2 2 2 3" xfId="34485" xr:uid="{CE1DA9BA-42FC-4EAC-A522-6577364DB2DD}"/>
    <cellStyle name="Normal 8 2 3 3 2 2 2 4" xfId="26037" xr:uid="{B1A86225-C00F-4D32-BDD7-401BA1D09F26}"/>
    <cellStyle name="Normal 8 2 3 3 2 2 2 5" xfId="16740" xr:uid="{D1A976F1-90F2-438D-973E-8EAC187A00BB}"/>
    <cellStyle name="Normal 8 2 3 3 2 2 3" xfId="38715" xr:uid="{BC2C2CF2-4CFD-4E14-A83A-A74A39B772DD}"/>
    <cellStyle name="Normal 8 2 3 3 2 2 4" xfId="30267" xr:uid="{9AC4AC92-3544-4FA3-9B2A-FDB1FE740578}"/>
    <cellStyle name="Normal 8 2 3 3 2 2 5" xfId="21820" xr:uid="{B694F9E5-6363-431A-BFB2-EECE7E2A400D}"/>
    <cellStyle name="Normal 8 2 3 3 2 2 6" xfId="12523" xr:uid="{3EDB1C00-9C27-4398-9A85-EFC63A3E8C63}"/>
    <cellStyle name="Normal 8 2 3 3 2 3" xfId="5269" xr:uid="{00000000-0005-0000-0000-0000C01C0000}"/>
    <cellStyle name="Normal 8 2 3 3 2 3 2" xfId="40787" xr:uid="{F6451C5F-2E7B-41C0-AF76-65C51E857E50}"/>
    <cellStyle name="Normal 8 2 3 3 2 3 3" xfId="32340" xr:uid="{180F981A-DC0F-4BD9-9947-AE7E08FAC7F5}"/>
    <cellStyle name="Normal 8 2 3 3 2 3 4" xfId="23892" xr:uid="{4A606245-0418-4471-A759-CEE8F681A188}"/>
    <cellStyle name="Normal 8 2 3 3 2 3 5" xfId="14595" xr:uid="{9F16BF41-8433-4BD9-892F-88E662B1DED3}"/>
    <cellStyle name="Normal 8 2 3 3 2 4" xfId="9467" xr:uid="{C16001D7-8508-4511-808F-E990F8EA0FE3}"/>
    <cellStyle name="Normal 8 2 3 3 2 4 2" xfId="36570" xr:uid="{B3D8FA37-6844-4E06-8DF8-F203AC71FC18}"/>
    <cellStyle name="Normal 8 2 3 3 2 4 3" xfId="18780" xr:uid="{7DEDF3B2-11C2-4EBD-9256-4F832233102A}"/>
    <cellStyle name="Normal 8 2 3 3 2 5" xfId="28122" xr:uid="{82ADA2CA-2052-4140-A9AF-F1CAC36F88A2}"/>
    <cellStyle name="Normal 8 2 3 3 2 6" xfId="19675" xr:uid="{BC6E4997-36FD-412A-A8D1-9447BC5F5ED6}"/>
    <cellStyle name="Normal 8 2 3 3 2 7" xfId="10378" xr:uid="{410836BA-F077-4CE7-80ED-2B97780DCC0B}"/>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43345" xr:uid="{362B5AE2-DEB2-4905-9AB6-F1A4CF0A71A4}"/>
    <cellStyle name="Normal 8 2 3 3 3 2 2 3" xfId="34898" xr:uid="{BD4A4E34-5183-4BA7-9FD2-855CD894FA10}"/>
    <cellStyle name="Normal 8 2 3 3 3 2 2 4" xfId="26450" xr:uid="{CE801900-A758-465A-9FF8-8F7EAA856776}"/>
    <cellStyle name="Normal 8 2 3 3 3 2 2 5" xfId="17153" xr:uid="{C1E2BEE1-C0A5-4AF7-BBC4-32A4E0E56D7F}"/>
    <cellStyle name="Normal 8 2 3 3 3 2 3" xfId="39128" xr:uid="{E5A664AC-9CDB-465C-8E55-97C411B2EE55}"/>
    <cellStyle name="Normal 8 2 3 3 3 2 4" xfId="30680" xr:uid="{55CCB761-16C5-4112-BE46-F460A6CD401C}"/>
    <cellStyle name="Normal 8 2 3 3 3 2 5" xfId="22233" xr:uid="{E5F6C76A-7990-484E-9E76-4867855E41DD}"/>
    <cellStyle name="Normal 8 2 3 3 3 2 6" xfId="12936" xr:uid="{D87D355A-B240-4A5A-89EA-A726984B2AC9}"/>
    <cellStyle name="Normal 8 2 3 3 3 3" xfId="5682" xr:uid="{00000000-0005-0000-0000-0000C41C0000}"/>
    <cellStyle name="Normal 8 2 3 3 3 3 2" xfId="41200" xr:uid="{82532F8B-A984-4470-BFDE-DC07D86C0826}"/>
    <cellStyle name="Normal 8 2 3 3 3 3 3" xfId="32753" xr:uid="{3655466B-7470-4EBA-87CB-7540D8BA9235}"/>
    <cellStyle name="Normal 8 2 3 3 3 3 4" xfId="24305" xr:uid="{1C67E2CD-2F11-43FC-BD8E-FA3F50BF91E8}"/>
    <cellStyle name="Normal 8 2 3 3 3 3 5" xfId="15008" xr:uid="{EA1B8B95-B898-4CE2-A617-5662F13D3338}"/>
    <cellStyle name="Normal 8 2 3 3 3 4" xfId="36983" xr:uid="{7F12248B-83E5-436C-B4C3-929BBC37F1E3}"/>
    <cellStyle name="Normal 8 2 3 3 3 5" xfId="28535" xr:uid="{A10A4C6F-A8CA-42F8-B204-3BD1BA24927E}"/>
    <cellStyle name="Normal 8 2 3 3 3 6" xfId="20088" xr:uid="{F61099AC-4873-4A38-93EA-82F7D6CC495F}"/>
    <cellStyle name="Normal 8 2 3 3 3 7" xfId="10791" xr:uid="{A269D44C-8FC6-41D8-B3F9-F2B49B320C96}"/>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43758" xr:uid="{B23C84FD-4D06-486B-8007-70A36EAF23E5}"/>
    <cellStyle name="Normal 8 2 3 3 4 2 2 3" xfId="35311" xr:uid="{81911E9C-BF77-419D-8299-E2D0BE18507E}"/>
    <cellStyle name="Normal 8 2 3 3 4 2 2 4" xfId="26863" xr:uid="{642B7D58-FF80-4471-9E78-1BB8F40952B0}"/>
    <cellStyle name="Normal 8 2 3 3 4 2 2 5" xfId="17566" xr:uid="{B108B684-978A-467A-82EB-CE1B7CBA915D}"/>
    <cellStyle name="Normal 8 2 3 3 4 2 3" xfId="39541" xr:uid="{02B7FF9B-8828-4842-804B-EB7BC4AA3488}"/>
    <cellStyle name="Normal 8 2 3 3 4 2 4" xfId="31093" xr:uid="{23D02822-7DDD-43ED-BF20-226F220626C8}"/>
    <cellStyle name="Normal 8 2 3 3 4 2 5" xfId="22646" xr:uid="{A78D6D87-BEEE-4086-99FC-075DA662F7E9}"/>
    <cellStyle name="Normal 8 2 3 3 4 2 6" xfId="13349" xr:uid="{7E783FE8-CC9A-4F80-A67E-B6B8AA615485}"/>
    <cellStyle name="Normal 8 2 3 3 4 3" xfId="6095" xr:uid="{00000000-0005-0000-0000-0000C81C0000}"/>
    <cellStyle name="Normal 8 2 3 3 4 3 2" xfId="41613" xr:uid="{AA37BDEA-2682-42D9-B910-C6A514F47ED4}"/>
    <cellStyle name="Normal 8 2 3 3 4 3 3" xfId="33166" xr:uid="{7C67E4B0-F58D-4B16-A9A7-A43C54CFB14E}"/>
    <cellStyle name="Normal 8 2 3 3 4 3 4" xfId="24718" xr:uid="{60F7FAC8-2461-4CE3-B414-2380F1E35266}"/>
    <cellStyle name="Normal 8 2 3 3 4 3 5" xfId="15421" xr:uid="{D0B4C6DA-B589-4974-AF17-1FEA29DB649C}"/>
    <cellStyle name="Normal 8 2 3 3 4 4" xfId="37396" xr:uid="{9DFD268D-2E42-4D62-8C46-BB0F2EA90576}"/>
    <cellStyle name="Normal 8 2 3 3 4 5" xfId="28948" xr:uid="{C8F2B045-B8DA-4C2A-B3C2-827AFCC16A8D}"/>
    <cellStyle name="Normal 8 2 3 3 4 6" xfId="20501" xr:uid="{8B4A21D0-EAD5-4E12-BB80-8B84385F1F3E}"/>
    <cellStyle name="Normal 8 2 3 3 4 7" xfId="11204" xr:uid="{FD1B6B22-4C94-4702-A2F3-5B9EC63BD6B6}"/>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44171" xr:uid="{60C80E70-4A1F-46F8-9FCC-C969BA1E2884}"/>
    <cellStyle name="Normal 8 2 3 3 5 2 2 3" xfId="35724" xr:uid="{7F9707F8-AAA0-431C-9B5C-0F440DC34E88}"/>
    <cellStyle name="Normal 8 2 3 3 5 2 2 4" xfId="27276" xr:uid="{EF504D08-5440-4AEC-8694-851BDD10A298}"/>
    <cellStyle name="Normal 8 2 3 3 5 2 2 5" xfId="17979" xr:uid="{8ACC5A9F-73E4-45C8-B7E7-06BAD6B9CE86}"/>
    <cellStyle name="Normal 8 2 3 3 5 2 3" xfId="39954" xr:uid="{5D79F6A8-9BB2-4208-AEC0-3D86D7552BE3}"/>
    <cellStyle name="Normal 8 2 3 3 5 2 4" xfId="31506" xr:uid="{1E74356F-F6F2-4D41-9FFE-ABB17C47DDCC}"/>
    <cellStyle name="Normal 8 2 3 3 5 2 5" xfId="23059" xr:uid="{453A8EF9-A2D5-453B-A47B-967E5D99A4AC}"/>
    <cellStyle name="Normal 8 2 3 3 5 2 6" xfId="13762" xr:uid="{4C607758-50C6-4C1E-9D98-A41C1A0F1B79}"/>
    <cellStyle name="Normal 8 2 3 3 5 3" xfId="6508" xr:uid="{00000000-0005-0000-0000-0000CC1C0000}"/>
    <cellStyle name="Normal 8 2 3 3 5 3 2" xfId="42026" xr:uid="{08AAF402-98BE-42AE-9F20-31844177D3A0}"/>
    <cellStyle name="Normal 8 2 3 3 5 3 3" xfId="33579" xr:uid="{F1999983-3F5C-4055-91C5-88DED264103A}"/>
    <cellStyle name="Normal 8 2 3 3 5 3 4" xfId="25131" xr:uid="{56252C9C-7433-4C4F-885B-B3927C0CE19D}"/>
    <cellStyle name="Normal 8 2 3 3 5 3 5" xfId="15834" xr:uid="{EA200445-8A52-4DA8-8044-2B71D587477A}"/>
    <cellStyle name="Normal 8 2 3 3 5 4" xfId="37809" xr:uid="{E2DD8910-953D-49D3-97AD-4F193368A092}"/>
    <cellStyle name="Normal 8 2 3 3 5 5" xfId="29361" xr:uid="{458E65A6-288F-4697-B4AD-F61C4EF5C3ED}"/>
    <cellStyle name="Normal 8 2 3 3 5 6" xfId="20914" xr:uid="{36828E8D-4394-408D-9CA7-2D6FCB8F97DD}"/>
    <cellStyle name="Normal 8 2 3 3 5 7" xfId="11617" xr:uid="{753BC1E6-DA62-4C5A-BA4D-BEF2A558623C}"/>
    <cellStyle name="Normal 8 2 3 3 6" xfId="2638" xr:uid="{00000000-0005-0000-0000-0000CD1C0000}"/>
    <cellStyle name="Normal 8 2 3 3 6 2" xfId="6921" xr:uid="{00000000-0005-0000-0000-0000CE1C0000}"/>
    <cellStyle name="Normal 8 2 3 3 6 2 2" xfId="42439" xr:uid="{4D86A2B2-B621-4FDA-8AEE-9081F81212C3}"/>
    <cellStyle name="Normal 8 2 3 3 6 2 3" xfId="33992" xr:uid="{FA182050-4B49-4A99-A20F-993F4E272AA5}"/>
    <cellStyle name="Normal 8 2 3 3 6 2 4" xfId="25544" xr:uid="{B772FC50-CF57-47B5-A9FE-3BDA7F2C948F}"/>
    <cellStyle name="Normal 8 2 3 3 6 2 5" xfId="16247" xr:uid="{F1DA8EE7-4521-45C7-ADBC-17DEC6F84711}"/>
    <cellStyle name="Normal 8 2 3 3 6 3" xfId="38222" xr:uid="{B17B033A-C94C-460B-8ABD-1F7975E97FE3}"/>
    <cellStyle name="Normal 8 2 3 3 6 4" xfId="29774" xr:uid="{E2149240-AFD0-4C8A-9A56-2EB304AFBCB7}"/>
    <cellStyle name="Normal 8 2 3 3 6 5" xfId="21327" xr:uid="{EE3601F0-E161-4E64-8C17-7D994A50A698}"/>
    <cellStyle name="Normal 8 2 3 3 6 6" xfId="12030" xr:uid="{FE0E21DB-8512-4650-BC90-A20761F7D01F}"/>
    <cellStyle name="Normal 8 2 3 3 7" xfId="4856" xr:uid="{00000000-0005-0000-0000-0000CF1C0000}"/>
    <cellStyle name="Normal 8 2 3 3 7 2" xfId="40374" xr:uid="{B791CD11-7AA1-4720-B74B-7E7B0F015806}"/>
    <cellStyle name="Normal 8 2 3 3 7 3" xfId="31927" xr:uid="{DB1774C1-92FC-4CBF-B23D-ED971F5972CE}"/>
    <cellStyle name="Normal 8 2 3 3 7 4" xfId="23479" xr:uid="{0499D218-AEDD-4CCD-B3E0-786D914DD8CA}"/>
    <cellStyle name="Normal 8 2 3 3 7 5" xfId="14182" xr:uid="{99C157B5-E4E3-4451-BA14-70B1A1475B01}"/>
    <cellStyle name="Normal 8 2 3 3 8" xfId="9042" xr:uid="{D820ED39-BAB1-48C1-A68D-2017E247E432}"/>
    <cellStyle name="Normal 8 2 3 3 8 2" xfId="36157" xr:uid="{9B6DE8FF-EEAC-40EE-A32B-4DDD887BF782}"/>
    <cellStyle name="Normal 8 2 3 3 8 3" xfId="18365" xr:uid="{308EB59A-2B4C-4847-A9CC-BBE4FFD0AE0E}"/>
    <cellStyle name="Normal 8 2 3 3 9" xfId="27709" xr:uid="{929F7390-494A-464B-8DC2-8485B7EB2B7F}"/>
    <cellStyle name="Normal 8 2 3 4" xfId="955" xr:uid="{00000000-0005-0000-0000-0000D01C0000}"/>
    <cellStyle name="Normal 8 2 3 4 2" xfId="3189" xr:uid="{00000000-0005-0000-0000-0000D11C0000}"/>
    <cellStyle name="Normal 8 2 3 4 2 2" xfId="7411" xr:uid="{00000000-0005-0000-0000-0000D21C0000}"/>
    <cellStyle name="Normal 8 2 3 4 2 2 2" xfId="42929" xr:uid="{09F3DC86-DE55-4728-B175-968EA621995A}"/>
    <cellStyle name="Normal 8 2 3 4 2 2 3" xfId="34482" xr:uid="{1E17E76A-5502-49EB-B56F-41326EC0AFED}"/>
    <cellStyle name="Normal 8 2 3 4 2 2 4" xfId="26034" xr:uid="{BEF4F1F9-1708-4C34-A545-17790D098AC7}"/>
    <cellStyle name="Normal 8 2 3 4 2 2 5" xfId="16737" xr:uid="{2CCE9390-D1B8-40EB-82B0-F6E660A3373B}"/>
    <cellStyle name="Normal 8 2 3 4 2 3" xfId="38712" xr:uid="{8F3C9D60-E707-4CA4-8052-86CE9A088796}"/>
    <cellStyle name="Normal 8 2 3 4 2 4" xfId="30264" xr:uid="{46A97166-EF32-4D9F-95F9-2E461A088036}"/>
    <cellStyle name="Normal 8 2 3 4 2 5" xfId="21817" xr:uid="{4011E59C-C878-4A08-B11F-6AEE718AED4A}"/>
    <cellStyle name="Normal 8 2 3 4 2 6" xfId="12520" xr:uid="{CE81D636-44F5-4D0E-8B0B-4AD9376E2F1C}"/>
    <cellStyle name="Normal 8 2 3 4 3" xfId="5266" xr:uid="{00000000-0005-0000-0000-0000D31C0000}"/>
    <cellStyle name="Normal 8 2 3 4 3 2" xfId="40784" xr:uid="{DBC0FDB3-B0DD-45EE-B4AE-A3CA3F4618E1}"/>
    <cellStyle name="Normal 8 2 3 4 3 3" xfId="32337" xr:uid="{27C382F4-DC3A-4381-A98D-4D0D89A1BA2F}"/>
    <cellStyle name="Normal 8 2 3 4 3 4" xfId="23889" xr:uid="{4D06771A-703A-44AA-A998-28DC4DDF628E}"/>
    <cellStyle name="Normal 8 2 3 4 3 5" xfId="14592" xr:uid="{81138810-2D40-44C3-A643-65BB942418E9}"/>
    <cellStyle name="Normal 8 2 3 4 4" xfId="9260" xr:uid="{70FF5A16-C89A-42B7-A603-E23A7C2F443C}"/>
    <cellStyle name="Normal 8 2 3 4 4 2" xfId="36567" xr:uid="{972A0DC4-C414-4243-BBDE-D13C2A7C64B5}"/>
    <cellStyle name="Normal 8 2 3 4 4 3" xfId="18573" xr:uid="{D04EA050-9433-417A-BBFC-6CCD51340948}"/>
    <cellStyle name="Normal 8 2 3 4 5" xfId="28119" xr:uid="{9BBBD16E-7CB2-4797-AB4E-C0DDCD324E5C}"/>
    <cellStyle name="Normal 8 2 3 4 6" xfId="19672" xr:uid="{EE31D516-1845-41FD-BE11-244704A4E463}"/>
    <cellStyle name="Normal 8 2 3 4 7" xfId="10375" xr:uid="{36CB54FE-AFF5-45EA-A231-0BCA5DE4663C}"/>
    <cellStyle name="Normal 8 2 3 5" xfId="1372" xr:uid="{00000000-0005-0000-0000-0000D41C0000}"/>
    <cellStyle name="Normal 8 2 3 5 2" xfId="3602" xr:uid="{00000000-0005-0000-0000-0000D51C0000}"/>
    <cellStyle name="Normal 8 2 3 5 2 2" xfId="7824" xr:uid="{00000000-0005-0000-0000-0000D61C0000}"/>
    <cellStyle name="Normal 8 2 3 5 2 2 2" xfId="43342" xr:uid="{23310A66-A688-4654-96ED-1BA1B8B25A2E}"/>
    <cellStyle name="Normal 8 2 3 5 2 2 3" xfId="34895" xr:uid="{9125C29B-864A-4653-A1F3-55E247A084E9}"/>
    <cellStyle name="Normal 8 2 3 5 2 2 4" xfId="26447" xr:uid="{F6724849-C5C4-41BE-ACF3-56C7189BB79E}"/>
    <cellStyle name="Normal 8 2 3 5 2 2 5" xfId="17150" xr:uid="{4BC1A306-337A-4133-9963-3DC671BCD1DC}"/>
    <cellStyle name="Normal 8 2 3 5 2 3" xfId="39125" xr:uid="{DA418857-99C5-4082-96CA-586CF3D6CBAD}"/>
    <cellStyle name="Normal 8 2 3 5 2 4" xfId="30677" xr:uid="{0AA9609E-BCFC-44F3-87BE-F030B88CD5F9}"/>
    <cellStyle name="Normal 8 2 3 5 2 5" xfId="22230" xr:uid="{31687C32-AB8F-4A93-8942-AD631322A2D8}"/>
    <cellStyle name="Normal 8 2 3 5 2 6" xfId="12933" xr:uid="{64BCD5E3-9492-43BC-A3E3-3E19A94976BA}"/>
    <cellStyle name="Normal 8 2 3 5 3" xfId="5679" xr:uid="{00000000-0005-0000-0000-0000D71C0000}"/>
    <cellStyle name="Normal 8 2 3 5 3 2" xfId="41197" xr:uid="{FFDF2343-842D-4EE9-B0A2-34EC19F1B645}"/>
    <cellStyle name="Normal 8 2 3 5 3 3" xfId="32750" xr:uid="{1832CC94-7E28-4958-BB00-4205C5F2D720}"/>
    <cellStyle name="Normal 8 2 3 5 3 4" xfId="24302" xr:uid="{4301C4E5-5D66-469D-BEAC-078E1D6BD698}"/>
    <cellStyle name="Normal 8 2 3 5 3 5" xfId="15005" xr:uid="{1270EA71-588E-4701-8D55-FB2185B6F9DE}"/>
    <cellStyle name="Normal 8 2 3 5 4" xfId="36980" xr:uid="{4A40AFCA-8446-4BD2-8BF2-19A8C35E2F55}"/>
    <cellStyle name="Normal 8 2 3 5 5" xfId="28532" xr:uid="{0C60EBE7-938C-453C-8337-E517D9C09F24}"/>
    <cellStyle name="Normal 8 2 3 5 6" xfId="20085" xr:uid="{75219A84-53D8-4DBC-BACF-EA6C5A32A0EB}"/>
    <cellStyle name="Normal 8 2 3 5 7" xfId="10788" xr:uid="{CDDC3BEA-75E0-4D48-B612-5A9688081826}"/>
    <cellStyle name="Normal 8 2 3 6" xfId="1785" xr:uid="{00000000-0005-0000-0000-0000D81C0000}"/>
    <cellStyle name="Normal 8 2 3 6 2" xfId="4015" xr:uid="{00000000-0005-0000-0000-0000D91C0000}"/>
    <cellStyle name="Normal 8 2 3 6 2 2" xfId="8237" xr:uid="{00000000-0005-0000-0000-0000DA1C0000}"/>
    <cellStyle name="Normal 8 2 3 6 2 2 2" xfId="43755" xr:uid="{58D7AC2A-14CD-4BD9-ACA0-D443E2F04B21}"/>
    <cellStyle name="Normal 8 2 3 6 2 2 3" xfId="35308" xr:uid="{630DF13A-CFE1-4F98-81BB-5198D455964E}"/>
    <cellStyle name="Normal 8 2 3 6 2 2 4" xfId="26860" xr:uid="{66854E95-BE69-4D0E-9709-267B24A3B5EA}"/>
    <cellStyle name="Normal 8 2 3 6 2 2 5" xfId="17563" xr:uid="{B91A6AA5-27BD-4E30-90E4-FAB7A3954E6B}"/>
    <cellStyle name="Normal 8 2 3 6 2 3" xfId="39538" xr:uid="{F2898222-14D8-4DC5-8CCA-C18B7F5CDCCF}"/>
    <cellStyle name="Normal 8 2 3 6 2 4" xfId="31090" xr:uid="{E75BC251-0B7C-4A9D-8134-AF90BA4BD038}"/>
    <cellStyle name="Normal 8 2 3 6 2 5" xfId="22643" xr:uid="{3277D854-E80E-4A73-9FCA-638AEB14378A}"/>
    <cellStyle name="Normal 8 2 3 6 2 6" xfId="13346" xr:uid="{5E6E90D2-E372-4C0C-A04D-EA77ACC3B1AC}"/>
    <cellStyle name="Normal 8 2 3 6 3" xfId="6092" xr:uid="{00000000-0005-0000-0000-0000DB1C0000}"/>
    <cellStyle name="Normal 8 2 3 6 3 2" xfId="41610" xr:uid="{4974F887-AFEC-4DEF-82F3-41797CEA3A0F}"/>
    <cellStyle name="Normal 8 2 3 6 3 3" xfId="33163" xr:uid="{211C7AD8-6B2E-4EA7-BB1C-7FD3D1C9B325}"/>
    <cellStyle name="Normal 8 2 3 6 3 4" xfId="24715" xr:uid="{81FB0106-811A-447A-AD9F-4909718DEBA1}"/>
    <cellStyle name="Normal 8 2 3 6 3 5" xfId="15418" xr:uid="{81E14B17-BFB7-4860-85FE-C84B7178EAB9}"/>
    <cellStyle name="Normal 8 2 3 6 4" xfId="37393" xr:uid="{6299BF7B-8BFA-403D-ADEC-9144FBD51A5C}"/>
    <cellStyle name="Normal 8 2 3 6 5" xfId="28945" xr:uid="{DD47BA19-2D41-4142-8441-D55AC79A5481}"/>
    <cellStyle name="Normal 8 2 3 6 6" xfId="20498" xr:uid="{46A30C14-3867-4BA1-AE4A-E31598C2940E}"/>
    <cellStyle name="Normal 8 2 3 6 7" xfId="11201" xr:uid="{6162A144-3D6C-4BE1-AE3A-DDD887777C93}"/>
    <cellStyle name="Normal 8 2 3 7" xfId="2199" xr:uid="{00000000-0005-0000-0000-0000DC1C0000}"/>
    <cellStyle name="Normal 8 2 3 7 2" xfId="4428" xr:uid="{00000000-0005-0000-0000-0000DD1C0000}"/>
    <cellStyle name="Normal 8 2 3 7 2 2" xfId="8650" xr:uid="{00000000-0005-0000-0000-0000DE1C0000}"/>
    <cellStyle name="Normal 8 2 3 7 2 2 2" xfId="44168" xr:uid="{6E4D0A01-7FEA-4F00-B518-2C4EC6EF8E63}"/>
    <cellStyle name="Normal 8 2 3 7 2 2 3" xfId="35721" xr:uid="{4187F4BF-CEC6-4779-B359-05D8CFAAC223}"/>
    <cellStyle name="Normal 8 2 3 7 2 2 4" xfId="27273" xr:uid="{B560AAAE-A2A3-4C6D-9035-D0E87B9C7BF1}"/>
    <cellStyle name="Normal 8 2 3 7 2 2 5" xfId="17976" xr:uid="{EAB5DA1D-5BBF-4E95-B77E-44F15832F5FE}"/>
    <cellStyle name="Normal 8 2 3 7 2 3" xfId="39951" xr:uid="{1574A700-F0C4-4609-9C5F-1328506DB5BB}"/>
    <cellStyle name="Normal 8 2 3 7 2 4" xfId="31503" xr:uid="{BB97B9BA-AAD4-473B-AE72-29FA2BCDF663}"/>
    <cellStyle name="Normal 8 2 3 7 2 5" xfId="23056" xr:uid="{9D3EB10B-FBBC-4C47-B183-6EABE36C4B97}"/>
    <cellStyle name="Normal 8 2 3 7 2 6" xfId="13759" xr:uid="{47B0BC02-81FD-43AC-B87F-F1CD0E34BF6F}"/>
    <cellStyle name="Normal 8 2 3 7 3" xfId="6505" xr:uid="{00000000-0005-0000-0000-0000DF1C0000}"/>
    <cellStyle name="Normal 8 2 3 7 3 2" xfId="42023" xr:uid="{20CA3742-5B79-4D89-B4FF-041B4A4B4014}"/>
    <cellStyle name="Normal 8 2 3 7 3 3" xfId="33576" xr:uid="{193F33E4-5187-4F30-8299-7AA9B51402D3}"/>
    <cellStyle name="Normal 8 2 3 7 3 4" xfId="25128" xr:uid="{45839DDD-A8A6-4819-9AA0-213F76751519}"/>
    <cellStyle name="Normal 8 2 3 7 3 5" xfId="15831" xr:uid="{C4A2C725-77AB-414C-B201-2736E4A9F5C4}"/>
    <cellStyle name="Normal 8 2 3 7 4" xfId="37806" xr:uid="{BC89623D-C84F-4F08-922E-A8CCDFF08C99}"/>
    <cellStyle name="Normal 8 2 3 7 5" xfId="29358" xr:uid="{DB83633B-6987-43C5-A4F0-298F0371B595}"/>
    <cellStyle name="Normal 8 2 3 7 6" xfId="20911" xr:uid="{C07C72A8-ECFA-417B-90AA-9E3434331826}"/>
    <cellStyle name="Normal 8 2 3 7 7" xfId="11614" xr:uid="{15AFDCF9-A961-43E2-937F-A9D9D10BD59B}"/>
    <cellStyle name="Normal 8 2 3 8" xfId="2635" xr:uid="{00000000-0005-0000-0000-0000E01C0000}"/>
    <cellStyle name="Normal 8 2 3 8 2" xfId="6918" xr:uid="{00000000-0005-0000-0000-0000E11C0000}"/>
    <cellStyle name="Normal 8 2 3 8 2 2" xfId="42436" xr:uid="{129340FC-2792-431A-96FD-7F89D6CD62DC}"/>
    <cellStyle name="Normal 8 2 3 8 2 3" xfId="33989" xr:uid="{ECF9A4C7-51C0-469B-9F8D-BF2D0F7657A7}"/>
    <cellStyle name="Normal 8 2 3 8 2 4" xfId="25541" xr:uid="{3A160A27-B35E-488E-A20F-B4DD337EA8C7}"/>
    <cellStyle name="Normal 8 2 3 8 2 5" xfId="16244" xr:uid="{2D85AA7B-4E95-4BFC-BA2E-1E0E875783BC}"/>
    <cellStyle name="Normal 8 2 3 8 3" xfId="38219" xr:uid="{186461D4-D8B6-4CB6-A08A-ADC5E472FB78}"/>
    <cellStyle name="Normal 8 2 3 8 4" xfId="29771" xr:uid="{F137A68D-5503-4D29-AE2F-68294C2FA563}"/>
    <cellStyle name="Normal 8 2 3 8 5" xfId="21324" xr:uid="{597A50F3-6B9C-4A5A-BA40-DE2168DD8B6A}"/>
    <cellStyle name="Normal 8 2 3 8 6" xfId="12027" xr:uid="{C2EDCF35-8BFF-4B00-80F2-C7FD59D0C0DB}"/>
    <cellStyle name="Normal 8 2 3 9" xfId="4853" xr:uid="{00000000-0005-0000-0000-0000E21C0000}"/>
    <cellStyle name="Normal 8 2 3 9 2" xfId="40371" xr:uid="{DC2DDE5D-7B01-469F-9FA4-12287084ADBC}"/>
    <cellStyle name="Normal 8 2 3 9 3" xfId="31924" xr:uid="{C6AF52D6-44AD-48D8-A0C7-8DCAE3F40651}"/>
    <cellStyle name="Normal 8 2 3 9 4" xfId="23476" xr:uid="{D219EDF6-89DA-4CB1-BE26-ED872812EA15}"/>
    <cellStyle name="Normal 8 2 3 9 5" xfId="14179" xr:uid="{DFFA5F2E-C6B2-400E-ACCA-C2219F3FD173}"/>
    <cellStyle name="Normal 8 2 4" xfId="492" xr:uid="{00000000-0005-0000-0000-0000E31C0000}"/>
    <cellStyle name="Normal 8 2 4 10" xfId="27710" xr:uid="{587FDFE3-9B3F-4D7C-8F49-D5770E480A42}"/>
    <cellStyle name="Normal 8 2 4 11" xfId="19263" xr:uid="{388FCE23-8BC5-41B3-A4FE-9821BA20BFF4}"/>
    <cellStyle name="Normal 8 2 4 12" xfId="9966" xr:uid="{E3500878-D5F3-415D-B137-FCD3604481A8}"/>
    <cellStyle name="Normal 8 2 4 2" xfId="493" xr:uid="{00000000-0005-0000-0000-0000E41C0000}"/>
    <cellStyle name="Normal 8 2 4 2 10" xfId="19264" xr:uid="{8F7D3729-DC70-44A3-84FE-D0921ED16536}"/>
    <cellStyle name="Normal 8 2 4 2 11" xfId="9967" xr:uid="{0B08E96E-9EA7-497B-B557-0942CAEBAD26}"/>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42934" xr:uid="{EFE37140-765F-434F-A3FF-7290B19FC5E3}"/>
    <cellStyle name="Normal 8 2 4 2 2 2 2 3" xfId="34487" xr:uid="{66133E89-70FF-44D5-AAAF-E45F7CFBA9E6}"/>
    <cellStyle name="Normal 8 2 4 2 2 2 2 4" xfId="26039" xr:uid="{BAE00A44-F30F-4EA4-9C3E-53C19F62E487}"/>
    <cellStyle name="Normal 8 2 4 2 2 2 2 5" xfId="16742" xr:uid="{DB4989CD-274D-40B3-BC47-BDE12CCC69F3}"/>
    <cellStyle name="Normal 8 2 4 2 2 2 3" xfId="38717" xr:uid="{D4A32735-21C5-4DF4-9091-270BE80E4381}"/>
    <cellStyle name="Normal 8 2 4 2 2 2 4" xfId="30269" xr:uid="{AE03B1F3-867F-42D0-B8F9-6C00CDE0C059}"/>
    <cellStyle name="Normal 8 2 4 2 2 2 5" xfId="21822" xr:uid="{2131CB3F-6C3B-486E-B4C6-2D4206FDEDF4}"/>
    <cellStyle name="Normal 8 2 4 2 2 2 6" xfId="12525" xr:uid="{9A00DDED-0713-44E1-9F45-1A1027964645}"/>
    <cellStyle name="Normal 8 2 4 2 2 3" xfId="5271" xr:uid="{00000000-0005-0000-0000-0000E81C0000}"/>
    <cellStyle name="Normal 8 2 4 2 2 3 2" xfId="40789" xr:uid="{F8928624-16F1-4502-BE0C-FBE2DF21B0A2}"/>
    <cellStyle name="Normal 8 2 4 2 2 3 3" xfId="32342" xr:uid="{E40DDB4E-D643-4DDC-B350-C5D597048286}"/>
    <cellStyle name="Normal 8 2 4 2 2 3 4" xfId="23894" xr:uid="{01D86DE0-58E5-4115-A4B4-DCAED2C774A2}"/>
    <cellStyle name="Normal 8 2 4 2 2 3 5" xfId="14597" xr:uid="{94327CAD-B404-408F-97E0-11D208BCD2E6}"/>
    <cellStyle name="Normal 8 2 4 2 2 4" xfId="9486" xr:uid="{9F6EBE4C-F02F-43A6-A388-D5EACB1B3099}"/>
    <cellStyle name="Normal 8 2 4 2 2 4 2" xfId="36572" xr:uid="{1F746B65-8D8B-40D6-B6B4-452A866F6849}"/>
    <cellStyle name="Normal 8 2 4 2 2 4 3" xfId="18799" xr:uid="{B7C62073-8B5D-4B09-9205-1F221817EE8B}"/>
    <cellStyle name="Normal 8 2 4 2 2 5" xfId="28124" xr:uid="{389AB28C-DF27-49D8-90F3-20415E671D03}"/>
    <cellStyle name="Normal 8 2 4 2 2 6" xfId="19677" xr:uid="{EAA25708-3DE9-44C8-A8BD-0812251E4CD5}"/>
    <cellStyle name="Normal 8 2 4 2 2 7" xfId="10380" xr:uid="{0B26E205-CECE-43A9-BB1B-380298A37BA7}"/>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43347" xr:uid="{29D39229-2549-41ED-B9FE-4150C4BAB965}"/>
    <cellStyle name="Normal 8 2 4 2 3 2 2 3" xfId="34900" xr:uid="{031311F1-BD78-40BA-9094-6B4ABA6D78A2}"/>
    <cellStyle name="Normal 8 2 4 2 3 2 2 4" xfId="26452" xr:uid="{1A6684F6-6A7C-4281-9544-BAA8CBD19EF6}"/>
    <cellStyle name="Normal 8 2 4 2 3 2 2 5" xfId="17155" xr:uid="{F74F7372-8D5B-4CF0-9CB0-AE56816D0B36}"/>
    <cellStyle name="Normal 8 2 4 2 3 2 3" xfId="39130" xr:uid="{BBA2E906-2619-4A90-889F-FFE23FF3F228}"/>
    <cellStyle name="Normal 8 2 4 2 3 2 4" xfId="30682" xr:uid="{CA69E46E-D7BD-4D33-A8D8-8F5E64BA6E2F}"/>
    <cellStyle name="Normal 8 2 4 2 3 2 5" xfId="22235" xr:uid="{1CEF25EC-A07E-4CEA-A3FF-A4A409D14A12}"/>
    <cellStyle name="Normal 8 2 4 2 3 2 6" xfId="12938" xr:uid="{6AEFF4DB-1DA7-4E8D-B945-346E0C405076}"/>
    <cellStyle name="Normal 8 2 4 2 3 3" xfId="5684" xr:uid="{00000000-0005-0000-0000-0000EC1C0000}"/>
    <cellStyle name="Normal 8 2 4 2 3 3 2" xfId="41202" xr:uid="{7BABCB32-357E-4DD3-B1EA-FD877D89A0DE}"/>
    <cellStyle name="Normal 8 2 4 2 3 3 3" xfId="32755" xr:uid="{F01CFA64-7E67-40F1-B12E-F2D131CDE18F}"/>
    <cellStyle name="Normal 8 2 4 2 3 3 4" xfId="24307" xr:uid="{C99BA306-66CF-4CCB-BE9A-36A93E0D6457}"/>
    <cellStyle name="Normal 8 2 4 2 3 3 5" xfId="15010" xr:uid="{4EFB5506-C6D7-434D-B096-A6FADAF97C3B}"/>
    <cellStyle name="Normal 8 2 4 2 3 4" xfId="36985" xr:uid="{2E08C0BE-061C-4D07-9564-3163810C29FC}"/>
    <cellStyle name="Normal 8 2 4 2 3 5" xfId="28537" xr:uid="{1A6AA0F2-D59C-4050-AD72-C1215F7D82CB}"/>
    <cellStyle name="Normal 8 2 4 2 3 6" xfId="20090" xr:uid="{F24D8124-D8CB-4531-A034-F83452BC0C9D}"/>
    <cellStyle name="Normal 8 2 4 2 3 7" xfId="10793" xr:uid="{5664A2C7-F6D8-4C7A-9EF3-D08A127C1C8B}"/>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43760" xr:uid="{9E623A15-2E2B-4921-A457-42779F78949E}"/>
    <cellStyle name="Normal 8 2 4 2 4 2 2 3" xfId="35313" xr:uid="{CF4976BA-5725-4EF7-9A6E-C16DD2F668E2}"/>
    <cellStyle name="Normal 8 2 4 2 4 2 2 4" xfId="26865" xr:uid="{8366EB03-71EC-4D36-BB18-7C85D1F5A7AC}"/>
    <cellStyle name="Normal 8 2 4 2 4 2 2 5" xfId="17568" xr:uid="{190B4A89-3631-43E3-BC7F-8015090D3545}"/>
    <cellStyle name="Normal 8 2 4 2 4 2 3" xfId="39543" xr:uid="{891C9C99-565E-4758-BD9D-CD9734AE1E0A}"/>
    <cellStyle name="Normal 8 2 4 2 4 2 4" xfId="31095" xr:uid="{D782CA2D-68F2-490F-B6F9-4D051FCE9AB8}"/>
    <cellStyle name="Normal 8 2 4 2 4 2 5" xfId="22648" xr:uid="{CDBE446E-C028-46E2-A8BC-ADE28A70F4D5}"/>
    <cellStyle name="Normal 8 2 4 2 4 2 6" xfId="13351" xr:uid="{89DAF5DB-9BE0-458D-AAE3-8824D3EF3B91}"/>
    <cellStyle name="Normal 8 2 4 2 4 3" xfId="6097" xr:uid="{00000000-0005-0000-0000-0000F01C0000}"/>
    <cellStyle name="Normal 8 2 4 2 4 3 2" xfId="41615" xr:uid="{6E1314D2-7E9B-4270-91F7-CE691B0D0E3D}"/>
    <cellStyle name="Normal 8 2 4 2 4 3 3" xfId="33168" xr:uid="{3298B8C6-9B9D-4A7F-A69C-433C05C9BA2B}"/>
    <cellStyle name="Normal 8 2 4 2 4 3 4" xfId="24720" xr:uid="{21645531-5DBB-41E3-9AB6-11F8C7B73B45}"/>
    <cellStyle name="Normal 8 2 4 2 4 3 5" xfId="15423" xr:uid="{BA580A38-03B8-494E-AD08-648BD8622288}"/>
    <cellStyle name="Normal 8 2 4 2 4 4" xfId="37398" xr:uid="{DBFD87CF-4D22-4571-AD72-A820B36794AF}"/>
    <cellStyle name="Normal 8 2 4 2 4 5" xfId="28950" xr:uid="{B243A21D-7691-4551-8259-C2F8E804B66F}"/>
    <cellStyle name="Normal 8 2 4 2 4 6" xfId="20503" xr:uid="{12086A10-7479-421A-8ABB-768A6FAE45CB}"/>
    <cellStyle name="Normal 8 2 4 2 4 7" xfId="11206" xr:uid="{911538EC-0417-4156-A007-D837A7058C26}"/>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44173" xr:uid="{A1106DC4-F2E5-4203-B9A0-08D8C41A1A96}"/>
    <cellStyle name="Normal 8 2 4 2 5 2 2 3" xfId="35726" xr:uid="{9F22C53F-382B-48BD-99A8-7FE9E65B8830}"/>
    <cellStyle name="Normal 8 2 4 2 5 2 2 4" xfId="27278" xr:uid="{E8F70C20-43DF-43BA-96B4-7D67CEF716CD}"/>
    <cellStyle name="Normal 8 2 4 2 5 2 2 5" xfId="17981" xr:uid="{DE60E62B-9A7C-4FC1-9E1B-5F7A5389BF70}"/>
    <cellStyle name="Normal 8 2 4 2 5 2 3" xfId="39956" xr:uid="{AC8CB711-AB96-4894-A1C9-9ABDC9A2C930}"/>
    <cellStyle name="Normal 8 2 4 2 5 2 4" xfId="31508" xr:uid="{5386013C-C96E-4588-83F5-156A2037C4F9}"/>
    <cellStyle name="Normal 8 2 4 2 5 2 5" xfId="23061" xr:uid="{8CCDB379-498D-49BE-8DEF-E19628D71E64}"/>
    <cellStyle name="Normal 8 2 4 2 5 2 6" xfId="13764" xr:uid="{8126DCB6-6046-4800-B35F-8B957B2FA90C}"/>
    <cellStyle name="Normal 8 2 4 2 5 3" xfId="6510" xr:uid="{00000000-0005-0000-0000-0000F41C0000}"/>
    <cellStyle name="Normal 8 2 4 2 5 3 2" xfId="42028" xr:uid="{F9B1430B-E0DE-4DA2-B540-D4F69DAE1AB6}"/>
    <cellStyle name="Normal 8 2 4 2 5 3 3" xfId="33581" xr:uid="{95B02F8D-3DCE-4D41-8DC1-BDD11FB3026C}"/>
    <cellStyle name="Normal 8 2 4 2 5 3 4" xfId="25133" xr:uid="{5AE23DC7-064D-4651-95DE-8E5DC38297C5}"/>
    <cellStyle name="Normal 8 2 4 2 5 3 5" xfId="15836" xr:uid="{10008457-494F-44A6-8125-5C8AE59EC9ED}"/>
    <cellStyle name="Normal 8 2 4 2 5 4" xfId="37811" xr:uid="{CEFF124A-B7BD-4D97-A19E-DB448D4EA304}"/>
    <cellStyle name="Normal 8 2 4 2 5 5" xfId="29363" xr:uid="{472D81C2-D520-40D3-A29B-96E63361CF5B}"/>
    <cellStyle name="Normal 8 2 4 2 5 6" xfId="20916" xr:uid="{F4419039-7FA0-4453-A5D3-E93B77409A27}"/>
    <cellStyle name="Normal 8 2 4 2 5 7" xfId="11619" xr:uid="{4137F175-A628-4737-B3DE-8D247EB90096}"/>
    <cellStyle name="Normal 8 2 4 2 6" xfId="2640" xr:uid="{00000000-0005-0000-0000-0000F51C0000}"/>
    <cellStyle name="Normal 8 2 4 2 6 2" xfId="6923" xr:uid="{00000000-0005-0000-0000-0000F61C0000}"/>
    <cellStyle name="Normal 8 2 4 2 6 2 2" xfId="42441" xr:uid="{BABDE32C-2F40-4CD0-85CC-F3EEE6ED2E7F}"/>
    <cellStyle name="Normal 8 2 4 2 6 2 3" xfId="33994" xr:uid="{BD61C282-7520-4C24-BEA0-C3FC768E5C3A}"/>
    <cellStyle name="Normal 8 2 4 2 6 2 4" xfId="25546" xr:uid="{2C1B4EF2-313B-4F76-B980-2FDE597DCF2A}"/>
    <cellStyle name="Normal 8 2 4 2 6 2 5" xfId="16249" xr:uid="{66B5A30C-7413-4DE5-8774-B6E8F9441B95}"/>
    <cellStyle name="Normal 8 2 4 2 6 3" xfId="38224" xr:uid="{0EC44104-9B53-4E87-9C05-7FF59FC86183}"/>
    <cellStyle name="Normal 8 2 4 2 6 4" xfId="29776" xr:uid="{12B0DDE8-1B58-4BC8-898B-30150EE9D715}"/>
    <cellStyle name="Normal 8 2 4 2 6 5" xfId="21329" xr:uid="{CE63E560-20E1-4CF1-A30B-CF1715082570}"/>
    <cellStyle name="Normal 8 2 4 2 6 6" xfId="12032" xr:uid="{C206C775-4074-4AED-AE31-3243B4FDD42F}"/>
    <cellStyle name="Normal 8 2 4 2 7" xfId="4858" xr:uid="{00000000-0005-0000-0000-0000F71C0000}"/>
    <cellStyle name="Normal 8 2 4 2 7 2" xfId="40376" xr:uid="{81964ABB-7042-4F67-A7C5-094C2B72A46F}"/>
    <cellStyle name="Normal 8 2 4 2 7 3" xfId="31929" xr:uid="{41AB1303-A859-4941-B35C-B54D4A0A81FF}"/>
    <cellStyle name="Normal 8 2 4 2 7 4" xfId="23481" xr:uid="{F2C19432-3965-4BCE-B7AC-5F07AB7257ED}"/>
    <cellStyle name="Normal 8 2 4 2 7 5" xfId="14184" xr:uid="{DF5F0B7A-C920-47E5-B94F-572BE055E109}"/>
    <cellStyle name="Normal 8 2 4 2 8" xfId="9061" xr:uid="{7295DB82-9441-436C-AA3E-91B68F6E59B3}"/>
    <cellStyle name="Normal 8 2 4 2 8 2" xfId="36159" xr:uid="{8DE941B7-90FC-45DA-8C1D-577BC5A6EDC1}"/>
    <cellStyle name="Normal 8 2 4 2 8 3" xfId="18384" xr:uid="{99E54302-6B4F-4F5D-B4BA-F68E264EE925}"/>
    <cellStyle name="Normal 8 2 4 2 9" xfId="27711" xr:uid="{7208C5DC-BDBF-4902-A78B-E75A90FAC5FD}"/>
    <cellStyle name="Normal 8 2 4 3" xfId="959" xr:uid="{00000000-0005-0000-0000-0000F81C0000}"/>
    <cellStyle name="Normal 8 2 4 3 2" xfId="3193" xr:uid="{00000000-0005-0000-0000-0000F91C0000}"/>
    <cellStyle name="Normal 8 2 4 3 2 2" xfId="7415" xr:uid="{00000000-0005-0000-0000-0000FA1C0000}"/>
    <cellStyle name="Normal 8 2 4 3 2 2 2" xfId="42933" xr:uid="{E3BE3C33-B2F3-4835-8A60-B3D6449BB542}"/>
    <cellStyle name="Normal 8 2 4 3 2 2 3" xfId="34486" xr:uid="{7EF8E846-5FDA-45D9-8EFC-3ABA88BA4CDA}"/>
    <cellStyle name="Normal 8 2 4 3 2 2 4" xfId="26038" xr:uid="{A5EA7B75-4725-4ED9-8A3E-164B3A67940B}"/>
    <cellStyle name="Normal 8 2 4 3 2 2 5" xfId="16741" xr:uid="{4E281790-20EB-4FD7-97D2-B9C9C7163DDE}"/>
    <cellStyle name="Normal 8 2 4 3 2 3" xfId="38716" xr:uid="{DC213DD8-FC95-4506-8424-A45C1930692E}"/>
    <cellStyle name="Normal 8 2 4 3 2 4" xfId="30268" xr:uid="{263864B8-C9AF-4DE5-BA25-D63770B1A249}"/>
    <cellStyle name="Normal 8 2 4 3 2 5" xfId="21821" xr:uid="{304CFD3A-9630-4DEE-B2DA-4D8CDA3B798C}"/>
    <cellStyle name="Normal 8 2 4 3 2 6" xfId="12524" xr:uid="{E3D09393-6568-4164-BD42-F10696B27BBF}"/>
    <cellStyle name="Normal 8 2 4 3 3" xfId="5270" xr:uid="{00000000-0005-0000-0000-0000FB1C0000}"/>
    <cellStyle name="Normal 8 2 4 3 3 2" xfId="40788" xr:uid="{A82F8DBA-905F-43D3-B517-6C55C6B23D17}"/>
    <cellStyle name="Normal 8 2 4 3 3 3" xfId="32341" xr:uid="{098845FF-46F5-4EEE-89C2-CC4C82EF1E60}"/>
    <cellStyle name="Normal 8 2 4 3 3 4" xfId="23893" xr:uid="{B24E767C-94F6-4040-B8CE-BDAA7D13C453}"/>
    <cellStyle name="Normal 8 2 4 3 3 5" xfId="14596" xr:uid="{F6CBCB00-9323-4F36-93C9-7A6D485C83B6}"/>
    <cellStyle name="Normal 8 2 4 3 4" xfId="9279" xr:uid="{BA09D30D-BEBA-4223-83E6-57FB46A1EFA8}"/>
    <cellStyle name="Normal 8 2 4 3 4 2" xfId="36571" xr:uid="{331A98BF-8DC3-4050-8293-0A8022B58234}"/>
    <cellStyle name="Normal 8 2 4 3 4 3" xfId="18592" xr:uid="{6C1A680F-DBA8-478B-BDBF-3A742DD8602D}"/>
    <cellStyle name="Normal 8 2 4 3 5" xfId="28123" xr:uid="{9B11EE98-9A54-485E-97BB-0819E35920C4}"/>
    <cellStyle name="Normal 8 2 4 3 6" xfId="19676" xr:uid="{C7241897-0204-465B-A78B-B7211D13BD13}"/>
    <cellStyle name="Normal 8 2 4 3 7" xfId="10379" xr:uid="{965A586A-D27F-4BBB-9620-3CF5487B8232}"/>
    <cellStyle name="Normal 8 2 4 4" xfId="1376" xr:uid="{00000000-0005-0000-0000-0000FC1C0000}"/>
    <cellStyle name="Normal 8 2 4 4 2" xfId="3606" xr:uid="{00000000-0005-0000-0000-0000FD1C0000}"/>
    <cellStyle name="Normal 8 2 4 4 2 2" xfId="7828" xr:uid="{00000000-0005-0000-0000-0000FE1C0000}"/>
    <cellStyle name="Normal 8 2 4 4 2 2 2" xfId="43346" xr:uid="{B27C5F79-59FB-4B2D-9308-64C53F7BA7D1}"/>
    <cellStyle name="Normal 8 2 4 4 2 2 3" xfId="34899" xr:uid="{5B958491-ACCF-49BC-AA30-64ABFA7A03D5}"/>
    <cellStyle name="Normal 8 2 4 4 2 2 4" xfId="26451" xr:uid="{34DC2BEB-F118-4E8B-8F20-10268204DD29}"/>
    <cellStyle name="Normal 8 2 4 4 2 2 5" xfId="17154" xr:uid="{9277366C-7848-4E2E-9480-3C0ACC9803FF}"/>
    <cellStyle name="Normal 8 2 4 4 2 3" xfId="39129" xr:uid="{D60B01A8-692D-4471-83D4-57ECA0FE177C}"/>
    <cellStyle name="Normal 8 2 4 4 2 4" xfId="30681" xr:uid="{753C728E-C569-4939-A226-30BA5AF5E059}"/>
    <cellStyle name="Normal 8 2 4 4 2 5" xfId="22234" xr:uid="{BF9C9CFA-6D92-41DC-BE97-ECD0BC41C08F}"/>
    <cellStyle name="Normal 8 2 4 4 2 6" xfId="12937" xr:uid="{D56FE44A-C77D-427F-8F24-5F982C093E94}"/>
    <cellStyle name="Normal 8 2 4 4 3" xfId="5683" xr:uid="{00000000-0005-0000-0000-0000FF1C0000}"/>
    <cellStyle name="Normal 8 2 4 4 3 2" xfId="41201" xr:uid="{E06A4857-9BEC-4108-934D-D1CB6AC21120}"/>
    <cellStyle name="Normal 8 2 4 4 3 3" xfId="32754" xr:uid="{1FEF485B-982A-43D5-9F0E-50ED5CFA39EE}"/>
    <cellStyle name="Normal 8 2 4 4 3 4" xfId="24306" xr:uid="{CA51CFCD-409E-439D-81C7-F69A260682DB}"/>
    <cellStyle name="Normal 8 2 4 4 3 5" xfId="15009" xr:uid="{B65CEFBC-A126-46A6-B5C4-3F0201CC9FAF}"/>
    <cellStyle name="Normal 8 2 4 4 4" xfId="36984" xr:uid="{66B17A52-2BD1-4C21-A625-12EB7E33EA8F}"/>
    <cellStyle name="Normal 8 2 4 4 5" xfId="28536" xr:uid="{8A5412BB-8FEA-4C3F-839C-DC4AEF610425}"/>
    <cellStyle name="Normal 8 2 4 4 6" xfId="20089" xr:uid="{FA4042D6-715A-4019-A226-30FCB7982352}"/>
    <cellStyle name="Normal 8 2 4 4 7" xfId="10792" xr:uid="{334E34F3-EE0D-45A5-BED2-F182C8C56DF0}"/>
    <cellStyle name="Normal 8 2 4 5" xfId="1789" xr:uid="{00000000-0005-0000-0000-0000001D0000}"/>
    <cellStyle name="Normal 8 2 4 5 2" xfId="4019" xr:uid="{00000000-0005-0000-0000-0000011D0000}"/>
    <cellStyle name="Normal 8 2 4 5 2 2" xfId="8241" xr:uid="{00000000-0005-0000-0000-0000021D0000}"/>
    <cellStyle name="Normal 8 2 4 5 2 2 2" xfId="43759" xr:uid="{516D7B6B-390B-40DA-B3DE-973FF0B0562C}"/>
    <cellStyle name="Normal 8 2 4 5 2 2 3" xfId="35312" xr:uid="{3C2C8BDC-7C58-4B0E-B2B5-BB2362B89367}"/>
    <cellStyle name="Normal 8 2 4 5 2 2 4" xfId="26864" xr:uid="{86D0F51C-64AB-4628-8A79-4EC31897E488}"/>
    <cellStyle name="Normal 8 2 4 5 2 2 5" xfId="17567" xr:uid="{CD275616-55E5-4F94-B09F-8D2D45B0F5DA}"/>
    <cellStyle name="Normal 8 2 4 5 2 3" xfId="39542" xr:uid="{75A12DDE-5BBB-4C00-8185-5B61B51A1E7A}"/>
    <cellStyle name="Normal 8 2 4 5 2 4" xfId="31094" xr:uid="{9DC9C354-D396-4BD1-88F0-6053EA84F45B}"/>
    <cellStyle name="Normal 8 2 4 5 2 5" xfId="22647" xr:uid="{3853014D-372B-4AC3-B9C1-8344E0938BDF}"/>
    <cellStyle name="Normal 8 2 4 5 2 6" xfId="13350" xr:uid="{463D7D9A-11B6-417B-ABA2-4704887FB95A}"/>
    <cellStyle name="Normal 8 2 4 5 3" xfId="6096" xr:uid="{00000000-0005-0000-0000-0000031D0000}"/>
    <cellStyle name="Normal 8 2 4 5 3 2" xfId="41614" xr:uid="{F19B7BA6-A32A-4726-B5C6-5FB68CBFBC86}"/>
    <cellStyle name="Normal 8 2 4 5 3 3" xfId="33167" xr:uid="{DEBFE82D-88D7-45AC-A894-7493344CF090}"/>
    <cellStyle name="Normal 8 2 4 5 3 4" xfId="24719" xr:uid="{01CA5D15-0952-48D9-BB12-21B167DEF8DC}"/>
    <cellStyle name="Normal 8 2 4 5 3 5" xfId="15422" xr:uid="{E86F23C1-B1A7-42FE-B380-7D37409D14B8}"/>
    <cellStyle name="Normal 8 2 4 5 4" xfId="37397" xr:uid="{D6B541EA-0179-439D-9684-F2BAAAC452B2}"/>
    <cellStyle name="Normal 8 2 4 5 5" xfId="28949" xr:uid="{B8395653-9C36-4F52-8A39-F50867191F45}"/>
    <cellStyle name="Normal 8 2 4 5 6" xfId="20502" xr:uid="{E4D72D5D-B2A8-41B2-B4BE-EA7AFB38A4D6}"/>
    <cellStyle name="Normal 8 2 4 5 7" xfId="11205" xr:uid="{414719AF-668E-4456-92C2-B6B06196B634}"/>
    <cellStyle name="Normal 8 2 4 6" xfId="2203" xr:uid="{00000000-0005-0000-0000-0000041D0000}"/>
    <cellStyle name="Normal 8 2 4 6 2" xfId="4432" xr:uid="{00000000-0005-0000-0000-0000051D0000}"/>
    <cellStyle name="Normal 8 2 4 6 2 2" xfId="8654" xr:uid="{00000000-0005-0000-0000-0000061D0000}"/>
    <cellStyle name="Normal 8 2 4 6 2 2 2" xfId="44172" xr:uid="{1863B965-0ED9-42C8-8CF5-8AF790339393}"/>
    <cellStyle name="Normal 8 2 4 6 2 2 3" xfId="35725" xr:uid="{BACE3F0A-D03A-4FB2-94B9-5D26786D8F4D}"/>
    <cellStyle name="Normal 8 2 4 6 2 2 4" xfId="27277" xr:uid="{1C050AAA-6418-4C48-BCBA-9B3823A7EFEF}"/>
    <cellStyle name="Normal 8 2 4 6 2 2 5" xfId="17980" xr:uid="{158E55E6-5AAC-4E1A-9854-5E02788DDEFF}"/>
    <cellStyle name="Normal 8 2 4 6 2 3" xfId="39955" xr:uid="{0B15D9C4-C1D9-4656-8968-6432D3E1BB39}"/>
    <cellStyle name="Normal 8 2 4 6 2 4" xfId="31507" xr:uid="{3E9DC9A2-3B07-4F43-AF31-CBE76D3DBEBF}"/>
    <cellStyle name="Normal 8 2 4 6 2 5" xfId="23060" xr:uid="{956FDD21-C3EC-4CAE-89A7-1FB53B8F932A}"/>
    <cellStyle name="Normal 8 2 4 6 2 6" xfId="13763" xr:uid="{64FAD171-94CE-4508-A1A7-C9A29BBEEA43}"/>
    <cellStyle name="Normal 8 2 4 6 3" xfId="6509" xr:uid="{00000000-0005-0000-0000-0000071D0000}"/>
    <cellStyle name="Normal 8 2 4 6 3 2" xfId="42027" xr:uid="{F3FA0019-8DCB-42DC-9525-DC86443E4C61}"/>
    <cellStyle name="Normal 8 2 4 6 3 3" xfId="33580" xr:uid="{99D34808-F201-40F8-B2CE-B9813FA897BB}"/>
    <cellStyle name="Normal 8 2 4 6 3 4" xfId="25132" xr:uid="{F13DFAEC-2334-4BE9-A366-82439BEBCF59}"/>
    <cellStyle name="Normal 8 2 4 6 3 5" xfId="15835" xr:uid="{C4C32ED4-7B0C-4AE9-AEC9-A5B9BBC8C28B}"/>
    <cellStyle name="Normal 8 2 4 6 4" xfId="37810" xr:uid="{86DC25C9-FC58-4A32-AA4F-8F28A73105CE}"/>
    <cellStyle name="Normal 8 2 4 6 5" xfId="29362" xr:uid="{9B0DDDD7-A500-4239-9E28-C1B1F79A671E}"/>
    <cellStyle name="Normal 8 2 4 6 6" xfId="20915" xr:uid="{92F0063F-F19A-4C8E-AF88-F93AA2403C7F}"/>
    <cellStyle name="Normal 8 2 4 6 7" xfId="11618" xr:uid="{EABF1BBC-DDC7-424F-950D-96CBC30A9A2C}"/>
    <cellStyle name="Normal 8 2 4 7" xfId="2639" xr:uid="{00000000-0005-0000-0000-0000081D0000}"/>
    <cellStyle name="Normal 8 2 4 7 2" xfId="6922" xr:uid="{00000000-0005-0000-0000-0000091D0000}"/>
    <cellStyle name="Normal 8 2 4 7 2 2" xfId="42440" xr:uid="{AAF538F5-E209-414D-98D8-517FB4E7242A}"/>
    <cellStyle name="Normal 8 2 4 7 2 3" xfId="33993" xr:uid="{81143C69-3A09-45D6-A7D4-55ADEFDF0BD9}"/>
    <cellStyle name="Normal 8 2 4 7 2 4" xfId="25545" xr:uid="{5A5B8A46-4813-414A-9B6E-70B2A8FB1CD9}"/>
    <cellStyle name="Normal 8 2 4 7 2 5" xfId="16248" xr:uid="{942C4EFA-9D7C-4BA8-91AE-6C6AC024E513}"/>
    <cellStyle name="Normal 8 2 4 7 3" xfId="38223" xr:uid="{5CEDAD25-986C-4346-8C2F-A3DC03496873}"/>
    <cellStyle name="Normal 8 2 4 7 4" xfId="29775" xr:uid="{DE4F7787-BBEE-4717-8A27-C59E038C0DD5}"/>
    <cellStyle name="Normal 8 2 4 7 5" xfId="21328" xr:uid="{431C35FA-B92C-4C45-8EB3-02D6FD18B47D}"/>
    <cellStyle name="Normal 8 2 4 7 6" xfId="12031" xr:uid="{AE3BE671-1D17-428B-9EAF-641BB07678AF}"/>
    <cellStyle name="Normal 8 2 4 8" xfId="4857" xr:uid="{00000000-0005-0000-0000-00000A1D0000}"/>
    <cellStyle name="Normal 8 2 4 8 2" xfId="40375" xr:uid="{62F14C0E-65DC-4A7B-81CE-5B32F8C60ADF}"/>
    <cellStyle name="Normal 8 2 4 8 3" xfId="31928" xr:uid="{C1D8BE2E-6EF2-43CF-99C3-0EAEE9295F68}"/>
    <cellStyle name="Normal 8 2 4 8 4" xfId="23480" xr:uid="{65038E48-FEB4-4E34-9312-194969E7A17C}"/>
    <cellStyle name="Normal 8 2 4 8 5" xfId="14183" xr:uid="{60C56F86-574D-410E-B954-308039C12739}"/>
    <cellStyle name="Normal 8 2 4 9" xfId="8854" xr:uid="{F1F9C500-F3E2-475A-983E-BD697F4BACD1}"/>
    <cellStyle name="Normal 8 2 4 9 2" xfId="36158" xr:uid="{49012704-AA39-41BE-AE96-8471987ADB32}"/>
    <cellStyle name="Normal 8 2 4 9 3" xfId="18177" xr:uid="{0070CD1B-704F-47AF-83E3-094C9B3699FB}"/>
    <cellStyle name="Normal 8 2 5" xfId="494" xr:uid="{00000000-0005-0000-0000-00000B1D0000}"/>
    <cellStyle name="Normal 8 2 5 10" xfId="19265" xr:uid="{25C6213C-96A9-4CB6-83A6-D8A616495BB3}"/>
    <cellStyle name="Normal 8 2 5 11" xfId="9968" xr:uid="{8B2CAE19-E559-44F5-8825-38019574DE60}"/>
    <cellStyle name="Normal 8 2 5 2" xfId="961" xr:uid="{00000000-0005-0000-0000-00000C1D0000}"/>
    <cellStyle name="Normal 8 2 5 2 2" xfId="3195" xr:uid="{00000000-0005-0000-0000-00000D1D0000}"/>
    <cellStyle name="Normal 8 2 5 2 2 2" xfId="7417" xr:uid="{00000000-0005-0000-0000-00000E1D0000}"/>
    <cellStyle name="Normal 8 2 5 2 2 2 2" xfId="42935" xr:uid="{D55D563E-DB56-4936-ADB4-682BCC3BC4D7}"/>
    <cellStyle name="Normal 8 2 5 2 2 2 3" xfId="34488" xr:uid="{4165C2D9-CFD4-4194-ADC9-357F1C8662C3}"/>
    <cellStyle name="Normal 8 2 5 2 2 2 4" xfId="26040" xr:uid="{532C6401-7FF2-4C30-B12F-52F342A91E39}"/>
    <cellStyle name="Normal 8 2 5 2 2 2 5" xfId="16743" xr:uid="{1536491F-BA83-46A9-9F09-E3F9907015C3}"/>
    <cellStyle name="Normal 8 2 5 2 2 3" xfId="38718" xr:uid="{4F3F3B73-D3B7-4EA3-8F5F-FCDF41637B56}"/>
    <cellStyle name="Normal 8 2 5 2 2 4" xfId="30270" xr:uid="{02BCF892-1664-4BCA-A49F-B4E6410D6AD4}"/>
    <cellStyle name="Normal 8 2 5 2 2 5" xfId="21823" xr:uid="{0E811E77-22B5-4B67-B150-CFF0D95B2062}"/>
    <cellStyle name="Normal 8 2 5 2 2 6" xfId="12526" xr:uid="{A1D9BB95-80D0-47BB-91BC-BE5350AB76B1}"/>
    <cellStyle name="Normal 8 2 5 2 3" xfId="5272" xr:uid="{00000000-0005-0000-0000-00000F1D0000}"/>
    <cellStyle name="Normal 8 2 5 2 3 2" xfId="40790" xr:uid="{AB00C880-CE1A-430C-8149-FE8C45AFF7A5}"/>
    <cellStyle name="Normal 8 2 5 2 3 3" xfId="32343" xr:uid="{D71A11E2-BF92-401D-9718-E90CB52B9741}"/>
    <cellStyle name="Normal 8 2 5 2 3 4" xfId="23895" xr:uid="{C76982A1-0D50-47C8-A0CC-4A99AA8E45A8}"/>
    <cellStyle name="Normal 8 2 5 2 3 5" xfId="14598" xr:uid="{135F6DCC-7BF5-483A-A24B-969846998B5F}"/>
    <cellStyle name="Normal 8 2 5 2 4" xfId="9395" xr:uid="{D5766EF3-6042-484F-B510-7448518CF571}"/>
    <cellStyle name="Normal 8 2 5 2 4 2" xfId="36573" xr:uid="{C032B077-23FC-4C5A-8E88-041316F26DB3}"/>
    <cellStyle name="Normal 8 2 5 2 4 3" xfId="18708" xr:uid="{B5607122-46CC-4125-A303-2BE637B54E58}"/>
    <cellStyle name="Normal 8 2 5 2 5" xfId="28125" xr:uid="{93666125-280F-4EAB-B5F4-1381B9607F8D}"/>
    <cellStyle name="Normal 8 2 5 2 6" xfId="19678" xr:uid="{0587D67D-8FD8-4569-9077-42BF1BF7298C}"/>
    <cellStyle name="Normal 8 2 5 2 7" xfId="10381" xr:uid="{044619E7-D8BB-48EA-B4D6-AEC1AD3CA8A9}"/>
    <cellStyle name="Normal 8 2 5 3" xfId="1378" xr:uid="{00000000-0005-0000-0000-0000101D0000}"/>
    <cellStyle name="Normal 8 2 5 3 2" xfId="3608" xr:uid="{00000000-0005-0000-0000-0000111D0000}"/>
    <cellStyle name="Normal 8 2 5 3 2 2" xfId="7830" xr:uid="{00000000-0005-0000-0000-0000121D0000}"/>
    <cellStyle name="Normal 8 2 5 3 2 2 2" xfId="43348" xr:uid="{9C8307CA-B0C5-4E31-976E-D029E564FCA8}"/>
    <cellStyle name="Normal 8 2 5 3 2 2 3" xfId="34901" xr:uid="{225D9A1C-E54C-4287-85F3-625C446F7F0F}"/>
    <cellStyle name="Normal 8 2 5 3 2 2 4" xfId="26453" xr:uid="{9B13A64B-80C5-49EC-8AE8-D9A5EE5B5D4B}"/>
    <cellStyle name="Normal 8 2 5 3 2 2 5" xfId="17156" xr:uid="{3C04E024-ED0D-4248-8D43-9453773013E7}"/>
    <cellStyle name="Normal 8 2 5 3 2 3" xfId="39131" xr:uid="{7EE306BB-2CE5-463E-8C3B-7D3C0230CCC5}"/>
    <cellStyle name="Normal 8 2 5 3 2 4" xfId="30683" xr:uid="{E35BA172-7EB9-4317-A566-C64000520962}"/>
    <cellStyle name="Normal 8 2 5 3 2 5" xfId="22236" xr:uid="{B338EEE8-BC4B-40E5-B028-ED02E074386F}"/>
    <cellStyle name="Normal 8 2 5 3 2 6" xfId="12939" xr:uid="{42206214-796D-4B18-B05E-8B63DAF8B6F9}"/>
    <cellStyle name="Normal 8 2 5 3 3" xfId="5685" xr:uid="{00000000-0005-0000-0000-0000131D0000}"/>
    <cellStyle name="Normal 8 2 5 3 3 2" xfId="41203" xr:uid="{03CB9927-BB1A-4B0E-9648-61EB6E85A684}"/>
    <cellStyle name="Normal 8 2 5 3 3 3" xfId="32756" xr:uid="{0D09F867-A264-486F-9EE1-49EDF6170CDF}"/>
    <cellStyle name="Normal 8 2 5 3 3 4" xfId="24308" xr:uid="{C15C244D-2FA6-4B2F-9B84-D9F825B50121}"/>
    <cellStyle name="Normal 8 2 5 3 3 5" xfId="15011" xr:uid="{AB345F24-681F-4CA2-A577-FFA68C167FE8}"/>
    <cellStyle name="Normal 8 2 5 3 4" xfId="36986" xr:uid="{CDCC32BD-B4B8-4F84-9A92-1489838A395C}"/>
    <cellStyle name="Normal 8 2 5 3 5" xfId="28538" xr:uid="{A7CFE54A-B262-42E5-8F8E-67EF39BA11EE}"/>
    <cellStyle name="Normal 8 2 5 3 6" xfId="20091" xr:uid="{2F9772D0-2EBA-4855-B40F-203C83D3947C}"/>
    <cellStyle name="Normal 8 2 5 3 7" xfId="10794" xr:uid="{B6ECD2B3-35B1-4525-8EA4-BD7792D34724}"/>
    <cellStyle name="Normal 8 2 5 4" xfId="1791" xr:uid="{00000000-0005-0000-0000-0000141D0000}"/>
    <cellStyle name="Normal 8 2 5 4 2" xfId="4021" xr:uid="{00000000-0005-0000-0000-0000151D0000}"/>
    <cellStyle name="Normal 8 2 5 4 2 2" xfId="8243" xr:uid="{00000000-0005-0000-0000-0000161D0000}"/>
    <cellStyle name="Normal 8 2 5 4 2 2 2" xfId="43761" xr:uid="{DB7F9A88-5994-4501-96CE-11FBBACD2879}"/>
    <cellStyle name="Normal 8 2 5 4 2 2 3" xfId="35314" xr:uid="{9D411417-F806-4854-8F87-CDE800AB8815}"/>
    <cellStyle name="Normal 8 2 5 4 2 2 4" xfId="26866" xr:uid="{9073D6E1-C355-4177-BCDC-742F8243F807}"/>
    <cellStyle name="Normal 8 2 5 4 2 2 5" xfId="17569" xr:uid="{4951024C-C07F-44E3-892E-D1989169EA73}"/>
    <cellStyle name="Normal 8 2 5 4 2 3" xfId="39544" xr:uid="{400F4588-F342-40F5-ABEE-4DD3D03AAD70}"/>
    <cellStyle name="Normal 8 2 5 4 2 4" xfId="31096" xr:uid="{ADFEB25D-4840-400A-A8F2-B26C9962CB34}"/>
    <cellStyle name="Normal 8 2 5 4 2 5" xfId="22649" xr:uid="{2C5918EE-E3D7-4FF3-95C7-169C4A217C79}"/>
    <cellStyle name="Normal 8 2 5 4 2 6" xfId="13352" xr:uid="{EEC35CC7-02CB-41C7-81DF-3252E87EADCF}"/>
    <cellStyle name="Normal 8 2 5 4 3" xfId="6098" xr:uid="{00000000-0005-0000-0000-0000171D0000}"/>
    <cellStyle name="Normal 8 2 5 4 3 2" xfId="41616" xr:uid="{445310B6-BCB0-4737-BDEB-8B9D42C62D51}"/>
    <cellStyle name="Normal 8 2 5 4 3 3" xfId="33169" xr:uid="{2EE9419E-5DC3-470E-9D4F-D73F2CD1FED3}"/>
    <cellStyle name="Normal 8 2 5 4 3 4" xfId="24721" xr:uid="{A8A362B8-F0F9-4C69-B272-268B6A48DCFB}"/>
    <cellStyle name="Normal 8 2 5 4 3 5" xfId="15424" xr:uid="{4DF1D2EA-1FC6-45DB-BE4B-C1E72DE8DAE8}"/>
    <cellStyle name="Normal 8 2 5 4 4" xfId="37399" xr:uid="{045EEE44-36C8-42F6-B8CF-07BA0550D261}"/>
    <cellStyle name="Normal 8 2 5 4 5" xfId="28951" xr:uid="{E3D5C947-0AC6-48E4-AE53-004F3E2137AB}"/>
    <cellStyle name="Normal 8 2 5 4 6" xfId="20504" xr:uid="{B147ACFE-4A4B-4B6B-AB46-57363A03FE36}"/>
    <cellStyle name="Normal 8 2 5 4 7" xfId="11207" xr:uid="{7A553312-0B75-4216-BAC7-3721DD37FC8E}"/>
    <cellStyle name="Normal 8 2 5 5" xfId="2205" xr:uid="{00000000-0005-0000-0000-0000181D0000}"/>
    <cellStyle name="Normal 8 2 5 5 2" xfId="4434" xr:uid="{00000000-0005-0000-0000-0000191D0000}"/>
    <cellStyle name="Normal 8 2 5 5 2 2" xfId="8656" xr:uid="{00000000-0005-0000-0000-00001A1D0000}"/>
    <cellStyle name="Normal 8 2 5 5 2 2 2" xfId="44174" xr:uid="{30D63AA3-8C61-477E-B615-7CCF0C685833}"/>
    <cellStyle name="Normal 8 2 5 5 2 2 3" xfId="35727" xr:uid="{54EE4E0B-00C5-420A-B8D5-7758A7473ADD}"/>
    <cellStyle name="Normal 8 2 5 5 2 2 4" xfId="27279" xr:uid="{2DF4DA75-D899-477E-84A4-A3397D71CC9A}"/>
    <cellStyle name="Normal 8 2 5 5 2 2 5" xfId="17982" xr:uid="{F2B1FA45-6790-4B6B-994B-B97599519ACD}"/>
    <cellStyle name="Normal 8 2 5 5 2 3" xfId="39957" xr:uid="{69E11CDE-6257-43D6-94B7-3284780D62D7}"/>
    <cellStyle name="Normal 8 2 5 5 2 4" xfId="31509" xr:uid="{A1D1CB56-9BBE-496F-9290-88B12DF3C6F3}"/>
    <cellStyle name="Normal 8 2 5 5 2 5" xfId="23062" xr:uid="{E4343CBB-7BA7-4BA0-AF9D-787650C1D743}"/>
    <cellStyle name="Normal 8 2 5 5 2 6" xfId="13765" xr:uid="{DB7B3052-ECFB-4A1D-B244-AD334F6B20D3}"/>
    <cellStyle name="Normal 8 2 5 5 3" xfId="6511" xr:uid="{00000000-0005-0000-0000-00001B1D0000}"/>
    <cellStyle name="Normal 8 2 5 5 3 2" xfId="42029" xr:uid="{23CBE44D-F767-4514-8834-E8FAFB086A47}"/>
    <cellStyle name="Normal 8 2 5 5 3 3" xfId="33582" xr:uid="{91B84622-42BE-43A1-B54B-72CD311B42BB}"/>
    <cellStyle name="Normal 8 2 5 5 3 4" xfId="25134" xr:uid="{CAF22DDC-EA4A-46D2-9736-6E9113DDB4F5}"/>
    <cellStyle name="Normal 8 2 5 5 3 5" xfId="15837" xr:uid="{95EED212-C279-4B77-831E-340DBE087022}"/>
    <cellStyle name="Normal 8 2 5 5 4" xfId="37812" xr:uid="{7F5B5BFC-8C33-4504-B7AC-14B1A80EBF1C}"/>
    <cellStyle name="Normal 8 2 5 5 5" xfId="29364" xr:uid="{1D18DC12-A950-4207-B663-0AD0F4BECC38}"/>
    <cellStyle name="Normal 8 2 5 5 6" xfId="20917" xr:uid="{985F6AB9-CCC1-4122-B64C-C539C9BED670}"/>
    <cellStyle name="Normal 8 2 5 5 7" xfId="11620" xr:uid="{02D5F173-255B-41D3-ABC2-037FC255CAC3}"/>
    <cellStyle name="Normal 8 2 5 6" xfId="2641" xr:uid="{00000000-0005-0000-0000-00001C1D0000}"/>
    <cellStyle name="Normal 8 2 5 6 2" xfId="6924" xr:uid="{00000000-0005-0000-0000-00001D1D0000}"/>
    <cellStyle name="Normal 8 2 5 6 2 2" xfId="42442" xr:uid="{2481F0E8-1558-490F-8BCA-7AC64CFDAA28}"/>
    <cellStyle name="Normal 8 2 5 6 2 3" xfId="33995" xr:uid="{8B69CE2F-D656-4EE5-B7BF-66194D0FDA6E}"/>
    <cellStyle name="Normal 8 2 5 6 2 4" xfId="25547" xr:uid="{1BCAD747-85A0-412B-B32F-BE2AC7AC6ECD}"/>
    <cellStyle name="Normal 8 2 5 6 2 5" xfId="16250" xr:uid="{3361A8D1-AB09-4130-B87A-4A3794A9A42C}"/>
    <cellStyle name="Normal 8 2 5 6 3" xfId="38225" xr:uid="{B704166D-9278-4C0B-91DF-D0DC4BA3A9D6}"/>
    <cellStyle name="Normal 8 2 5 6 4" xfId="29777" xr:uid="{E0682B2A-2977-4116-8D83-ED5F4D9B8C0A}"/>
    <cellStyle name="Normal 8 2 5 6 5" xfId="21330" xr:uid="{17F961EE-9A30-4745-BDDB-B9DAAF64C294}"/>
    <cellStyle name="Normal 8 2 5 6 6" xfId="12033" xr:uid="{B0BAB195-E0E8-4001-A6C6-82D7A578AC70}"/>
    <cellStyle name="Normal 8 2 5 7" xfId="4859" xr:uid="{00000000-0005-0000-0000-00001E1D0000}"/>
    <cellStyle name="Normal 8 2 5 7 2" xfId="40377" xr:uid="{5CC48882-3820-4DDC-851C-F9896FEF6F2D}"/>
    <cellStyle name="Normal 8 2 5 7 3" xfId="31930" xr:uid="{395AACBD-2AD9-4BCA-B65D-E8D3B41C3260}"/>
    <cellStyle name="Normal 8 2 5 7 4" xfId="23482" xr:uid="{FC6F5053-EE12-4B7E-8E71-C1BCCD88284B}"/>
    <cellStyle name="Normal 8 2 5 7 5" xfId="14185" xr:uid="{2F965262-CF02-441A-AEB3-9716D2614582}"/>
    <cellStyle name="Normal 8 2 5 8" xfId="8970" xr:uid="{7E9ACEFF-1680-45D8-BC32-8CA9BA1D63D4}"/>
    <cellStyle name="Normal 8 2 5 8 2" xfId="36160" xr:uid="{AB429EE4-5E4F-4F22-80D3-9D5B364821C5}"/>
    <cellStyle name="Normal 8 2 5 8 3" xfId="18293" xr:uid="{E2D09E1A-91DB-468E-BB4C-3D0BE99466B6}"/>
    <cellStyle name="Normal 8 2 5 9" xfId="27712" xr:uid="{0EACF0C9-DBC8-410D-A2CB-676504DD8F9C}"/>
    <cellStyle name="Normal 8 2 6" xfId="946" xr:uid="{00000000-0005-0000-0000-00001F1D0000}"/>
    <cellStyle name="Normal 8 2 6 2" xfId="3180" xr:uid="{00000000-0005-0000-0000-0000201D0000}"/>
    <cellStyle name="Normal 8 2 6 2 2" xfId="7402" xr:uid="{00000000-0005-0000-0000-0000211D0000}"/>
    <cellStyle name="Normal 8 2 6 2 2 2" xfId="42920" xr:uid="{E8C9D0AD-53C9-4387-86C5-60350C43F24B}"/>
    <cellStyle name="Normal 8 2 6 2 2 3" xfId="34473" xr:uid="{0222A490-AB5E-4C93-BE3B-9E4AE7B9F567}"/>
    <cellStyle name="Normal 8 2 6 2 2 4" xfId="26025" xr:uid="{D6E38AFA-F369-4420-9341-F5FD735B0BEB}"/>
    <cellStyle name="Normal 8 2 6 2 2 5" xfId="16728" xr:uid="{EBD521AE-E6DD-49C6-8F20-2CE1BB2A6070}"/>
    <cellStyle name="Normal 8 2 6 2 3" xfId="38703" xr:uid="{F12C4FD1-05FD-4C7C-9F6E-7FF43F7B038E}"/>
    <cellStyle name="Normal 8 2 6 2 4" xfId="30255" xr:uid="{C06326F1-AFE5-4D44-9683-01AE8A4796B7}"/>
    <cellStyle name="Normal 8 2 6 2 5" xfId="21808" xr:uid="{54DF51EF-C6F6-453A-B48B-937B873B15B2}"/>
    <cellStyle name="Normal 8 2 6 2 6" xfId="12511" xr:uid="{F9552195-0961-4855-9147-6CC485EB1B20}"/>
    <cellStyle name="Normal 8 2 6 3" xfId="5257" xr:uid="{00000000-0005-0000-0000-0000221D0000}"/>
    <cellStyle name="Normal 8 2 6 3 2" xfId="40775" xr:uid="{C71CC71F-73D0-4D61-8F71-ADC4B1631461}"/>
    <cellStyle name="Normal 8 2 6 3 3" xfId="32328" xr:uid="{071622AB-6809-4A4D-A235-1A4E0C9E28F9}"/>
    <cellStyle name="Normal 8 2 6 3 4" xfId="23880" xr:uid="{EF1E4889-3CB8-4633-8625-E9C8A2029598}"/>
    <cellStyle name="Normal 8 2 6 3 5" xfId="14583" xr:uid="{63727A97-84C2-45C1-9E97-971FE9A9085A}"/>
    <cellStyle name="Normal 8 2 6 4" xfId="9173" xr:uid="{C36295B3-E6F0-4A6D-AEE5-72C8177C13EE}"/>
    <cellStyle name="Normal 8 2 6 4 2" xfId="36558" xr:uid="{96502DA9-24E8-416B-8893-F586B895A59D}"/>
    <cellStyle name="Normal 8 2 6 4 3" xfId="18489" xr:uid="{C5666474-488C-41F4-9434-D138FFEF8FBB}"/>
    <cellStyle name="Normal 8 2 6 5" xfId="28110" xr:uid="{8A046685-21F7-4570-95A5-A4C101580B87}"/>
    <cellStyle name="Normal 8 2 6 6" xfId="19663" xr:uid="{696B2DC3-7B22-4739-8B2C-2D3F4B0CA5E8}"/>
    <cellStyle name="Normal 8 2 6 7" xfId="10366" xr:uid="{4B83D74B-B38C-4064-9A6C-C75ADBC91F23}"/>
    <cellStyle name="Normal 8 2 7" xfId="1363" xr:uid="{00000000-0005-0000-0000-0000231D0000}"/>
    <cellStyle name="Normal 8 2 7 2" xfId="3593" xr:uid="{00000000-0005-0000-0000-0000241D0000}"/>
    <cellStyle name="Normal 8 2 7 2 2" xfId="7815" xr:uid="{00000000-0005-0000-0000-0000251D0000}"/>
    <cellStyle name="Normal 8 2 7 2 2 2" xfId="43333" xr:uid="{C2961507-E215-4574-9AD7-1681E9163A9E}"/>
    <cellStyle name="Normal 8 2 7 2 2 3" xfId="34886" xr:uid="{E22BF1FD-5DF1-4934-AF83-0A4A3C686989}"/>
    <cellStyle name="Normal 8 2 7 2 2 4" xfId="26438" xr:uid="{34801825-9F6B-4F27-8D41-BA7F5B5D8064}"/>
    <cellStyle name="Normal 8 2 7 2 2 5" xfId="17141" xr:uid="{AADF4A29-AF64-4195-B2C6-17ABB8C6F988}"/>
    <cellStyle name="Normal 8 2 7 2 3" xfId="39116" xr:uid="{1DA3863A-D539-4F6B-89BA-22A4DCAA5531}"/>
    <cellStyle name="Normal 8 2 7 2 4" xfId="30668" xr:uid="{A4A365CF-4AEA-463E-B85A-A1A933B272FE}"/>
    <cellStyle name="Normal 8 2 7 2 5" xfId="22221" xr:uid="{E30768AA-F553-4088-8A50-81E734D8411E}"/>
    <cellStyle name="Normal 8 2 7 2 6" xfId="12924" xr:uid="{5EE8A399-AD4C-43E8-9A83-88C0FFEFDA09}"/>
    <cellStyle name="Normal 8 2 7 3" xfId="5670" xr:uid="{00000000-0005-0000-0000-0000261D0000}"/>
    <cellStyle name="Normal 8 2 7 3 2" xfId="41188" xr:uid="{86C1B1CC-80DF-4E05-BD46-331B1347633F}"/>
    <cellStyle name="Normal 8 2 7 3 3" xfId="32741" xr:uid="{9F8CF466-A967-4480-B382-915511AE61B7}"/>
    <cellStyle name="Normal 8 2 7 3 4" xfId="24293" xr:uid="{FD60E246-0936-42C2-839E-5FDAF3170DF4}"/>
    <cellStyle name="Normal 8 2 7 3 5" xfId="14996" xr:uid="{A96EE4D8-C7BB-4E8E-B7A8-FA4BAF6F8C1D}"/>
    <cellStyle name="Normal 8 2 7 4" xfId="36971" xr:uid="{898A055E-0CA8-4484-B762-7C3851519380}"/>
    <cellStyle name="Normal 8 2 7 5" xfId="28523" xr:uid="{19080163-3846-47DF-8759-A92F30392531}"/>
    <cellStyle name="Normal 8 2 7 6" xfId="20076" xr:uid="{7B2FDE98-2947-4976-8227-778A59E3BE03}"/>
    <cellStyle name="Normal 8 2 7 7" xfId="10779" xr:uid="{BC36B71E-7E34-4D78-A0E4-B6D5CA6AB17F}"/>
    <cellStyle name="Normal 8 2 8" xfId="1776" xr:uid="{00000000-0005-0000-0000-0000271D0000}"/>
    <cellStyle name="Normal 8 2 8 2" xfId="4006" xr:uid="{00000000-0005-0000-0000-0000281D0000}"/>
    <cellStyle name="Normal 8 2 8 2 2" xfId="8228" xr:uid="{00000000-0005-0000-0000-0000291D0000}"/>
    <cellStyle name="Normal 8 2 8 2 2 2" xfId="43746" xr:uid="{5E157CEF-AA1B-43B7-A0DC-6309E9C38CF0}"/>
    <cellStyle name="Normal 8 2 8 2 2 3" xfId="35299" xr:uid="{64F0FBD0-D32D-48B1-8418-9F0A736B125B}"/>
    <cellStyle name="Normal 8 2 8 2 2 4" xfId="26851" xr:uid="{03C8ECFE-F9D0-49ED-BA29-E8183137E565}"/>
    <cellStyle name="Normal 8 2 8 2 2 5" xfId="17554" xr:uid="{C473A60F-A153-42B6-AAF5-F3F713F3F80E}"/>
    <cellStyle name="Normal 8 2 8 2 3" xfId="39529" xr:uid="{B95F1F96-9501-466C-8F0A-08878DF3DF5A}"/>
    <cellStyle name="Normal 8 2 8 2 4" xfId="31081" xr:uid="{FF9D8EA3-3D28-44A4-99CC-78B6E41335CB}"/>
    <cellStyle name="Normal 8 2 8 2 5" xfId="22634" xr:uid="{CEFD1078-EBA8-48B9-B750-C4555CC6F773}"/>
    <cellStyle name="Normal 8 2 8 2 6" xfId="13337" xr:uid="{E86DE116-2A75-4EE0-B1A1-73115542B593}"/>
    <cellStyle name="Normal 8 2 8 3" xfId="6083" xr:uid="{00000000-0005-0000-0000-00002A1D0000}"/>
    <cellStyle name="Normal 8 2 8 3 2" xfId="41601" xr:uid="{C6875E83-B0EA-4D86-A3CD-A798B3E81FEB}"/>
    <cellStyle name="Normal 8 2 8 3 3" xfId="33154" xr:uid="{F9FFC15A-9226-43A2-8E0F-06C417876B77}"/>
    <cellStyle name="Normal 8 2 8 3 4" xfId="24706" xr:uid="{86887E8E-20BC-45F5-A17F-27C982F6CC99}"/>
    <cellStyle name="Normal 8 2 8 3 5" xfId="15409" xr:uid="{07B87E15-CEBB-4E50-AC46-1E55809B9B2C}"/>
    <cellStyle name="Normal 8 2 8 4" xfId="37384" xr:uid="{F171DE9C-7695-48A7-9215-B1F425D7E894}"/>
    <cellStyle name="Normal 8 2 8 5" xfId="28936" xr:uid="{813BB4AC-1CC6-41A0-91CE-5CB92E12504C}"/>
    <cellStyle name="Normal 8 2 8 6" xfId="20489" xr:uid="{B12093DC-28F3-4908-8004-D8CEA135378B}"/>
    <cellStyle name="Normal 8 2 8 7" xfId="11192" xr:uid="{12E3D367-8CFF-41CF-848D-017A21516D8E}"/>
    <cellStyle name="Normal 8 2 9" xfId="2190" xr:uid="{00000000-0005-0000-0000-00002B1D0000}"/>
    <cellStyle name="Normal 8 2 9 2" xfId="4419" xr:uid="{00000000-0005-0000-0000-00002C1D0000}"/>
    <cellStyle name="Normal 8 2 9 2 2" xfId="8641" xr:uid="{00000000-0005-0000-0000-00002D1D0000}"/>
    <cellStyle name="Normal 8 2 9 2 2 2" xfId="44159" xr:uid="{16A4E661-6C2A-4BF2-847C-40D025215034}"/>
    <cellStyle name="Normal 8 2 9 2 2 3" xfId="35712" xr:uid="{BB7FDAC6-ADCA-4F2F-8564-D940F043881B}"/>
    <cellStyle name="Normal 8 2 9 2 2 4" xfId="27264" xr:uid="{0DA3CA54-9743-4E13-AD5F-26D11CD05891}"/>
    <cellStyle name="Normal 8 2 9 2 2 5" xfId="17967" xr:uid="{EA8E9805-A6D6-46AA-976B-08D69EACB083}"/>
    <cellStyle name="Normal 8 2 9 2 3" xfId="39942" xr:uid="{4F4C6BD2-F056-42E8-BB2D-4B8682DE7EF8}"/>
    <cellStyle name="Normal 8 2 9 2 4" xfId="31494" xr:uid="{A3769F9B-B85A-4CF0-9A40-27C719F1D17F}"/>
    <cellStyle name="Normal 8 2 9 2 5" xfId="23047" xr:uid="{3622EBFE-9794-4795-87D3-8454B50ECFEC}"/>
    <cellStyle name="Normal 8 2 9 2 6" xfId="13750" xr:uid="{1E1210B4-4909-4116-89B5-1AD4910E024C}"/>
    <cellStyle name="Normal 8 2 9 3" xfId="6496" xr:uid="{00000000-0005-0000-0000-00002E1D0000}"/>
    <cellStyle name="Normal 8 2 9 3 2" xfId="42014" xr:uid="{31CD7A49-22D7-49BF-B2A8-3367C6F5DD89}"/>
    <cellStyle name="Normal 8 2 9 3 3" xfId="33567" xr:uid="{55C015D3-EA77-46E8-BB12-B262B4C251A1}"/>
    <cellStyle name="Normal 8 2 9 3 4" xfId="25119" xr:uid="{C0EDB0C9-AFC8-4902-BCD6-BA5029C52559}"/>
    <cellStyle name="Normal 8 2 9 3 5" xfId="15822" xr:uid="{7B844B36-CAAF-436E-9B5E-FC6ED4217C98}"/>
    <cellStyle name="Normal 8 2 9 4" xfId="37797" xr:uid="{321BA1CE-75DB-445D-97F0-979B39DC1DD1}"/>
    <cellStyle name="Normal 8 2 9 5" xfId="29349" xr:uid="{23355E8C-363C-44A0-B606-FAF3448C2013}"/>
    <cellStyle name="Normal 8 2 9 6" xfId="20902" xr:uid="{DA7F27FA-1609-4919-BB4D-D9AA809F603C}"/>
    <cellStyle name="Normal 8 2 9 7" xfId="11605" xr:uid="{A2B086DD-7E1C-4857-9736-A53A9D9082E2}"/>
    <cellStyle name="Normal 8 3" xfId="495" xr:uid="{00000000-0005-0000-0000-00002F1D0000}"/>
    <cellStyle name="Normal 8 3 10" xfId="4860" xr:uid="{00000000-0005-0000-0000-0000301D0000}"/>
    <cellStyle name="Normal 8 3 10 2" xfId="40378" xr:uid="{35844CC3-01F5-4CA8-9949-7238E240E344}"/>
    <cellStyle name="Normal 8 3 10 3" xfId="31931" xr:uid="{388156C3-BDB7-439E-AD1D-F132B5743E6D}"/>
    <cellStyle name="Normal 8 3 10 4" xfId="23483" xr:uid="{B26AD1A8-4CC4-46A5-AC39-91F8B2775AF3}"/>
    <cellStyle name="Normal 8 3 10 5" xfId="14186" xr:uid="{E193F76A-C5BF-44B5-8ADA-0C726E58F510}"/>
    <cellStyle name="Normal 8 3 11" xfId="8774" xr:uid="{81BDDADD-940D-4F3A-BD6C-7E4719C8A3D2}"/>
    <cellStyle name="Normal 8 3 11 2" xfId="36161" xr:uid="{159F269D-A7C2-4E31-AD32-94890D17062C}"/>
    <cellStyle name="Normal 8 3 11 3" xfId="18097" xr:uid="{6609EF08-9598-4E5F-98FC-F7BAA0174EF2}"/>
    <cellStyle name="Normal 8 3 12" xfId="27713" xr:uid="{23D58A37-0352-4525-A69B-95CE804BE89D}"/>
    <cellStyle name="Normal 8 3 13" xfId="19266" xr:uid="{2E8298D8-A4A8-4727-A2A1-175C565DF22F}"/>
    <cellStyle name="Normal 8 3 14" xfId="9969" xr:uid="{B773C874-D454-485E-BF8F-044167E7DC04}"/>
    <cellStyle name="Normal 8 3 2" xfId="496" xr:uid="{00000000-0005-0000-0000-0000311D0000}"/>
    <cellStyle name="Normal 8 3 2 10" xfId="8837" xr:uid="{392842AA-84B1-4A71-AE94-A1B631487B7E}"/>
    <cellStyle name="Normal 8 3 2 10 2" xfId="36162" xr:uid="{70D1735A-8E00-43F3-A310-12CB1C2695D6}"/>
    <cellStyle name="Normal 8 3 2 10 3" xfId="18160" xr:uid="{E62FFFB9-16F3-47A2-AC83-78A324C98179}"/>
    <cellStyle name="Normal 8 3 2 11" xfId="27714" xr:uid="{17CA2929-BEFB-4C00-8336-12A8C2A891D8}"/>
    <cellStyle name="Normal 8 3 2 12" xfId="19267" xr:uid="{3F6D30B2-90CE-4133-B74D-72F938F6AFCA}"/>
    <cellStyle name="Normal 8 3 2 13" xfId="9970" xr:uid="{A9C47B8B-10AB-4565-A283-2180DE47AF7E}"/>
    <cellStyle name="Normal 8 3 2 2" xfId="497" xr:uid="{00000000-0005-0000-0000-0000321D0000}"/>
    <cellStyle name="Normal 8 3 2 2 10" xfId="27715" xr:uid="{26090204-E637-4B47-8CAB-A391B2122511}"/>
    <cellStyle name="Normal 8 3 2 2 11" xfId="19268" xr:uid="{2226023D-062B-4E9E-B01C-BCA1379F2051}"/>
    <cellStyle name="Normal 8 3 2 2 12" xfId="9971" xr:uid="{214101E0-9684-4C7E-B92A-35AEC17ACFBC}"/>
    <cellStyle name="Normal 8 3 2 2 2" xfId="498" xr:uid="{00000000-0005-0000-0000-0000331D0000}"/>
    <cellStyle name="Normal 8 3 2 2 2 10" xfId="19269" xr:uid="{1F4CFA0A-EC5A-49CA-AAA6-E7084C19D7AA}"/>
    <cellStyle name="Normal 8 3 2 2 2 11" xfId="9972" xr:uid="{74A72B73-6114-452F-9241-207EF2F19928}"/>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42939" xr:uid="{1306C62C-70FA-4199-A819-CBEB7588A9BB}"/>
    <cellStyle name="Normal 8 3 2 2 2 2 2 2 3" xfId="34492" xr:uid="{81D3FE9F-BBDA-4EEB-BFB7-8ED5680C5F62}"/>
    <cellStyle name="Normal 8 3 2 2 2 2 2 2 4" xfId="26044" xr:uid="{687C8602-F999-401C-A793-4562F1E35391}"/>
    <cellStyle name="Normal 8 3 2 2 2 2 2 2 5" xfId="16747" xr:uid="{A98F8907-0AAF-4F32-B59D-4B577EAD682B}"/>
    <cellStyle name="Normal 8 3 2 2 2 2 2 3" xfId="38722" xr:uid="{304A835F-0440-4220-90DD-A27CA2EA4A89}"/>
    <cellStyle name="Normal 8 3 2 2 2 2 2 4" xfId="30274" xr:uid="{8774FE82-4D27-443F-8718-FAE91B2A24D0}"/>
    <cellStyle name="Normal 8 3 2 2 2 2 2 5" xfId="21827" xr:uid="{B49724E7-2751-4E3D-A647-CD2687D70D74}"/>
    <cellStyle name="Normal 8 3 2 2 2 2 2 6" xfId="12530" xr:uid="{9C49C753-27B2-465E-B5A0-511DD4C3A1B1}"/>
    <cellStyle name="Normal 8 3 2 2 2 2 3" xfId="5276" xr:uid="{00000000-0005-0000-0000-0000371D0000}"/>
    <cellStyle name="Normal 8 3 2 2 2 2 3 2" xfId="40794" xr:uid="{A1908233-1480-441E-A182-66639FE85AB6}"/>
    <cellStyle name="Normal 8 3 2 2 2 2 3 3" xfId="32347" xr:uid="{BDE05555-7391-4849-A2A4-A099E0FA6269}"/>
    <cellStyle name="Normal 8 3 2 2 2 2 3 4" xfId="23899" xr:uid="{7F27AA1B-5B1F-4ABA-B400-520A5BC10143}"/>
    <cellStyle name="Normal 8 3 2 2 2 2 3 5" xfId="14602" xr:uid="{2A84D79B-EC2F-4BA8-95BB-D4F243153190}"/>
    <cellStyle name="Normal 8 3 2 2 2 2 4" xfId="9572" xr:uid="{83269435-2305-4677-BD8B-8CB801DC108A}"/>
    <cellStyle name="Normal 8 3 2 2 2 2 4 2" xfId="36577" xr:uid="{0CD88B88-62B7-411C-B65D-16BDCC8772D8}"/>
    <cellStyle name="Normal 8 3 2 2 2 2 4 3" xfId="18885" xr:uid="{4C65BA8B-4375-4A28-AAA0-CEF979875902}"/>
    <cellStyle name="Normal 8 3 2 2 2 2 5" xfId="28129" xr:uid="{E3951562-556A-4782-BFA6-CBB3D86A6F54}"/>
    <cellStyle name="Normal 8 3 2 2 2 2 6" xfId="19682" xr:uid="{4E0F2D06-D228-4D81-90F6-B838FCEE533C}"/>
    <cellStyle name="Normal 8 3 2 2 2 2 7" xfId="10385" xr:uid="{DD1BC6F5-2FAA-4294-A84E-49C22364C774}"/>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43352" xr:uid="{61185168-6F76-487F-94DA-744DE771936D}"/>
    <cellStyle name="Normal 8 3 2 2 2 3 2 2 3" xfId="34905" xr:uid="{DB20000D-2796-41C5-B144-3216AB58FEED}"/>
    <cellStyle name="Normal 8 3 2 2 2 3 2 2 4" xfId="26457" xr:uid="{C2FDABEA-B2D8-485C-9351-20A01612A77B}"/>
    <cellStyle name="Normal 8 3 2 2 2 3 2 2 5" xfId="17160" xr:uid="{145C16DE-A1BE-4763-BD09-E931E48FA052}"/>
    <cellStyle name="Normal 8 3 2 2 2 3 2 3" xfId="39135" xr:uid="{FB717C74-0242-4DC4-9EDD-F0DF395E2C62}"/>
    <cellStyle name="Normal 8 3 2 2 2 3 2 4" xfId="30687" xr:uid="{6C3C1A77-D6FB-4B9C-A511-F147B57E9122}"/>
    <cellStyle name="Normal 8 3 2 2 2 3 2 5" xfId="22240" xr:uid="{4036E013-3168-4995-81C2-4D175469FFBD}"/>
    <cellStyle name="Normal 8 3 2 2 2 3 2 6" xfId="12943" xr:uid="{10F7A7DC-AD2D-4B8E-A945-1F3D4924FC91}"/>
    <cellStyle name="Normal 8 3 2 2 2 3 3" xfId="5689" xr:uid="{00000000-0005-0000-0000-00003B1D0000}"/>
    <cellStyle name="Normal 8 3 2 2 2 3 3 2" xfId="41207" xr:uid="{FD4DF640-3F5F-4871-9ECE-F130E318C225}"/>
    <cellStyle name="Normal 8 3 2 2 2 3 3 3" xfId="32760" xr:uid="{B2BE70F6-704D-4BE9-91FD-26B6E78C5448}"/>
    <cellStyle name="Normal 8 3 2 2 2 3 3 4" xfId="24312" xr:uid="{AF250AF7-B7D9-4740-9ECC-CB925BDC3698}"/>
    <cellStyle name="Normal 8 3 2 2 2 3 3 5" xfId="15015" xr:uid="{2F0DEA8E-936C-4D48-88A9-E2CA0AF4AAC1}"/>
    <cellStyle name="Normal 8 3 2 2 2 3 4" xfId="36990" xr:uid="{9C52644E-1723-45E5-B729-0B1B8951A384}"/>
    <cellStyle name="Normal 8 3 2 2 2 3 5" xfId="28542" xr:uid="{75152735-7FEB-41D6-9B9E-9C740B514242}"/>
    <cellStyle name="Normal 8 3 2 2 2 3 6" xfId="20095" xr:uid="{A29E016D-66C0-453A-94C7-234822B3E770}"/>
    <cellStyle name="Normal 8 3 2 2 2 3 7" xfId="10798" xr:uid="{A77AAEBD-EEE8-42BE-845C-4D01D8A0AE97}"/>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43765" xr:uid="{0F414943-8375-4FAD-924C-6B6C9A6EB8DD}"/>
    <cellStyle name="Normal 8 3 2 2 2 4 2 2 3" xfId="35318" xr:uid="{E0C45446-ABDD-416C-B596-EE8338B14883}"/>
    <cellStyle name="Normal 8 3 2 2 2 4 2 2 4" xfId="26870" xr:uid="{7A78E4AB-075C-4B16-93FD-E9BEFEED9F82}"/>
    <cellStyle name="Normal 8 3 2 2 2 4 2 2 5" xfId="17573" xr:uid="{BA47BE4A-DCBD-4CCC-A231-1B669647D785}"/>
    <cellStyle name="Normal 8 3 2 2 2 4 2 3" xfId="39548" xr:uid="{FFC462D5-3066-4957-8953-28C9DF4F5103}"/>
    <cellStyle name="Normal 8 3 2 2 2 4 2 4" xfId="31100" xr:uid="{11F72E88-172B-49D5-ADEC-2AEBCC5D68F8}"/>
    <cellStyle name="Normal 8 3 2 2 2 4 2 5" xfId="22653" xr:uid="{FB1CCC46-975B-4018-AD7B-3066C77747AF}"/>
    <cellStyle name="Normal 8 3 2 2 2 4 2 6" xfId="13356" xr:uid="{7E15DB24-B243-4130-A3B9-A6885BB82CA0}"/>
    <cellStyle name="Normal 8 3 2 2 2 4 3" xfId="6102" xr:uid="{00000000-0005-0000-0000-00003F1D0000}"/>
    <cellStyle name="Normal 8 3 2 2 2 4 3 2" xfId="41620" xr:uid="{EA0E07A7-07D7-446B-8259-D750446427E9}"/>
    <cellStyle name="Normal 8 3 2 2 2 4 3 3" xfId="33173" xr:uid="{B487F041-9E86-4FC6-9714-E380725C796F}"/>
    <cellStyle name="Normal 8 3 2 2 2 4 3 4" xfId="24725" xr:uid="{15DCEA35-5258-49C6-AEEF-1B21BEB94B49}"/>
    <cellStyle name="Normal 8 3 2 2 2 4 3 5" xfId="15428" xr:uid="{BC6FD8EB-26B5-47C4-9598-5060EE2FE03D}"/>
    <cellStyle name="Normal 8 3 2 2 2 4 4" xfId="37403" xr:uid="{55537A5F-249A-4155-93FD-391900F0F160}"/>
    <cellStyle name="Normal 8 3 2 2 2 4 5" xfId="28955" xr:uid="{413A53B6-BD0E-447D-85F5-76B00AF58208}"/>
    <cellStyle name="Normal 8 3 2 2 2 4 6" xfId="20508" xr:uid="{8B5FBBBB-31A6-46C1-A660-03BA1DFB89DA}"/>
    <cellStyle name="Normal 8 3 2 2 2 4 7" xfId="11211" xr:uid="{AE3CD42E-5D77-4229-8484-AEAD23608674}"/>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44178" xr:uid="{6367F019-7A18-4F8C-A818-BF0773376B5E}"/>
    <cellStyle name="Normal 8 3 2 2 2 5 2 2 3" xfId="35731" xr:uid="{2DBD5D87-7E4A-46FB-807F-04D8FC17A2CF}"/>
    <cellStyle name="Normal 8 3 2 2 2 5 2 2 4" xfId="27283" xr:uid="{BC98D65F-9FF8-4320-AC36-BCC65B74AF2A}"/>
    <cellStyle name="Normal 8 3 2 2 2 5 2 2 5" xfId="17986" xr:uid="{F1753C95-4976-46AE-AE93-3FC565D6439F}"/>
    <cellStyle name="Normal 8 3 2 2 2 5 2 3" xfId="39961" xr:uid="{FE840928-7FCF-4A65-9F11-2E63A5B18F94}"/>
    <cellStyle name="Normal 8 3 2 2 2 5 2 4" xfId="31513" xr:uid="{D86D65D0-31BC-4D89-9759-2A2027A7207F}"/>
    <cellStyle name="Normal 8 3 2 2 2 5 2 5" xfId="23066" xr:uid="{E8577F90-5858-4F49-90F7-7E1FAD0ECE72}"/>
    <cellStyle name="Normal 8 3 2 2 2 5 2 6" xfId="13769" xr:uid="{23618308-EC9B-497E-8D73-4A32FCCF464D}"/>
    <cellStyle name="Normal 8 3 2 2 2 5 3" xfId="6515" xr:uid="{00000000-0005-0000-0000-0000431D0000}"/>
    <cellStyle name="Normal 8 3 2 2 2 5 3 2" xfId="42033" xr:uid="{A4FB7329-415A-410C-AABA-D80CD15093A8}"/>
    <cellStyle name="Normal 8 3 2 2 2 5 3 3" xfId="33586" xr:uid="{0B76B537-452E-47DE-9B32-6443C518C552}"/>
    <cellStyle name="Normal 8 3 2 2 2 5 3 4" xfId="25138" xr:uid="{1622EA9A-7751-485C-BB22-E4C8485AA8C4}"/>
    <cellStyle name="Normal 8 3 2 2 2 5 3 5" xfId="15841" xr:uid="{37B58802-FC7B-4129-B72B-45EA4A95F3E6}"/>
    <cellStyle name="Normal 8 3 2 2 2 5 4" xfId="37816" xr:uid="{B8964953-9672-4B93-A077-4783F5E3B4E6}"/>
    <cellStyle name="Normal 8 3 2 2 2 5 5" xfId="29368" xr:uid="{17121C81-FE2C-4F95-8E06-7843ED59D2CC}"/>
    <cellStyle name="Normal 8 3 2 2 2 5 6" xfId="20921" xr:uid="{34F0E13F-E1DD-4EEC-945F-1E394876595A}"/>
    <cellStyle name="Normal 8 3 2 2 2 5 7" xfId="11624" xr:uid="{7BC8F756-0BF5-4FAF-8763-868FCE6E9135}"/>
    <cellStyle name="Normal 8 3 2 2 2 6" xfId="2645" xr:uid="{00000000-0005-0000-0000-0000441D0000}"/>
    <cellStyle name="Normal 8 3 2 2 2 6 2" xfId="6928" xr:uid="{00000000-0005-0000-0000-0000451D0000}"/>
    <cellStyle name="Normal 8 3 2 2 2 6 2 2" xfId="42446" xr:uid="{4143BF8A-F239-4810-B0D9-FA3DA43FAD5C}"/>
    <cellStyle name="Normal 8 3 2 2 2 6 2 3" xfId="33999" xr:uid="{0812275E-D4B5-43C2-A75D-6746342DFCB9}"/>
    <cellStyle name="Normal 8 3 2 2 2 6 2 4" xfId="25551" xr:uid="{C40BC2DA-1A46-4341-97B9-1A1CA104DB99}"/>
    <cellStyle name="Normal 8 3 2 2 2 6 2 5" xfId="16254" xr:uid="{9C19BD18-5362-403A-B7C9-B0DE57E7EF7A}"/>
    <cellStyle name="Normal 8 3 2 2 2 6 3" xfId="38229" xr:uid="{BD8FF1B6-1667-44BF-B1ED-1629DE10AD95}"/>
    <cellStyle name="Normal 8 3 2 2 2 6 4" xfId="29781" xr:uid="{47D4B0C6-33B0-4B5F-A6B1-2E59A8B200A0}"/>
    <cellStyle name="Normal 8 3 2 2 2 6 5" xfId="21334" xr:uid="{9873CEFC-3D82-4F05-BA14-7A923D56062E}"/>
    <cellStyle name="Normal 8 3 2 2 2 6 6" xfId="12037" xr:uid="{2C8CA4EA-22A3-4B2A-B5E4-5443FB59279D}"/>
    <cellStyle name="Normal 8 3 2 2 2 7" xfId="4863" xr:uid="{00000000-0005-0000-0000-0000461D0000}"/>
    <cellStyle name="Normal 8 3 2 2 2 7 2" xfId="40381" xr:uid="{AB93A52D-0972-4C16-BA38-8BAD9059F167}"/>
    <cellStyle name="Normal 8 3 2 2 2 7 3" xfId="31934" xr:uid="{2CA832E0-BC13-4047-ABB2-2E8B913639E6}"/>
    <cellStyle name="Normal 8 3 2 2 2 7 4" xfId="23486" xr:uid="{A32D1AE3-F730-40E9-A5EA-994CD167AD5C}"/>
    <cellStyle name="Normal 8 3 2 2 2 7 5" xfId="14189" xr:uid="{8ECB4E0F-1600-464E-8BE9-12E3612ABD56}"/>
    <cellStyle name="Normal 8 3 2 2 2 8" xfId="9147" xr:uid="{16780743-13F5-44BF-919B-157B86988913}"/>
    <cellStyle name="Normal 8 3 2 2 2 8 2" xfId="36164" xr:uid="{0D88D4C0-2E7E-4CB7-BE48-D6EF411ED02D}"/>
    <cellStyle name="Normal 8 3 2 2 2 8 3" xfId="18470" xr:uid="{E12D08CC-0529-48BB-BF90-349A0A7F561F}"/>
    <cellStyle name="Normal 8 3 2 2 2 9" xfId="27716" xr:uid="{E471530C-F64E-411A-89FC-50387FB393AB}"/>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42938" xr:uid="{AA924185-5417-4F65-9EF1-370228A2B3C5}"/>
    <cellStyle name="Normal 8 3 2 2 3 2 2 3" xfId="34491" xr:uid="{22412CA7-9006-48B6-9925-3017399D5738}"/>
    <cellStyle name="Normal 8 3 2 2 3 2 2 4" xfId="26043" xr:uid="{33E28912-AC50-4193-AA14-4CBE0A9627C6}"/>
    <cellStyle name="Normal 8 3 2 2 3 2 2 5" xfId="16746" xr:uid="{2207AA98-6117-4144-AE40-2FF23501E7AF}"/>
    <cellStyle name="Normal 8 3 2 2 3 2 3" xfId="38721" xr:uid="{57B1A65C-E841-4571-9FDF-16AF9AB5AC5B}"/>
    <cellStyle name="Normal 8 3 2 2 3 2 4" xfId="30273" xr:uid="{37E11CAC-D104-4A9C-B00D-B4C40303762C}"/>
    <cellStyle name="Normal 8 3 2 2 3 2 5" xfId="21826" xr:uid="{F75A48CD-C3F3-474E-B56E-1848A1AA0140}"/>
    <cellStyle name="Normal 8 3 2 2 3 2 6" xfId="12529" xr:uid="{DBDD9BA7-D976-4780-8F7B-6739D7B112E2}"/>
    <cellStyle name="Normal 8 3 2 2 3 3" xfId="5275" xr:uid="{00000000-0005-0000-0000-00004A1D0000}"/>
    <cellStyle name="Normal 8 3 2 2 3 3 2" xfId="40793" xr:uid="{D711B436-6CB5-43BE-A06C-DCF3F8DE0C4F}"/>
    <cellStyle name="Normal 8 3 2 2 3 3 3" xfId="32346" xr:uid="{059CE86F-0A5E-46CC-B2CF-C6DE8E26656B}"/>
    <cellStyle name="Normal 8 3 2 2 3 3 4" xfId="23898" xr:uid="{518300C8-9472-4EB2-987A-EC63D7530F6B}"/>
    <cellStyle name="Normal 8 3 2 2 3 3 5" xfId="14601" xr:uid="{7C0EDAC8-1224-442C-90D4-F0C29510BBAE}"/>
    <cellStyle name="Normal 8 3 2 2 3 4" xfId="9365" xr:uid="{47FF7C14-7484-41B9-856F-11398F7B2C7C}"/>
    <cellStyle name="Normal 8 3 2 2 3 4 2" xfId="36576" xr:uid="{E746BD4C-922B-4E11-B38A-BD90308EF338}"/>
    <cellStyle name="Normal 8 3 2 2 3 4 3" xfId="18678" xr:uid="{98E140E9-211B-413F-87A0-9B5A660CCBAD}"/>
    <cellStyle name="Normal 8 3 2 2 3 5" xfId="28128" xr:uid="{4BAC05DA-A425-45F3-98FD-4B8AB52F69E1}"/>
    <cellStyle name="Normal 8 3 2 2 3 6" xfId="19681" xr:uid="{FAB34E38-83E2-4E68-954B-583963BE4FF0}"/>
    <cellStyle name="Normal 8 3 2 2 3 7" xfId="10384" xr:uid="{A990C902-CCB7-4AA5-BC85-8A8DD6CDD9D1}"/>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43351" xr:uid="{55D4C454-5550-4B56-87D5-185CFE79FFC1}"/>
    <cellStyle name="Normal 8 3 2 2 4 2 2 3" xfId="34904" xr:uid="{082680A8-8965-4187-988E-F783232629BB}"/>
    <cellStyle name="Normal 8 3 2 2 4 2 2 4" xfId="26456" xr:uid="{82B4EE87-1B9A-404C-8728-7A7E2069854F}"/>
    <cellStyle name="Normal 8 3 2 2 4 2 2 5" xfId="17159" xr:uid="{318DBB40-4755-478A-A4BC-22204041E2B0}"/>
    <cellStyle name="Normal 8 3 2 2 4 2 3" xfId="39134" xr:uid="{583FC5BB-6AFC-479B-B4DA-EA7E12FA0F60}"/>
    <cellStyle name="Normal 8 3 2 2 4 2 4" xfId="30686" xr:uid="{98B108F4-01ED-4EA3-B452-1F24332578F2}"/>
    <cellStyle name="Normal 8 3 2 2 4 2 5" xfId="22239" xr:uid="{792673CA-C94F-4AA7-8C01-CAFA213F8814}"/>
    <cellStyle name="Normal 8 3 2 2 4 2 6" xfId="12942" xr:uid="{2221E477-856C-4178-BA1A-9B557AE9D92E}"/>
    <cellStyle name="Normal 8 3 2 2 4 3" xfId="5688" xr:uid="{00000000-0005-0000-0000-00004E1D0000}"/>
    <cellStyle name="Normal 8 3 2 2 4 3 2" xfId="41206" xr:uid="{427A010D-0D62-4F21-9E5A-E4A950E6BF18}"/>
    <cellStyle name="Normal 8 3 2 2 4 3 3" xfId="32759" xr:uid="{1110D1D1-4FF0-4592-ABFA-4268BEF9B8EA}"/>
    <cellStyle name="Normal 8 3 2 2 4 3 4" xfId="24311" xr:uid="{D4FFDEB6-9827-4A89-8DA8-396EB7CFFA7F}"/>
    <cellStyle name="Normal 8 3 2 2 4 3 5" xfId="15014" xr:uid="{128E4CEE-D736-49A8-AC3B-4BD399FBAEFB}"/>
    <cellStyle name="Normal 8 3 2 2 4 4" xfId="36989" xr:uid="{C909B12C-1639-4DE9-93F5-81BBFF838192}"/>
    <cellStyle name="Normal 8 3 2 2 4 5" xfId="28541" xr:uid="{698D787C-44CF-464E-B116-A814860C237A}"/>
    <cellStyle name="Normal 8 3 2 2 4 6" xfId="20094" xr:uid="{37F4CF1F-A5EE-4FF1-8158-8C243425C3FF}"/>
    <cellStyle name="Normal 8 3 2 2 4 7" xfId="10797" xr:uid="{7025754A-50F1-4A94-A57D-88C001095FCA}"/>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43764" xr:uid="{3FE9BB0F-219A-402B-B5A6-DF89B2C9D80B}"/>
    <cellStyle name="Normal 8 3 2 2 5 2 2 3" xfId="35317" xr:uid="{AF261B8F-36A9-4985-95A9-2EF8E3B8E56C}"/>
    <cellStyle name="Normal 8 3 2 2 5 2 2 4" xfId="26869" xr:uid="{711F35FF-724D-44B7-AC83-C8DAFC382C99}"/>
    <cellStyle name="Normal 8 3 2 2 5 2 2 5" xfId="17572" xr:uid="{CFC36DC3-6AB1-415D-BFD3-A5A8696BE976}"/>
    <cellStyle name="Normal 8 3 2 2 5 2 3" xfId="39547" xr:uid="{1DCD2917-C9F4-4849-AA2E-ACBA344700E2}"/>
    <cellStyle name="Normal 8 3 2 2 5 2 4" xfId="31099" xr:uid="{C7B3AED2-FA05-477E-AC6B-841D6ECFB57B}"/>
    <cellStyle name="Normal 8 3 2 2 5 2 5" xfId="22652" xr:uid="{998E219B-FC8E-435F-841C-23BDEB3CE31A}"/>
    <cellStyle name="Normal 8 3 2 2 5 2 6" xfId="13355" xr:uid="{2B1AFAD0-45B7-4C7C-8B54-4E497E7DB7BC}"/>
    <cellStyle name="Normal 8 3 2 2 5 3" xfId="6101" xr:uid="{00000000-0005-0000-0000-0000521D0000}"/>
    <cellStyle name="Normal 8 3 2 2 5 3 2" xfId="41619" xr:uid="{7080A234-FE1F-4590-811D-18CB1D39AA06}"/>
    <cellStyle name="Normal 8 3 2 2 5 3 3" xfId="33172" xr:uid="{C5D3A79B-4FA3-4390-BD42-AFE7D98C1283}"/>
    <cellStyle name="Normal 8 3 2 2 5 3 4" xfId="24724" xr:uid="{9B98B7CC-3426-493B-B120-916664F9E248}"/>
    <cellStyle name="Normal 8 3 2 2 5 3 5" xfId="15427" xr:uid="{CFB77837-3710-46E1-B671-A333596BD69C}"/>
    <cellStyle name="Normal 8 3 2 2 5 4" xfId="37402" xr:uid="{5C8A9FA0-D353-4FBD-A72C-9370BD970E29}"/>
    <cellStyle name="Normal 8 3 2 2 5 5" xfId="28954" xr:uid="{8F6E6A4E-DA20-43B5-B329-020A7295CFDA}"/>
    <cellStyle name="Normal 8 3 2 2 5 6" xfId="20507" xr:uid="{5E947C1A-0677-44BF-B730-5A5E009A7B1C}"/>
    <cellStyle name="Normal 8 3 2 2 5 7" xfId="11210" xr:uid="{191C7A61-7805-4263-B77A-CCA376B3C9AC}"/>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44177" xr:uid="{C2C8E1AC-A52F-4687-974E-8874649C436C}"/>
    <cellStyle name="Normal 8 3 2 2 6 2 2 3" xfId="35730" xr:uid="{4E8351CB-CD40-4712-BA52-133B1DE30365}"/>
    <cellStyle name="Normal 8 3 2 2 6 2 2 4" xfId="27282" xr:uid="{1EA57EE7-F325-4AE9-9604-FD7663A004B2}"/>
    <cellStyle name="Normal 8 3 2 2 6 2 2 5" xfId="17985" xr:uid="{F04802D1-0108-4E1C-ABAF-AFA282A2976E}"/>
    <cellStyle name="Normal 8 3 2 2 6 2 3" xfId="39960" xr:uid="{74C41F21-AF6C-4207-92BA-936E52F06102}"/>
    <cellStyle name="Normal 8 3 2 2 6 2 4" xfId="31512" xr:uid="{746AB420-5F50-4BDC-B916-6931577BF3D5}"/>
    <cellStyle name="Normal 8 3 2 2 6 2 5" xfId="23065" xr:uid="{CE5CA6E6-CEDF-4145-9FDE-A7FDF6532F05}"/>
    <cellStyle name="Normal 8 3 2 2 6 2 6" xfId="13768" xr:uid="{74FDCCFD-512F-42F2-955C-C52341C7B798}"/>
    <cellStyle name="Normal 8 3 2 2 6 3" xfId="6514" xr:uid="{00000000-0005-0000-0000-0000561D0000}"/>
    <cellStyle name="Normal 8 3 2 2 6 3 2" xfId="42032" xr:uid="{C13B5F18-3E9E-43B6-BE93-B203EDB0EAA8}"/>
    <cellStyle name="Normal 8 3 2 2 6 3 3" xfId="33585" xr:uid="{DA7457C6-B2B5-4EAC-B2FD-EB43FBEB5BB9}"/>
    <cellStyle name="Normal 8 3 2 2 6 3 4" xfId="25137" xr:uid="{1F5A2590-E3AA-4147-8F91-D563095111C4}"/>
    <cellStyle name="Normal 8 3 2 2 6 3 5" xfId="15840" xr:uid="{CD3E73AB-DBB7-445D-AFE9-4EB6F2D2564E}"/>
    <cellStyle name="Normal 8 3 2 2 6 4" xfId="37815" xr:uid="{2AD02B7F-A169-4542-A0AB-CC89A1AB6C0D}"/>
    <cellStyle name="Normal 8 3 2 2 6 5" xfId="29367" xr:uid="{49788CA7-2C43-4411-B9B8-AC0FC374F76C}"/>
    <cellStyle name="Normal 8 3 2 2 6 6" xfId="20920" xr:uid="{0F16F42B-98D5-49B9-A6EA-81E499D69A73}"/>
    <cellStyle name="Normal 8 3 2 2 6 7" xfId="11623" xr:uid="{51773363-67C1-4AF5-8F0E-8BFAE51A33EE}"/>
    <cellStyle name="Normal 8 3 2 2 7" xfId="2644" xr:uid="{00000000-0005-0000-0000-0000571D0000}"/>
    <cellStyle name="Normal 8 3 2 2 7 2" xfId="6927" xr:uid="{00000000-0005-0000-0000-0000581D0000}"/>
    <cellStyle name="Normal 8 3 2 2 7 2 2" xfId="42445" xr:uid="{44BC99E0-1537-4BF3-89E1-6BB01A8DDE22}"/>
    <cellStyle name="Normal 8 3 2 2 7 2 3" xfId="33998" xr:uid="{1A0071BF-F5D5-4015-AC89-345A95CE9A46}"/>
    <cellStyle name="Normal 8 3 2 2 7 2 4" xfId="25550" xr:uid="{546F70FE-B4DB-4D40-A984-1B5214063413}"/>
    <cellStyle name="Normal 8 3 2 2 7 2 5" xfId="16253" xr:uid="{1CD67137-EDC2-4430-97A0-1946D68BF33A}"/>
    <cellStyle name="Normal 8 3 2 2 7 3" xfId="38228" xr:uid="{6C4CE62D-F757-4741-9D75-300CEFCD6839}"/>
    <cellStyle name="Normal 8 3 2 2 7 4" xfId="29780" xr:uid="{D7135610-F217-4FE1-8B01-5C7CA0E54CDD}"/>
    <cellStyle name="Normal 8 3 2 2 7 5" xfId="21333" xr:uid="{A9644C71-5172-4A05-9FA9-CE51AF44E073}"/>
    <cellStyle name="Normal 8 3 2 2 7 6" xfId="12036" xr:uid="{76F3F718-183E-4E62-9FFC-32D3F7A25B40}"/>
    <cellStyle name="Normal 8 3 2 2 8" xfId="4862" xr:uid="{00000000-0005-0000-0000-0000591D0000}"/>
    <cellStyle name="Normal 8 3 2 2 8 2" xfId="40380" xr:uid="{6C55D02E-2F5C-4C47-8A05-FF8D726936AA}"/>
    <cellStyle name="Normal 8 3 2 2 8 3" xfId="31933" xr:uid="{A09EF8A9-6B57-4C91-A969-B937B4340019}"/>
    <cellStyle name="Normal 8 3 2 2 8 4" xfId="23485" xr:uid="{EC0BA6C7-6E00-44A5-B2CB-29DB0D634225}"/>
    <cellStyle name="Normal 8 3 2 2 8 5" xfId="14188" xr:uid="{1DD8598A-8E8F-4F4A-A754-1BD80438A3BB}"/>
    <cellStyle name="Normal 8 3 2 2 9" xfId="8940" xr:uid="{63944EF0-E10A-4406-A758-3BD135650136}"/>
    <cellStyle name="Normal 8 3 2 2 9 2" xfId="36163" xr:uid="{F76E758D-67F3-424F-9A8E-CDC334AA03B4}"/>
    <cellStyle name="Normal 8 3 2 2 9 3" xfId="18263" xr:uid="{2128ABF1-195F-4324-8607-B7A6CEB01149}"/>
    <cellStyle name="Normal 8 3 2 3" xfId="499" xr:uid="{00000000-0005-0000-0000-00005A1D0000}"/>
    <cellStyle name="Normal 8 3 2 3 10" xfId="19270" xr:uid="{C27FD96A-A008-47A2-8700-12BC457BCC01}"/>
    <cellStyle name="Normal 8 3 2 3 11" xfId="9973" xr:uid="{04237341-EE4C-467D-92B5-3667FF0E6247}"/>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42940" xr:uid="{B1083F4B-2D8D-46CA-A8AF-F240BF4EA1CF}"/>
    <cellStyle name="Normal 8 3 2 3 2 2 2 3" xfId="34493" xr:uid="{2C968AD4-04DD-4B58-B4A6-853D70E4BD6C}"/>
    <cellStyle name="Normal 8 3 2 3 2 2 2 4" xfId="26045" xr:uid="{DD416E4D-C059-447D-8C70-3FEB882734F3}"/>
    <cellStyle name="Normal 8 3 2 3 2 2 2 5" xfId="16748" xr:uid="{6B565196-35E9-46F4-AB7D-7DA717EF3708}"/>
    <cellStyle name="Normal 8 3 2 3 2 2 3" xfId="38723" xr:uid="{A3E7C5D3-065F-4796-979E-E8B82ABDC355}"/>
    <cellStyle name="Normal 8 3 2 3 2 2 4" xfId="30275" xr:uid="{E90FD2F2-CAB2-45E3-AB50-68D226B33327}"/>
    <cellStyle name="Normal 8 3 2 3 2 2 5" xfId="21828" xr:uid="{D0B75939-9F9E-4412-9B45-6CB830137331}"/>
    <cellStyle name="Normal 8 3 2 3 2 2 6" xfId="12531" xr:uid="{9475908B-B7AD-4E32-B380-E8053D611C82}"/>
    <cellStyle name="Normal 8 3 2 3 2 3" xfId="5277" xr:uid="{00000000-0005-0000-0000-00005E1D0000}"/>
    <cellStyle name="Normal 8 3 2 3 2 3 2" xfId="40795" xr:uid="{23DFFB20-824E-4857-8C98-22274D7EE162}"/>
    <cellStyle name="Normal 8 3 2 3 2 3 3" xfId="32348" xr:uid="{21F0CE44-F5EB-40D6-8FFA-B95570CA72F6}"/>
    <cellStyle name="Normal 8 3 2 3 2 3 4" xfId="23900" xr:uid="{0C68BFE5-CB8E-4FB4-B196-BE7509534780}"/>
    <cellStyle name="Normal 8 3 2 3 2 3 5" xfId="14603" xr:uid="{1C6042DC-F72A-496E-AFD3-6FD1B693957B}"/>
    <cellStyle name="Normal 8 3 2 3 2 4" xfId="9469" xr:uid="{7CA6C380-A6E9-4AF4-A29A-E40C8E9B5B5F}"/>
    <cellStyle name="Normal 8 3 2 3 2 4 2" xfId="36578" xr:uid="{9640495D-6ED8-4F97-9C6E-F01FC07D3F35}"/>
    <cellStyle name="Normal 8 3 2 3 2 4 3" xfId="18782" xr:uid="{FE236025-3CD0-46E3-8ABC-D2AF1F3B61E0}"/>
    <cellStyle name="Normal 8 3 2 3 2 5" xfId="28130" xr:uid="{A92F513A-AD6D-4559-A4E6-F03C20ACE862}"/>
    <cellStyle name="Normal 8 3 2 3 2 6" xfId="19683" xr:uid="{74388E4D-B94C-4043-A743-E84E0FECEB14}"/>
    <cellStyle name="Normal 8 3 2 3 2 7" xfId="10386" xr:uid="{AC79CE86-C20C-40CC-9AEA-1B236B28BEA3}"/>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43353" xr:uid="{3BE4CC1B-21E3-4E90-8150-FC919F660C6F}"/>
    <cellStyle name="Normal 8 3 2 3 3 2 2 3" xfId="34906" xr:uid="{02836096-3ADE-4685-A062-6491EF9DFF11}"/>
    <cellStyle name="Normal 8 3 2 3 3 2 2 4" xfId="26458" xr:uid="{EAD61BFD-8FB1-4E58-A566-D815484894D1}"/>
    <cellStyle name="Normal 8 3 2 3 3 2 2 5" xfId="17161" xr:uid="{D2F51D1A-F1EE-4637-993F-9CB00543C824}"/>
    <cellStyle name="Normal 8 3 2 3 3 2 3" xfId="39136" xr:uid="{DFEA65F3-A0A2-4DC1-8B4B-B77F7C3E5CDF}"/>
    <cellStyle name="Normal 8 3 2 3 3 2 4" xfId="30688" xr:uid="{2690EF67-8DBB-4282-BF65-6789B600CFC9}"/>
    <cellStyle name="Normal 8 3 2 3 3 2 5" xfId="22241" xr:uid="{7B5E8B05-5BCD-4600-B56A-A05A2700CB07}"/>
    <cellStyle name="Normal 8 3 2 3 3 2 6" xfId="12944" xr:uid="{D2607824-0397-4F69-A9B2-455F35F51F4E}"/>
    <cellStyle name="Normal 8 3 2 3 3 3" xfId="5690" xr:uid="{00000000-0005-0000-0000-0000621D0000}"/>
    <cellStyle name="Normal 8 3 2 3 3 3 2" xfId="41208" xr:uid="{17EBE678-F452-4CCA-939C-8C02BC0BBA96}"/>
    <cellStyle name="Normal 8 3 2 3 3 3 3" xfId="32761" xr:uid="{9BC03EAD-3DD6-4D07-8263-188B8132EE20}"/>
    <cellStyle name="Normal 8 3 2 3 3 3 4" xfId="24313" xr:uid="{0D828505-D0DF-4015-AD0C-3587D67A8431}"/>
    <cellStyle name="Normal 8 3 2 3 3 3 5" xfId="15016" xr:uid="{9305A0F3-6193-4514-9F1D-33435191AA4B}"/>
    <cellStyle name="Normal 8 3 2 3 3 4" xfId="36991" xr:uid="{C8C2DD9E-A7FB-4581-90B6-99D0B0C71743}"/>
    <cellStyle name="Normal 8 3 2 3 3 5" xfId="28543" xr:uid="{5F351819-854E-4232-861F-69271E82DFC3}"/>
    <cellStyle name="Normal 8 3 2 3 3 6" xfId="20096" xr:uid="{C7B97523-D395-43C2-81A6-13CC7B1509ED}"/>
    <cellStyle name="Normal 8 3 2 3 3 7" xfId="10799" xr:uid="{AC074B7B-F54D-4AAE-B288-4821CD386C53}"/>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43766" xr:uid="{462A6593-EC08-418A-BEA4-BE65ADC2AE2A}"/>
    <cellStyle name="Normal 8 3 2 3 4 2 2 3" xfId="35319" xr:uid="{E0067F56-65FE-429B-8AD2-024B3F15EB13}"/>
    <cellStyle name="Normal 8 3 2 3 4 2 2 4" xfId="26871" xr:uid="{D11F7CB5-F0FF-423F-A642-EDBDF6882A3F}"/>
    <cellStyle name="Normal 8 3 2 3 4 2 2 5" xfId="17574" xr:uid="{D331FC1B-487F-429D-BB82-EC8462F1C6F3}"/>
    <cellStyle name="Normal 8 3 2 3 4 2 3" xfId="39549" xr:uid="{A778C4D3-C133-4B19-9C27-4946091023F9}"/>
    <cellStyle name="Normal 8 3 2 3 4 2 4" xfId="31101" xr:uid="{3D462AD2-EA3A-429B-B1CA-E6D742B8D2D4}"/>
    <cellStyle name="Normal 8 3 2 3 4 2 5" xfId="22654" xr:uid="{C2639338-0559-4C91-9848-755DF7700229}"/>
    <cellStyle name="Normal 8 3 2 3 4 2 6" xfId="13357" xr:uid="{EDD40F1B-8762-4708-BDC7-AD39E49A6FE0}"/>
    <cellStyle name="Normal 8 3 2 3 4 3" xfId="6103" xr:uid="{00000000-0005-0000-0000-0000661D0000}"/>
    <cellStyle name="Normal 8 3 2 3 4 3 2" xfId="41621" xr:uid="{3E15A4A1-B223-48DD-BB13-E46BD357F8C1}"/>
    <cellStyle name="Normal 8 3 2 3 4 3 3" xfId="33174" xr:uid="{6D00C539-4554-4FA8-84A0-AE15E0784B8F}"/>
    <cellStyle name="Normal 8 3 2 3 4 3 4" xfId="24726" xr:uid="{FDDC52F7-DE7A-424C-8FD6-50F7B139AB65}"/>
    <cellStyle name="Normal 8 3 2 3 4 3 5" xfId="15429" xr:uid="{A00B5869-3036-4F2E-8248-71787A6B8BF5}"/>
    <cellStyle name="Normal 8 3 2 3 4 4" xfId="37404" xr:uid="{EDAD8AB3-A37F-48B1-A409-CE3BA0C08C3D}"/>
    <cellStyle name="Normal 8 3 2 3 4 5" xfId="28956" xr:uid="{B35BDA0E-77D5-41F6-8934-53D2256F9C0A}"/>
    <cellStyle name="Normal 8 3 2 3 4 6" xfId="20509" xr:uid="{75B2B1E3-C024-4C2B-94F8-06F01600938C}"/>
    <cellStyle name="Normal 8 3 2 3 4 7" xfId="11212" xr:uid="{46DFCB52-3615-49AD-9950-4B1D01003248}"/>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44179" xr:uid="{F6D8972E-6919-4A5C-82E5-00BBA8C9EC96}"/>
    <cellStyle name="Normal 8 3 2 3 5 2 2 3" xfId="35732" xr:uid="{9468D59C-CD13-4E0C-B9E1-72E01CBC1C04}"/>
    <cellStyle name="Normal 8 3 2 3 5 2 2 4" xfId="27284" xr:uid="{A9B16D5F-8D96-40E2-BB41-99143CDD8631}"/>
    <cellStyle name="Normal 8 3 2 3 5 2 2 5" xfId="17987" xr:uid="{386D6A38-0F0C-4C8D-BE8C-51A4A20ABCA3}"/>
    <cellStyle name="Normal 8 3 2 3 5 2 3" xfId="39962" xr:uid="{AB34CEF8-2190-4B22-8DD4-D6F5D7F8AF1A}"/>
    <cellStyle name="Normal 8 3 2 3 5 2 4" xfId="31514" xr:uid="{CE7F531E-D6E3-49BB-953B-568B3D189669}"/>
    <cellStyle name="Normal 8 3 2 3 5 2 5" xfId="23067" xr:uid="{9826B482-8E14-4D85-B666-60FAED784F26}"/>
    <cellStyle name="Normal 8 3 2 3 5 2 6" xfId="13770" xr:uid="{95F83052-2116-4AD3-B127-918BADCE7B4C}"/>
    <cellStyle name="Normal 8 3 2 3 5 3" xfId="6516" xr:uid="{00000000-0005-0000-0000-00006A1D0000}"/>
    <cellStyle name="Normal 8 3 2 3 5 3 2" xfId="42034" xr:uid="{9E0F574E-13ED-45C2-AD0C-83FFF6C5F394}"/>
    <cellStyle name="Normal 8 3 2 3 5 3 3" xfId="33587" xr:uid="{77E83EAD-9A6A-4D79-AFB0-6AC056D189E4}"/>
    <cellStyle name="Normal 8 3 2 3 5 3 4" xfId="25139" xr:uid="{C0BDEDCB-0D79-49A8-88F2-C1C7B7F3A8D9}"/>
    <cellStyle name="Normal 8 3 2 3 5 3 5" xfId="15842" xr:uid="{6B19A4DB-7B65-4CCC-88EE-27A8AD6986F0}"/>
    <cellStyle name="Normal 8 3 2 3 5 4" xfId="37817" xr:uid="{D0EA7223-4A92-444D-BC50-60ED44B0EA95}"/>
    <cellStyle name="Normal 8 3 2 3 5 5" xfId="29369" xr:uid="{1CA950FA-7891-4458-99A2-225689A793B0}"/>
    <cellStyle name="Normal 8 3 2 3 5 6" xfId="20922" xr:uid="{2E0F82F1-FB8A-4D19-A63B-4558B23D4C92}"/>
    <cellStyle name="Normal 8 3 2 3 5 7" xfId="11625" xr:uid="{22C35EBC-39A5-48ED-B3E4-3D2F34BF416D}"/>
    <cellStyle name="Normal 8 3 2 3 6" xfId="2646" xr:uid="{00000000-0005-0000-0000-00006B1D0000}"/>
    <cellStyle name="Normal 8 3 2 3 6 2" xfId="6929" xr:uid="{00000000-0005-0000-0000-00006C1D0000}"/>
    <cellStyle name="Normal 8 3 2 3 6 2 2" xfId="42447" xr:uid="{F06CD980-98C8-4FA3-9192-D89B5310A24C}"/>
    <cellStyle name="Normal 8 3 2 3 6 2 3" xfId="34000" xr:uid="{382E5DD8-77C5-4285-9D7D-B383681A498B}"/>
    <cellStyle name="Normal 8 3 2 3 6 2 4" xfId="25552" xr:uid="{D1FE947E-76DC-4500-A9EB-866E56F5BE05}"/>
    <cellStyle name="Normal 8 3 2 3 6 2 5" xfId="16255" xr:uid="{5C07E832-E506-4C37-86FC-125B71B0124C}"/>
    <cellStyle name="Normal 8 3 2 3 6 3" xfId="38230" xr:uid="{CFC38E86-2B7D-4FA9-8D74-C397AA74FE39}"/>
    <cellStyle name="Normal 8 3 2 3 6 4" xfId="29782" xr:uid="{7366F135-D4DF-4311-8DAE-BF430E609A36}"/>
    <cellStyle name="Normal 8 3 2 3 6 5" xfId="21335" xr:uid="{DA7D006C-70A5-4F1A-A799-60FE1DBA9729}"/>
    <cellStyle name="Normal 8 3 2 3 6 6" xfId="12038" xr:uid="{588F0BF2-A815-4D1F-A39F-B947641EC7E5}"/>
    <cellStyle name="Normal 8 3 2 3 7" xfId="4864" xr:uid="{00000000-0005-0000-0000-00006D1D0000}"/>
    <cellStyle name="Normal 8 3 2 3 7 2" xfId="40382" xr:uid="{F9B9CF44-9C6E-4CC8-9757-E3D21B0B0140}"/>
    <cellStyle name="Normal 8 3 2 3 7 3" xfId="31935" xr:uid="{307EAA13-2D3D-46A6-8C2A-CD01445012B7}"/>
    <cellStyle name="Normal 8 3 2 3 7 4" xfId="23487" xr:uid="{39047E9B-BDAA-45F9-AD3E-FCEB1B958517}"/>
    <cellStyle name="Normal 8 3 2 3 7 5" xfId="14190" xr:uid="{AD6D435C-5960-4095-8D6D-9C90E4F32A76}"/>
    <cellStyle name="Normal 8 3 2 3 8" xfId="9044" xr:uid="{5ED49706-9CA9-4EE9-B01D-112CD1DB587C}"/>
    <cellStyle name="Normal 8 3 2 3 8 2" xfId="36165" xr:uid="{538245F4-04B5-4C20-8B8C-241338BF4A6F}"/>
    <cellStyle name="Normal 8 3 2 3 8 3" xfId="18367" xr:uid="{781F828D-E764-42CA-8746-2D5E79DEF66F}"/>
    <cellStyle name="Normal 8 3 2 3 9" xfId="27717" xr:uid="{30B8DF0A-9188-444E-A936-17D1A0E77280}"/>
    <cellStyle name="Normal 8 3 2 4" xfId="963" xr:uid="{00000000-0005-0000-0000-00006E1D0000}"/>
    <cellStyle name="Normal 8 3 2 4 2" xfId="3197" xr:uid="{00000000-0005-0000-0000-00006F1D0000}"/>
    <cellStyle name="Normal 8 3 2 4 2 2" xfId="7419" xr:uid="{00000000-0005-0000-0000-0000701D0000}"/>
    <cellStyle name="Normal 8 3 2 4 2 2 2" xfId="42937" xr:uid="{BB7B3F5F-5CFF-4852-BBB9-97271B86CE9D}"/>
    <cellStyle name="Normal 8 3 2 4 2 2 3" xfId="34490" xr:uid="{BC606D58-4C4B-42C7-A6A9-628BB3823DF3}"/>
    <cellStyle name="Normal 8 3 2 4 2 2 4" xfId="26042" xr:uid="{B832E5F2-F8AD-4140-AAB4-3FF072048830}"/>
    <cellStyle name="Normal 8 3 2 4 2 2 5" xfId="16745" xr:uid="{560BBD9F-A03B-4658-BE1E-6A1B481C40A5}"/>
    <cellStyle name="Normal 8 3 2 4 2 3" xfId="38720" xr:uid="{E509A992-4445-4629-86F8-57F8AA11B7E5}"/>
    <cellStyle name="Normal 8 3 2 4 2 4" xfId="30272" xr:uid="{D25B1C40-16E8-4705-B688-FAB352BD6777}"/>
    <cellStyle name="Normal 8 3 2 4 2 5" xfId="21825" xr:uid="{5FC12D80-232F-4BFA-9D38-6D9CE908C174}"/>
    <cellStyle name="Normal 8 3 2 4 2 6" xfId="12528" xr:uid="{966FD9B6-11E2-4B7A-9970-C2ABCAB73D51}"/>
    <cellStyle name="Normal 8 3 2 4 3" xfId="5274" xr:uid="{00000000-0005-0000-0000-0000711D0000}"/>
    <cellStyle name="Normal 8 3 2 4 3 2" xfId="40792" xr:uid="{A7333DBB-ED92-482D-A57F-E88AC0A7E095}"/>
    <cellStyle name="Normal 8 3 2 4 3 3" xfId="32345" xr:uid="{406C25E4-F1FD-4730-A5B7-540728202034}"/>
    <cellStyle name="Normal 8 3 2 4 3 4" xfId="23897" xr:uid="{8461F294-1D33-48E6-AE3E-DA24965CEAD8}"/>
    <cellStyle name="Normal 8 3 2 4 3 5" xfId="14600" xr:uid="{0E710E63-9771-4184-8E68-6D2E1034E6FB}"/>
    <cellStyle name="Normal 8 3 2 4 4" xfId="9262" xr:uid="{8842595C-CD28-4B10-9BE6-37883B4C2AA9}"/>
    <cellStyle name="Normal 8 3 2 4 4 2" xfId="36575" xr:uid="{A11D1CCD-6E8A-4E52-AA18-751F55968D90}"/>
    <cellStyle name="Normal 8 3 2 4 4 3" xfId="18575" xr:uid="{2080FB38-26B8-4361-A195-349A294D725F}"/>
    <cellStyle name="Normal 8 3 2 4 5" xfId="28127" xr:uid="{B23AFFED-620E-4D4D-872D-06C70EAE5E08}"/>
    <cellStyle name="Normal 8 3 2 4 6" xfId="19680" xr:uid="{CA913FCD-7EC4-4682-A0E9-1BE3A41C2AF4}"/>
    <cellStyle name="Normal 8 3 2 4 7" xfId="10383" xr:uid="{A642AB90-CCBE-476D-94A9-0EC9606BEF5C}"/>
    <cellStyle name="Normal 8 3 2 5" xfId="1380" xr:uid="{00000000-0005-0000-0000-0000721D0000}"/>
    <cellStyle name="Normal 8 3 2 5 2" xfId="3610" xr:uid="{00000000-0005-0000-0000-0000731D0000}"/>
    <cellStyle name="Normal 8 3 2 5 2 2" xfId="7832" xr:uid="{00000000-0005-0000-0000-0000741D0000}"/>
    <cellStyle name="Normal 8 3 2 5 2 2 2" xfId="43350" xr:uid="{D9002ED8-9F0F-4874-B279-E81B90D6B3FD}"/>
    <cellStyle name="Normal 8 3 2 5 2 2 3" xfId="34903" xr:uid="{76C3F7BB-2DE3-4130-A36B-9BBE3D87B4DD}"/>
    <cellStyle name="Normal 8 3 2 5 2 2 4" xfId="26455" xr:uid="{2723524C-DC4B-4C10-B3FE-892D88BBE1C0}"/>
    <cellStyle name="Normal 8 3 2 5 2 2 5" xfId="17158" xr:uid="{E63E25E1-2B74-41C3-8860-6F660D5F3952}"/>
    <cellStyle name="Normal 8 3 2 5 2 3" xfId="39133" xr:uid="{062B9EE3-961C-4228-8881-D71BA0DBBE8F}"/>
    <cellStyle name="Normal 8 3 2 5 2 4" xfId="30685" xr:uid="{C185765E-EFAD-4862-9064-954D36EC70CB}"/>
    <cellStyle name="Normal 8 3 2 5 2 5" xfId="22238" xr:uid="{83054C7B-17C8-4463-8DFE-6C05F76398F1}"/>
    <cellStyle name="Normal 8 3 2 5 2 6" xfId="12941" xr:uid="{F9F9B139-82A3-4C39-AAEF-32F0952284B9}"/>
    <cellStyle name="Normal 8 3 2 5 3" xfId="5687" xr:uid="{00000000-0005-0000-0000-0000751D0000}"/>
    <cellStyle name="Normal 8 3 2 5 3 2" xfId="41205" xr:uid="{677E2638-C46F-49FA-BA70-4C6848E34160}"/>
    <cellStyle name="Normal 8 3 2 5 3 3" xfId="32758" xr:uid="{AF39B349-F6C4-43AD-821D-2AD2BA40995D}"/>
    <cellStyle name="Normal 8 3 2 5 3 4" xfId="24310" xr:uid="{5C4B4B53-ED9C-4CF2-B084-088D172CA51C}"/>
    <cellStyle name="Normal 8 3 2 5 3 5" xfId="15013" xr:uid="{14F26943-B1BF-4CC2-8FE1-753DA8876F7A}"/>
    <cellStyle name="Normal 8 3 2 5 4" xfId="36988" xr:uid="{633D1B96-9602-441D-AF1C-7B645E79CE81}"/>
    <cellStyle name="Normal 8 3 2 5 5" xfId="28540" xr:uid="{4C86395C-52B6-4DE7-9648-FD99C1B40C87}"/>
    <cellStyle name="Normal 8 3 2 5 6" xfId="20093" xr:uid="{91591648-43E9-4DD0-ACAD-97BEC2571F2A}"/>
    <cellStyle name="Normal 8 3 2 5 7" xfId="10796" xr:uid="{FA418AF8-4D4A-4BBB-B975-C20C82EA9CD2}"/>
    <cellStyle name="Normal 8 3 2 6" xfId="1793" xr:uid="{00000000-0005-0000-0000-0000761D0000}"/>
    <cellStyle name="Normal 8 3 2 6 2" xfId="4023" xr:uid="{00000000-0005-0000-0000-0000771D0000}"/>
    <cellStyle name="Normal 8 3 2 6 2 2" xfId="8245" xr:uid="{00000000-0005-0000-0000-0000781D0000}"/>
    <cellStyle name="Normal 8 3 2 6 2 2 2" xfId="43763" xr:uid="{5F764820-5CEA-41B6-A710-2AF980C3E890}"/>
    <cellStyle name="Normal 8 3 2 6 2 2 3" xfId="35316" xr:uid="{9E6CD922-5A3C-4CAB-B2CF-8DAEFAB48931}"/>
    <cellStyle name="Normal 8 3 2 6 2 2 4" xfId="26868" xr:uid="{6B4B1847-02BC-457F-B090-EBE26E46230B}"/>
    <cellStyle name="Normal 8 3 2 6 2 2 5" xfId="17571" xr:uid="{AE53B428-B6E9-42D9-9C43-874E67764FF2}"/>
    <cellStyle name="Normal 8 3 2 6 2 3" xfId="39546" xr:uid="{44701F85-4DC0-413F-888C-30BD43691270}"/>
    <cellStyle name="Normal 8 3 2 6 2 4" xfId="31098" xr:uid="{81B19AB2-1C8A-4A02-B19A-CA19ABE02B8F}"/>
    <cellStyle name="Normal 8 3 2 6 2 5" xfId="22651" xr:uid="{63C6FB05-43C0-4AE8-8B91-3288D534564A}"/>
    <cellStyle name="Normal 8 3 2 6 2 6" xfId="13354" xr:uid="{456DDB5E-4481-4641-B5F2-D57EBA996EB3}"/>
    <cellStyle name="Normal 8 3 2 6 3" xfId="6100" xr:uid="{00000000-0005-0000-0000-0000791D0000}"/>
    <cellStyle name="Normal 8 3 2 6 3 2" xfId="41618" xr:uid="{1080D63A-17F4-4320-B778-9AEA147B7BDD}"/>
    <cellStyle name="Normal 8 3 2 6 3 3" xfId="33171" xr:uid="{8A4EAC98-7E2A-40CD-815A-FD545FAA4488}"/>
    <cellStyle name="Normal 8 3 2 6 3 4" xfId="24723" xr:uid="{CF224E1A-D67C-4027-902F-275001B9C5F8}"/>
    <cellStyle name="Normal 8 3 2 6 3 5" xfId="15426" xr:uid="{4856B2E0-5791-405C-8313-00E6E71C7B61}"/>
    <cellStyle name="Normal 8 3 2 6 4" xfId="37401" xr:uid="{9D805FAE-78E6-450B-A33D-AD18833F4BB5}"/>
    <cellStyle name="Normal 8 3 2 6 5" xfId="28953" xr:uid="{6FA64AE4-E872-4800-82D8-014817E374ED}"/>
    <cellStyle name="Normal 8 3 2 6 6" xfId="20506" xr:uid="{4D666137-E874-4CCE-9FB2-769BA20927D0}"/>
    <cellStyle name="Normal 8 3 2 6 7" xfId="11209" xr:uid="{B054B5B3-3424-4753-98E4-95F5D482ACE8}"/>
    <cellStyle name="Normal 8 3 2 7" xfId="2207" xr:uid="{00000000-0005-0000-0000-00007A1D0000}"/>
    <cellStyle name="Normal 8 3 2 7 2" xfId="4436" xr:uid="{00000000-0005-0000-0000-00007B1D0000}"/>
    <cellStyle name="Normal 8 3 2 7 2 2" xfId="8658" xr:uid="{00000000-0005-0000-0000-00007C1D0000}"/>
    <cellStyle name="Normal 8 3 2 7 2 2 2" xfId="44176" xr:uid="{42C768D8-8C08-487A-B2EC-0A9384168AB1}"/>
    <cellStyle name="Normal 8 3 2 7 2 2 3" xfId="35729" xr:uid="{FD0FBE25-FD91-4A80-96C0-DDAA136F6794}"/>
    <cellStyle name="Normal 8 3 2 7 2 2 4" xfId="27281" xr:uid="{A91E8DEB-1C07-49DC-8762-DFB54F6F4528}"/>
    <cellStyle name="Normal 8 3 2 7 2 2 5" xfId="17984" xr:uid="{336D0429-8D7C-426C-B4BB-F8FA04D52A24}"/>
    <cellStyle name="Normal 8 3 2 7 2 3" xfId="39959" xr:uid="{2A44F2AE-4585-46BA-BA3E-DEC06FABA3B2}"/>
    <cellStyle name="Normal 8 3 2 7 2 4" xfId="31511" xr:uid="{043620CA-B696-4A2C-B883-40F519ACBD83}"/>
    <cellStyle name="Normal 8 3 2 7 2 5" xfId="23064" xr:uid="{0C1CD031-CB00-47B7-93D4-4CD86326565E}"/>
    <cellStyle name="Normal 8 3 2 7 2 6" xfId="13767" xr:uid="{C4EA4548-2761-4623-B486-77ED1F062390}"/>
    <cellStyle name="Normal 8 3 2 7 3" xfId="6513" xr:uid="{00000000-0005-0000-0000-00007D1D0000}"/>
    <cellStyle name="Normal 8 3 2 7 3 2" xfId="42031" xr:uid="{D11CAC4E-AD6B-47C2-9F7F-7DC098D634DA}"/>
    <cellStyle name="Normal 8 3 2 7 3 3" xfId="33584" xr:uid="{84EF176E-1D55-4ADF-8091-F109FD830826}"/>
    <cellStyle name="Normal 8 3 2 7 3 4" xfId="25136" xr:uid="{5E633A76-5549-4078-9F89-47D2246B749F}"/>
    <cellStyle name="Normal 8 3 2 7 3 5" xfId="15839" xr:uid="{8F4FF554-C1E2-45EA-B2FE-FCAB71D92B22}"/>
    <cellStyle name="Normal 8 3 2 7 4" xfId="37814" xr:uid="{651E320D-77A0-489E-B086-D32D93F93166}"/>
    <cellStyle name="Normal 8 3 2 7 5" xfId="29366" xr:uid="{2AB7D269-0276-4819-BCF5-1C050A4EF5BE}"/>
    <cellStyle name="Normal 8 3 2 7 6" xfId="20919" xr:uid="{1CD1CF33-AEF1-4548-94D0-1B557800CD92}"/>
    <cellStyle name="Normal 8 3 2 7 7" xfId="11622" xr:uid="{D799E27B-F162-414E-9EA7-E73A777C2A89}"/>
    <cellStyle name="Normal 8 3 2 8" xfId="2643" xr:uid="{00000000-0005-0000-0000-00007E1D0000}"/>
    <cellStyle name="Normal 8 3 2 8 2" xfId="6926" xr:uid="{00000000-0005-0000-0000-00007F1D0000}"/>
    <cellStyle name="Normal 8 3 2 8 2 2" xfId="42444" xr:uid="{B74E9AE9-2A38-47C5-8C9C-D68F9A7A0F9E}"/>
    <cellStyle name="Normal 8 3 2 8 2 3" xfId="33997" xr:uid="{A52EF9A6-7081-48E1-A254-A2322A2B9FFC}"/>
    <cellStyle name="Normal 8 3 2 8 2 4" xfId="25549" xr:uid="{275CF8EC-9D32-4638-8F5F-3DE40D93CCEB}"/>
    <cellStyle name="Normal 8 3 2 8 2 5" xfId="16252" xr:uid="{F0261033-F6DD-4489-A717-128E62D2A9EE}"/>
    <cellStyle name="Normal 8 3 2 8 3" xfId="38227" xr:uid="{BC6F44D4-646D-4C8A-941F-CD92BEAFD944}"/>
    <cellStyle name="Normal 8 3 2 8 4" xfId="29779" xr:uid="{37D03A05-B9AA-48B6-8B44-D5894ADD08AA}"/>
    <cellStyle name="Normal 8 3 2 8 5" xfId="21332" xr:uid="{A85BC14B-1A09-465F-9B2B-59F69C8A30FD}"/>
    <cellStyle name="Normal 8 3 2 8 6" xfId="12035" xr:uid="{87B47029-57FF-4E7C-B095-D61F89BB0862}"/>
    <cellStyle name="Normal 8 3 2 9" xfId="4861" xr:uid="{00000000-0005-0000-0000-0000801D0000}"/>
    <cellStyle name="Normal 8 3 2 9 2" xfId="40379" xr:uid="{1AC36CB4-120A-42EF-B54C-AAF2451F08DA}"/>
    <cellStyle name="Normal 8 3 2 9 3" xfId="31932" xr:uid="{779D7E8C-79E1-488E-8F75-7A367D8BD789}"/>
    <cellStyle name="Normal 8 3 2 9 4" xfId="23484" xr:uid="{F37B3714-6122-457F-AA35-5E0560C6312F}"/>
    <cellStyle name="Normal 8 3 2 9 5" xfId="14187" xr:uid="{1DF086A7-E1CD-482E-8900-AA81AB684DB5}"/>
    <cellStyle name="Normal 8 3 3" xfId="500" xr:uid="{00000000-0005-0000-0000-0000811D0000}"/>
    <cellStyle name="Normal 8 3 3 10" xfId="27718" xr:uid="{802E5B2E-8155-4048-A7FD-605CD071510C}"/>
    <cellStyle name="Normal 8 3 3 11" xfId="19271" xr:uid="{057B5F4B-FCB9-40CF-9553-D200226D2223}"/>
    <cellStyle name="Normal 8 3 3 12" xfId="9974" xr:uid="{F720470C-751A-4995-B03E-965C3290E238}"/>
    <cellStyle name="Normal 8 3 3 2" xfId="501" xr:uid="{00000000-0005-0000-0000-0000821D0000}"/>
    <cellStyle name="Normal 8 3 3 2 10" xfId="19272" xr:uid="{5E6F16B2-20FF-4B8E-A572-1C1D696D1A6B}"/>
    <cellStyle name="Normal 8 3 3 2 11" xfId="9975" xr:uid="{0DC255A1-14AF-4841-96EB-8B1F76681864}"/>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42942" xr:uid="{1E41ED77-7DD0-421C-909D-EEE21D4C3831}"/>
    <cellStyle name="Normal 8 3 3 2 2 2 2 3" xfId="34495" xr:uid="{C6852D7C-091C-42F4-AF2B-D493857D28EF}"/>
    <cellStyle name="Normal 8 3 3 2 2 2 2 4" xfId="26047" xr:uid="{A74066E2-C4F9-4594-A360-920736036794}"/>
    <cellStyle name="Normal 8 3 3 2 2 2 2 5" xfId="16750" xr:uid="{645F0BAE-4D06-4A66-867B-B7C8AD5409E6}"/>
    <cellStyle name="Normal 8 3 3 2 2 2 3" xfId="38725" xr:uid="{7F4D4670-4756-4C28-8CB6-36A6C1F0F813}"/>
    <cellStyle name="Normal 8 3 3 2 2 2 4" xfId="30277" xr:uid="{6319A042-3FC9-4C47-85C5-06106B4889C2}"/>
    <cellStyle name="Normal 8 3 3 2 2 2 5" xfId="21830" xr:uid="{B4C32DFC-8A13-491E-ABBF-B0AF305DFC82}"/>
    <cellStyle name="Normal 8 3 3 2 2 2 6" xfId="12533" xr:uid="{6E2F9441-6F1C-4CEF-9D98-E194B241B8D1}"/>
    <cellStyle name="Normal 8 3 3 2 2 3" xfId="5279" xr:uid="{00000000-0005-0000-0000-0000861D0000}"/>
    <cellStyle name="Normal 8 3 3 2 2 3 2" xfId="40797" xr:uid="{F4EFB258-3888-4C1C-B279-56817C0E41C2}"/>
    <cellStyle name="Normal 8 3 3 2 2 3 3" xfId="32350" xr:uid="{80D902B1-0A05-4C53-841B-72CFEA261DCF}"/>
    <cellStyle name="Normal 8 3 3 2 2 3 4" xfId="23902" xr:uid="{8A2456A7-F90D-49D3-934F-08DE2EC3203C}"/>
    <cellStyle name="Normal 8 3 3 2 2 3 5" xfId="14605" xr:uid="{0D35EBE0-D59D-457F-AA7B-8A5FB9446C00}"/>
    <cellStyle name="Normal 8 3 3 2 2 4" xfId="9509" xr:uid="{3B4378D3-7C51-4B91-822B-758528BFF352}"/>
    <cellStyle name="Normal 8 3 3 2 2 4 2" xfId="36580" xr:uid="{5070BF38-2F8B-40E3-ADE0-B24F5FA3D60B}"/>
    <cellStyle name="Normal 8 3 3 2 2 4 3" xfId="18822" xr:uid="{9D9DF526-A7C9-4A7A-A1A1-BB6AB3F96BEA}"/>
    <cellStyle name="Normal 8 3 3 2 2 5" xfId="28132" xr:uid="{DA258020-336C-4359-B633-78B76C66A0A8}"/>
    <cellStyle name="Normal 8 3 3 2 2 6" xfId="19685" xr:uid="{E0B9C752-D04C-4C38-876C-E655746C55C9}"/>
    <cellStyle name="Normal 8 3 3 2 2 7" xfId="10388" xr:uid="{7D9AE042-B351-41A8-A79E-49A3F1CB59AE}"/>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43355" xr:uid="{D677415D-BD78-40DB-9EC2-60ACF7AB7583}"/>
    <cellStyle name="Normal 8 3 3 2 3 2 2 3" xfId="34908" xr:uid="{ACBFF193-E570-4D6B-95FF-153FE98622D3}"/>
    <cellStyle name="Normal 8 3 3 2 3 2 2 4" xfId="26460" xr:uid="{D361296C-CB7D-4CEA-AB47-82EA2BFC7193}"/>
    <cellStyle name="Normal 8 3 3 2 3 2 2 5" xfId="17163" xr:uid="{7430013C-AAD0-4DD2-B4BF-6378FC220906}"/>
    <cellStyle name="Normal 8 3 3 2 3 2 3" xfId="39138" xr:uid="{A2258D99-B807-40B0-8734-C776CB4A99B5}"/>
    <cellStyle name="Normal 8 3 3 2 3 2 4" xfId="30690" xr:uid="{31D0524B-32EB-4821-8A35-06FB0BA8055C}"/>
    <cellStyle name="Normal 8 3 3 2 3 2 5" xfId="22243" xr:uid="{C6CF2C42-3795-4AB1-8CB3-CD9B0EEF41F8}"/>
    <cellStyle name="Normal 8 3 3 2 3 2 6" xfId="12946" xr:uid="{EA7E7D61-C442-43DA-98A1-C0AFC7D8C9BB}"/>
    <cellStyle name="Normal 8 3 3 2 3 3" xfId="5692" xr:uid="{00000000-0005-0000-0000-00008A1D0000}"/>
    <cellStyle name="Normal 8 3 3 2 3 3 2" xfId="41210" xr:uid="{05D4D834-E969-45F6-883C-1E63DAC65EFB}"/>
    <cellStyle name="Normal 8 3 3 2 3 3 3" xfId="32763" xr:uid="{19B70F33-DED1-490B-844C-469D1A60ADE3}"/>
    <cellStyle name="Normal 8 3 3 2 3 3 4" xfId="24315" xr:uid="{52327846-F34E-4B87-B293-FA9585766A6C}"/>
    <cellStyle name="Normal 8 3 3 2 3 3 5" xfId="15018" xr:uid="{B26369B5-27EE-4B57-AA53-29C05324B7FA}"/>
    <cellStyle name="Normal 8 3 3 2 3 4" xfId="36993" xr:uid="{2AB4D5DD-B86F-43DC-932B-AD697A3A95FD}"/>
    <cellStyle name="Normal 8 3 3 2 3 5" xfId="28545" xr:uid="{375A70EC-2AD3-48C8-B665-10B70BCF3E9C}"/>
    <cellStyle name="Normal 8 3 3 2 3 6" xfId="20098" xr:uid="{7195B3A7-D52E-4086-906E-19CA02249914}"/>
    <cellStyle name="Normal 8 3 3 2 3 7" xfId="10801" xr:uid="{560290F0-083A-498A-AF79-A94B7E7CD586}"/>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43768" xr:uid="{40AD6BC5-4454-4F8A-A26D-63F30A2AC818}"/>
    <cellStyle name="Normal 8 3 3 2 4 2 2 3" xfId="35321" xr:uid="{56C64CFD-FA69-4578-8728-AD37092725A2}"/>
    <cellStyle name="Normal 8 3 3 2 4 2 2 4" xfId="26873" xr:uid="{7E5E62A5-C7D0-4EFA-9E6C-1080C0CC5EFE}"/>
    <cellStyle name="Normal 8 3 3 2 4 2 2 5" xfId="17576" xr:uid="{90145762-8B4C-4C76-A1F9-FF6D6AAEC2F0}"/>
    <cellStyle name="Normal 8 3 3 2 4 2 3" xfId="39551" xr:uid="{5A948858-A7E0-4F80-A6B8-5461D215E0DE}"/>
    <cellStyle name="Normal 8 3 3 2 4 2 4" xfId="31103" xr:uid="{7575406E-BA32-4B00-90FE-1CA43A0A07E0}"/>
    <cellStyle name="Normal 8 3 3 2 4 2 5" xfId="22656" xr:uid="{6500ADD9-9482-45FB-97B5-5FADC7BF67FC}"/>
    <cellStyle name="Normal 8 3 3 2 4 2 6" xfId="13359" xr:uid="{3A18921B-5AD8-40CD-9224-476CDC6A49AB}"/>
    <cellStyle name="Normal 8 3 3 2 4 3" xfId="6105" xr:uid="{00000000-0005-0000-0000-00008E1D0000}"/>
    <cellStyle name="Normal 8 3 3 2 4 3 2" xfId="41623" xr:uid="{54599FD0-D4D6-49F0-A161-4B36C0BA5DBA}"/>
    <cellStyle name="Normal 8 3 3 2 4 3 3" xfId="33176" xr:uid="{716B6343-1627-4FBC-90C3-EC6E92BC5F3F}"/>
    <cellStyle name="Normal 8 3 3 2 4 3 4" xfId="24728" xr:uid="{E94B2DEE-AD49-4280-B610-7F3C5564D23C}"/>
    <cellStyle name="Normal 8 3 3 2 4 3 5" xfId="15431" xr:uid="{72CA62C9-B187-4599-859D-2D8547686E8D}"/>
    <cellStyle name="Normal 8 3 3 2 4 4" xfId="37406" xr:uid="{78A88D03-E06C-4DC4-A7F7-990DF9E8A9AC}"/>
    <cellStyle name="Normal 8 3 3 2 4 5" xfId="28958" xr:uid="{F9BDC43F-EC05-45FA-BCE2-5FFFC78E7FE3}"/>
    <cellStyle name="Normal 8 3 3 2 4 6" xfId="20511" xr:uid="{4BE53C8B-C58B-4F9A-A74F-9B8CAA1EE143}"/>
    <cellStyle name="Normal 8 3 3 2 4 7" xfId="11214" xr:uid="{5EF91E9C-C893-47D3-9FC5-51A40FCB6DAC}"/>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44181" xr:uid="{30D08671-8A3D-45B0-A98D-908593C669E0}"/>
    <cellStyle name="Normal 8 3 3 2 5 2 2 3" xfId="35734" xr:uid="{7B114846-DD1D-4E43-AEC2-D5C4BE5762ED}"/>
    <cellStyle name="Normal 8 3 3 2 5 2 2 4" xfId="27286" xr:uid="{2E40CB28-B748-484D-8B47-ECF6AB283D46}"/>
    <cellStyle name="Normal 8 3 3 2 5 2 2 5" xfId="17989" xr:uid="{3E268C28-601F-482B-9C60-F56773C0D417}"/>
    <cellStyle name="Normal 8 3 3 2 5 2 3" xfId="39964" xr:uid="{625F3A96-2446-4584-8D29-890CC94EB346}"/>
    <cellStyle name="Normal 8 3 3 2 5 2 4" xfId="31516" xr:uid="{660C6EE7-2F81-4D17-9981-BA7FBF782844}"/>
    <cellStyle name="Normal 8 3 3 2 5 2 5" xfId="23069" xr:uid="{9FE419B7-DC16-477E-9723-D39D2AAADE6B}"/>
    <cellStyle name="Normal 8 3 3 2 5 2 6" xfId="13772" xr:uid="{96D18CB3-8716-4C53-85A5-0D9EF970B34C}"/>
    <cellStyle name="Normal 8 3 3 2 5 3" xfId="6518" xr:uid="{00000000-0005-0000-0000-0000921D0000}"/>
    <cellStyle name="Normal 8 3 3 2 5 3 2" xfId="42036" xr:uid="{F778CF8B-22D1-42EF-A6D5-47B3497C22AD}"/>
    <cellStyle name="Normal 8 3 3 2 5 3 3" xfId="33589" xr:uid="{AED68A89-D51B-4878-8701-6A1A9DBDFBE6}"/>
    <cellStyle name="Normal 8 3 3 2 5 3 4" xfId="25141" xr:uid="{47B2E39F-A82E-4483-8960-8341DAFEB1DA}"/>
    <cellStyle name="Normal 8 3 3 2 5 3 5" xfId="15844" xr:uid="{9886AD5C-3C4B-4D0D-8528-3736A5BBFAA2}"/>
    <cellStyle name="Normal 8 3 3 2 5 4" xfId="37819" xr:uid="{C85FC492-9556-4273-BA03-AD58AF1B9175}"/>
    <cellStyle name="Normal 8 3 3 2 5 5" xfId="29371" xr:uid="{4E219F88-D882-4AF7-8AF4-757400863AFA}"/>
    <cellStyle name="Normal 8 3 3 2 5 6" xfId="20924" xr:uid="{69A4C468-C46A-4BED-A2B0-41843824EAB6}"/>
    <cellStyle name="Normal 8 3 3 2 5 7" xfId="11627" xr:uid="{146C4BDF-495F-4285-B49D-C8EE364CFE5E}"/>
    <cellStyle name="Normal 8 3 3 2 6" xfId="2648" xr:uid="{00000000-0005-0000-0000-0000931D0000}"/>
    <cellStyle name="Normal 8 3 3 2 6 2" xfId="6931" xr:uid="{00000000-0005-0000-0000-0000941D0000}"/>
    <cellStyle name="Normal 8 3 3 2 6 2 2" xfId="42449" xr:uid="{CDEF07FE-BCE9-4FFB-A343-8B83D1043F1E}"/>
    <cellStyle name="Normal 8 3 3 2 6 2 3" xfId="34002" xr:uid="{BE9F06BD-429E-4B6C-AD85-3C6AAA8B6D22}"/>
    <cellStyle name="Normal 8 3 3 2 6 2 4" xfId="25554" xr:uid="{4CEF8146-3134-4D4C-B032-8ABD0DF370C0}"/>
    <cellStyle name="Normal 8 3 3 2 6 2 5" xfId="16257" xr:uid="{7BBF8FAC-B65D-4DB5-A7D7-BB826CED718C}"/>
    <cellStyle name="Normal 8 3 3 2 6 3" xfId="38232" xr:uid="{B9DDF4E7-CAB2-47E4-9443-7E8EADFA5301}"/>
    <cellStyle name="Normal 8 3 3 2 6 4" xfId="29784" xr:uid="{BDFD1DD5-C5E9-418C-A0A6-E4D335D3B843}"/>
    <cellStyle name="Normal 8 3 3 2 6 5" xfId="21337" xr:uid="{266841E7-3F9F-4D02-BC08-B3AA60BE32D9}"/>
    <cellStyle name="Normal 8 3 3 2 6 6" xfId="12040" xr:uid="{F92FFF3C-D31C-4A57-9759-EAA01D0CAEF1}"/>
    <cellStyle name="Normal 8 3 3 2 7" xfId="4866" xr:uid="{00000000-0005-0000-0000-0000951D0000}"/>
    <cellStyle name="Normal 8 3 3 2 7 2" xfId="40384" xr:uid="{102668CE-54E6-4836-9840-49026B1E39EB}"/>
    <cellStyle name="Normal 8 3 3 2 7 3" xfId="31937" xr:uid="{CB4987EF-6658-4246-9E10-7F7339F24BDC}"/>
    <cellStyle name="Normal 8 3 3 2 7 4" xfId="23489" xr:uid="{CDD0D12A-7B8B-4A88-A00D-D09EA82C0EFC}"/>
    <cellStyle name="Normal 8 3 3 2 7 5" xfId="14192" xr:uid="{B8D8A58F-AD54-46C7-A8DF-34AFA8AE7087}"/>
    <cellStyle name="Normal 8 3 3 2 8" xfId="9084" xr:uid="{94243AB7-0454-4C95-8E94-054E46718167}"/>
    <cellStyle name="Normal 8 3 3 2 8 2" xfId="36167" xr:uid="{FED1267D-3E93-4A55-8227-B55C51A05043}"/>
    <cellStyle name="Normal 8 3 3 2 8 3" xfId="18407" xr:uid="{AD2DFF5A-2B33-4FB0-AFDD-B7CECBE66969}"/>
    <cellStyle name="Normal 8 3 3 2 9" xfId="27719" xr:uid="{2B47322C-403D-4148-ABFB-4BACB4C2A490}"/>
    <cellStyle name="Normal 8 3 3 3" xfId="967" xr:uid="{00000000-0005-0000-0000-0000961D0000}"/>
    <cellStyle name="Normal 8 3 3 3 2" xfId="3201" xr:uid="{00000000-0005-0000-0000-0000971D0000}"/>
    <cellStyle name="Normal 8 3 3 3 2 2" xfId="7423" xr:uid="{00000000-0005-0000-0000-0000981D0000}"/>
    <cellStyle name="Normal 8 3 3 3 2 2 2" xfId="42941" xr:uid="{68B71BAD-E9CA-4C9E-AFE0-62B00AC9578F}"/>
    <cellStyle name="Normal 8 3 3 3 2 2 3" xfId="34494" xr:uid="{15831206-F579-4E0B-8436-62AC04A2B395}"/>
    <cellStyle name="Normal 8 3 3 3 2 2 4" xfId="26046" xr:uid="{24862E2D-A1CA-44C2-BD1E-59519CD10053}"/>
    <cellStyle name="Normal 8 3 3 3 2 2 5" xfId="16749" xr:uid="{43E9065A-0A80-40C1-A327-83262F0881DF}"/>
    <cellStyle name="Normal 8 3 3 3 2 3" xfId="38724" xr:uid="{B1E9A7BA-0D92-49C1-8615-42AEEC28F38E}"/>
    <cellStyle name="Normal 8 3 3 3 2 4" xfId="30276" xr:uid="{AFDFA9A6-7364-476B-A32A-E636F9B1151A}"/>
    <cellStyle name="Normal 8 3 3 3 2 5" xfId="21829" xr:uid="{740AF352-5A02-4E9D-B9BA-402EB0A15501}"/>
    <cellStyle name="Normal 8 3 3 3 2 6" xfId="12532" xr:uid="{6A7D0477-F755-4AAE-AA3F-879F66F6E06C}"/>
    <cellStyle name="Normal 8 3 3 3 3" xfId="5278" xr:uid="{00000000-0005-0000-0000-0000991D0000}"/>
    <cellStyle name="Normal 8 3 3 3 3 2" xfId="40796" xr:uid="{C2736CAC-9DFC-4E6C-A963-D13E807224E0}"/>
    <cellStyle name="Normal 8 3 3 3 3 3" xfId="32349" xr:uid="{A4146EE5-395A-480B-B1FC-0DFF1EB1D621}"/>
    <cellStyle name="Normal 8 3 3 3 3 4" xfId="23901" xr:uid="{71FEBE98-F7AA-443B-899D-68A34CA80222}"/>
    <cellStyle name="Normal 8 3 3 3 3 5" xfId="14604" xr:uid="{BA9B6A89-418A-472C-8F9B-E4C1A4CAC950}"/>
    <cellStyle name="Normal 8 3 3 3 4" xfId="9302" xr:uid="{3985B908-2B56-4F9B-BEA3-8962926FD004}"/>
    <cellStyle name="Normal 8 3 3 3 4 2" xfId="36579" xr:uid="{252B9328-1EA1-49AF-8BBE-A9CC2DF1F977}"/>
    <cellStyle name="Normal 8 3 3 3 4 3" xfId="18615" xr:uid="{92D7A7F5-6FAE-481F-995E-BCF69351A5EE}"/>
    <cellStyle name="Normal 8 3 3 3 5" xfId="28131" xr:uid="{980163BF-8F5A-4C64-9479-6DA92C7EC320}"/>
    <cellStyle name="Normal 8 3 3 3 6" xfId="19684" xr:uid="{47CAECD8-B503-41B7-A32D-164ED2455E7B}"/>
    <cellStyle name="Normal 8 3 3 3 7" xfId="10387" xr:uid="{8FADB17A-B00D-480A-BFCB-6D2D23C1487C}"/>
    <cellStyle name="Normal 8 3 3 4" xfId="1384" xr:uid="{00000000-0005-0000-0000-00009A1D0000}"/>
    <cellStyle name="Normal 8 3 3 4 2" xfId="3614" xr:uid="{00000000-0005-0000-0000-00009B1D0000}"/>
    <cellStyle name="Normal 8 3 3 4 2 2" xfId="7836" xr:uid="{00000000-0005-0000-0000-00009C1D0000}"/>
    <cellStyle name="Normal 8 3 3 4 2 2 2" xfId="43354" xr:uid="{0544E4A0-27A9-4424-8A3E-CC1EEC8CDFDF}"/>
    <cellStyle name="Normal 8 3 3 4 2 2 3" xfId="34907" xr:uid="{D3A86694-7A52-4871-BFC8-FA9BE080115D}"/>
    <cellStyle name="Normal 8 3 3 4 2 2 4" xfId="26459" xr:uid="{B195D7FE-799D-4462-A8F7-8694EA3B83EB}"/>
    <cellStyle name="Normal 8 3 3 4 2 2 5" xfId="17162" xr:uid="{43855A23-3CC3-4B73-B78C-E43EAB905C8E}"/>
    <cellStyle name="Normal 8 3 3 4 2 3" xfId="39137" xr:uid="{F60F6E82-C1E0-4910-8828-DBD5C5F2E662}"/>
    <cellStyle name="Normal 8 3 3 4 2 4" xfId="30689" xr:uid="{65C8D3A2-D879-48B1-9D45-A3D7FEAC7531}"/>
    <cellStyle name="Normal 8 3 3 4 2 5" xfId="22242" xr:uid="{4C3131CD-D333-4D21-B876-98E701DC73F0}"/>
    <cellStyle name="Normal 8 3 3 4 2 6" xfId="12945" xr:uid="{A0061854-51C9-4DC4-91A9-E6A0AD48E9CC}"/>
    <cellStyle name="Normal 8 3 3 4 3" xfId="5691" xr:uid="{00000000-0005-0000-0000-00009D1D0000}"/>
    <cellStyle name="Normal 8 3 3 4 3 2" xfId="41209" xr:uid="{F4854510-FB5D-4708-A083-F94A082FA323}"/>
    <cellStyle name="Normal 8 3 3 4 3 3" xfId="32762" xr:uid="{6BD3B637-7C1A-4F61-9DF0-348095355411}"/>
    <cellStyle name="Normal 8 3 3 4 3 4" xfId="24314" xr:uid="{1ADADAB8-EF10-4D3C-BEB9-B617B766DCC5}"/>
    <cellStyle name="Normal 8 3 3 4 3 5" xfId="15017" xr:uid="{6A7A8C88-26D8-4591-B0E4-ED9606A60E4C}"/>
    <cellStyle name="Normal 8 3 3 4 4" xfId="36992" xr:uid="{1A8C88C7-4572-4E0A-AB7C-F0BFDA7C3642}"/>
    <cellStyle name="Normal 8 3 3 4 5" xfId="28544" xr:uid="{0B4C13AD-FC3E-4E71-9FDE-106802357E5E}"/>
    <cellStyle name="Normal 8 3 3 4 6" xfId="20097" xr:uid="{7D635525-CCD0-488E-BE43-7889CF41E69A}"/>
    <cellStyle name="Normal 8 3 3 4 7" xfId="10800" xr:uid="{0FC190E5-FACF-471C-A694-E8E8DF2F78CC}"/>
    <cellStyle name="Normal 8 3 3 5" xfId="1797" xr:uid="{00000000-0005-0000-0000-00009E1D0000}"/>
    <cellStyle name="Normal 8 3 3 5 2" xfId="4027" xr:uid="{00000000-0005-0000-0000-00009F1D0000}"/>
    <cellStyle name="Normal 8 3 3 5 2 2" xfId="8249" xr:uid="{00000000-0005-0000-0000-0000A01D0000}"/>
    <cellStyle name="Normal 8 3 3 5 2 2 2" xfId="43767" xr:uid="{223F9CC1-0BD7-4A8C-9B87-DE40423E7C2E}"/>
    <cellStyle name="Normal 8 3 3 5 2 2 3" xfId="35320" xr:uid="{F2E7382C-62AC-4F15-9366-B4BA1A3168DD}"/>
    <cellStyle name="Normal 8 3 3 5 2 2 4" xfId="26872" xr:uid="{EFDC98FF-C50A-43EC-95EE-2F61636A6847}"/>
    <cellStyle name="Normal 8 3 3 5 2 2 5" xfId="17575" xr:uid="{D32B4E9A-E4C2-4504-9356-2FC8806AB35C}"/>
    <cellStyle name="Normal 8 3 3 5 2 3" xfId="39550" xr:uid="{739BEE38-5B70-4BA5-A301-5B8E03F1855A}"/>
    <cellStyle name="Normal 8 3 3 5 2 4" xfId="31102" xr:uid="{8A3FE695-96A5-4658-A8A4-496D72672CC1}"/>
    <cellStyle name="Normal 8 3 3 5 2 5" xfId="22655" xr:uid="{154AC0FC-A760-4A41-8E2E-BE3EDA0F6B57}"/>
    <cellStyle name="Normal 8 3 3 5 2 6" xfId="13358" xr:uid="{51ABB6B0-FE46-4411-93E3-9B0ED417E7C6}"/>
    <cellStyle name="Normal 8 3 3 5 3" xfId="6104" xr:uid="{00000000-0005-0000-0000-0000A11D0000}"/>
    <cellStyle name="Normal 8 3 3 5 3 2" xfId="41622" xr:uid="{23DE930B-F3A3-4477-BB17-A88EE91AF02E}"/>
    <cellStyle name="Normal 8 3 3 5 3 3" xfId="33175" xr:uid="{667229E0-138E-4D68-8E39-63DBB9BF5586}"/>
    <cellStyle name="Normal 8 3 3 5 3 4" xfId="24727" xr:uid="{7E96D169-50D7-4AA2-80D4-9B1256BC42F4}"/>
    <cellStyle name="Normal 8 3 3 5 3 5" xfId="15430" xr:uid="{F26313AC-37AA-47AB-91A7-515838700C31}"/>
    <cellStyle name="Normal 8 3 3 5 4" xfId="37405" xr:uid="{26794E19-B315-42D9-8FDD-721717C6CFAF}"/>
    <cellStyle name="Normal 8 3 3 5 5" xfId="28957" xr:uid="{3FDB98FC-DA9E-4EC6-9D0F-CB1321CDE523}"/>
    <cellStyle name="Normal 8 3 3 5 6" xfId="20510" xr:uid="{EE5B9D52-2C83-4BD0-A2B1-5F039CC1C060}"/>
    <cellStyle name="Normal 8 3 3 5 7" xfId="11213" xr:uid="{4C4F0B8A-E55C-46C9-A2AE-21A7C7AC3CE8}"/>
    <cellStyle name="Normal 8 3 3 6" xfId="2211" xr:uid="{00000000-0005-0000-0000-0000A21D0000}"/>
    <cellStyle name="Normal 8 3 3 6 2" xfId="4440" xr:uid="{00000000-0005-0000-0000-0000A31D0000}"/>
    <cellStyle name="Normal 8 3 3 6 2 2" xfId="8662" xr:uid="{00000000-0005-0000-0000-0000A41D0000}"/>
    <cellStyle name="Normal 8 3 3 6 2 2 2" xfId="44180" xr:uid="{B8DC6E90-F9E8-4FFF-8385-149415FA0AB5}"/>
    <cellStyle name="Normal 8 3 3 6 2 2 3" xfId="35733" xr:uid="{8278E581-7764-426E-80FE-62DD0611B581}"/>
    <cellStyle name="Normal 8 3 3 6 2 2 4" xfId="27285" xr:uid="{9430F93B-9EA8-4410-A58F-67C3997A4EE5}"/>
    <cellStyle name="Normal 8 3 3 6 2 2 5" xfId="17988" xr:uid="{F66FB7A9-E615-4581-941D-75088F7B2BF1}"/>
    <cellStyle name="Normal 8 3 3 6 2 3" xfId="39963" xr:uid="{1AA053BA-5EE3-4FA9-9C4C-EAC7ABC1DBC1}"/>
    <cellStyle name="Normal 8 3 3 6 2 4" xfId="31515" xr:uid="{0C30E686-B6A6-402B-85C9-2E5C193728E6}"/>
    <cellStyle name="Normal 8 3 3 6 2 5" xfId="23068" xr:uid="{E610A174-F3CC-496C-99BC-09D1136582B3}"/>
    <cellStyle name="Normal 8 3 3 6 2 6" xfId="13771" xr:uid="{C1CA5143-41F7-4994-A597-ED9B44778B34}"/>
    <cellStyle name="Normal 8 3 3 6 3" xfId="6517" xr:uid="{00000000-0005-0000-0000-0000A51D0000}"/>
    <cellStyle name="Normal 8 3 3 6 3 2" xfId="42035" xr:uid="{34183DD2-3742-4CA8-AD6D-89120DA313FF}"/>
    <cellStyle name="Normal 8 3 3 6 3 3" xfId="33588" xr:uid="{1D281C46-74B9-48BD-BE01-9F67016DB943}"/>
    <cellStyle name="Normal 8 3 3 6 3 4" xfId="25140" xr:uid="{11F1DBCE-D363-46AB-96F5-CFD9CBD70324}"/>
    <cellStyle name="Normal 8 3 3 6 3 5" xfId="15843" xr:uid="{473FC37C-CD4D-4CF1-B768-2BE5A0CA46B4}"/>
    <cellStyle name="Normal 8 3 3 6 4" xfId="37818" xr:uid="{964891D4-4A2A-4792-B16B-4E1CA454BC5B}"/>
    <cellStyle name="Normal 8 3 3 6 5" xfId="29370" xr:uid="{EE3D96C4-E05A-4BAD-B87D-F178362326F7}"/>
    <cellStyle name="Normal 8 3 3 6 6" xfId="20923" xr:uid="{D277431A-B853-4578-A432-5D777B872DC9}"/>
    <cellStyle name="Normal 8 3 3 6 7" xfId="11626" xr:uid="{3326D0C1-E576-4829-B21E-B63AECD46A79}"/>
    <cellStyle name="Normal 8 3 3 7" xfId="2647" xr:uid="{00000000-0005-0000-0000-0000A61D0000}"/>
    <cellStyle name="Normal 8 3 3 7 2" xfId="6930" xr:uid="{00000000-0005-0000-0000-0000A71D0000}"/>
    <cellStyle name="Normal 8 3 3 7 2 2" xfId="42448" xr:uid="{6D7F9015-DDCD-49B7-8996-E09F673A3E1E}"/>
    <cellStyle name="Normal 8 3 3 7 2 3" xfId="34001" xr:uid="{E2B3F39D-BC43-4638-8F0A-8D47C32A638A}"/>
    <cellStyle name="Normal 8 3 3 7 2 4" xfId="25553" xr:uid="{56C5B813-C3C4-4298-BE53-1B30EF10FB95}"/>
    <cellStyle name="Normal 8 3 3 7 2 5" xfId="16256" xr:uid="{6D9DC94F-C8D1-40D8-A63E-9C7C386E8AE1}"/>
    <cellStyle name="Normal 8 3 3 7 3" xfId="38231" xr:uid="{830DEA7D-9114-41DB-9967-E9760824EAE2}"/>
    <cellStyle name="Normal 8 3 3 7 4" xfId="29783" xr:uid="{DA497F40-5541-41B5-A79A-70777815878D}"/>
    <cellStyle name="Normal 8 3 3 7 5" xfId="21336" xr:uid="{65A1D3EC-04B9-4C68-ADCA-6A18B72027F3}"/>
    <cellStyle name="Normal 8 3 3 7 6" xfId="12039" xr:uid="{85E75CA7-355B-4B71-A82F-460B2348F9C6}"/>
    <cellStyle name="Normal 8 3 3 8" xfId="4865" xr:uid="{00000000-0005-0000-0000-0000A81D0000}"/>
    <cellStyle name="Normal 8 3 3 8 2" xfId="40383" xr:uid="{1823D6B7-EB74-471F-9288-5A379D6C5E2D}"/>
    <cellStyle name="Normal 8 3 3 8 3" xfId="31936" xr:uid="{931580E7-7570-4BD7-BA28-FC047989E7E7}"/>
    <cellStyle name="Normal 8 3 3 8 4" xfId="23488" xr:uid="{D23017D7-527F-4D28-9781-C53A3DB55065}"/>
    <cellStyle name="Normal 8 3 3 8 5" xfId="14191" xr:uid="{0A800939-26B4-4C92-9445-CA2B0A1F6EBD}"/>
    <cellStyle name="Normal 8 3 3 9" xfId="8877" xr:uid="{4F8231E3-800E-43E7-B1B6-9633EBFFFFE1}"/>
    <cellStyle name="Normal 8 3 3 9 2" xfId="36166" xr:uid="{AE57117F-A570-43E3-AD60-3A3543919250}"/>
    <cellStyle name="Normal 8 3 3 9 3" xfId="18200" xr:uid="{070E02A6-DE3F-48F1-B8F7-F8F0E083C6CD}"/>
    <cellStyle name="Normal 8 3 4" xfId="502" xr:uid="{00000000-0005-0000-0000-0000A91D0000}"/>
    <cellStyle name="Normal 8 3 4 10" xfId="19273" xr:uid="{D43AF0CE-C0F3-4996-8F38-1BBE95B80600}"/>
    <cellStyle name="Normal 8 3 4 11" xfId="9976" xr:uid="{29FC6046-E5B6-4B3D-83E5-57A1D82B1FA0}"/>
    <cellStyle name="Normal 8 3 4 2" xfId="969" xr:uid="{00000000-0005-0000-0000-0000AA1D0000}"/>
    <cellStyle name="Normal 8 3 4 2 2" xfId="3203" xr:uid="{00000000-0005-0000-0000-0000AB1D0000}"/>
    <cellStyle name="Normal 8 3 4 2 2 2" xfId="7425" xr:uid="{00000000-0005-0000-0000-0000AC1D0000}"/>
    <cellStyle name="Normal 8 3 4 2 2 2 2" xfId="42943" xr:uid="{C5240677-A099-4EF2-AF3E-A493A54EC26B}"/>
    <cellStyle name="Normal 8 3 4 2 2 2 3" xfId="34496" xr:uid="{56A0695E-5DE7-4665-A04B-31478559DDC1}"/>
    <cellStyle name="Normal 8 3 4 2 2 2 4" xfId="26048" xr:uid="{AF8D03E4-7C4F-4F55-9490-364419190F87}"/>
    <cellStyle name="Normal 8 3 4 2 2 2 5" xfId="16751" xr:uid="{C3900872-4969-41E9-9225-FD1DE95776B3}"/>
    <cellStyle name="Normal 8 3 4 2 2 3" xfId="38726" xr:uid="{4E07BC08-10E2-4E48-86DA-9488614C5286}"/>
    <cellStyle name="Normal 8 3 4 2 2 4" xfId="30278" xr:uid="{A2887691-67FB-453C-A867-D6CD8A14EFB6}"/>
    <cellStyle name="Normal 8 3 4 2 2 5" xfId="21831" xr:uid="{0BE3AC83-2888-47A9-BAAC-03224E7BD22E}"/>
    <cellStyle name="Normal 8 3 4 2 2 6" xfId="12534" xr:uid="{DB05C8D8-5719-4F5A-A816-CD2657DA2B02}"/>
    <cellStyle name="Normal 8 3 4 2 3" xfId="5280" xr:uid="{00000000-0005-0000-0000-0000AD1D0000}"/>
    <cellStyle name="Normal 8 3 4 2 3 2" xfId="40798" xr:uid="{2B33F786-BB2A-4C8F-B9DC-CF2C1D3544E7}"/>
    <cellStyle name="Normal 8 3 4 2 3 3" xfId="32351" xr:uid="{EC134B1A-BF55-4D44-8F27-FD432F832101}"/>
    <cellStyle name="Normal 8 3 4 2 3 4" xfId="23903" xr:uid="{B37128A8-62D9-4E67-AE94-1E866367294D}"/>
    <cellStyle name="Normal 8 3 4 2 3 5" xfId="14606" xr:uid="{040F5A79-A653-4586-BEDD-C169D85E9899}"/>
    <cellStyle name="Normal 8 3 4 2 4" xfId="9406" xr:uid="{8751BE45-E47B-4A0A-B0DE-04C14FAEA88D}"/>
    <cellStyle name="Normal 8 3 4 2 4 2" xfId="36581" xr:uid="{C526446B-137A-4936-9992-C5846B1FAFAA}"/>
    <cellStyle name="Normal 8 3 4 2 4 3" xfId="18719" xr:uid="{84E92888-692C-460B-9455-60CE5ED324F7}"/>
    <cellStyle name="Normal 8 3 4 2 5" xfId="28133" xr:uid="{E0AB6759-23C8-4404-8466-4FFF265D673C}"/>
    <cellStyle name="Normal 8 3 4 2 6" xfId="19686" xr:uid="{9EBAFBB9-53A9-471A-8524-E3660645B8CE}"/>
    <cellStyle name="Normal 8 3 4 2 7" xfId="10389" xr:uid="{8DBEEC83-A980-45FF-BF6C-5E749F80CB8A}"/>
    <cellStyle name="Normal 8 3 4 3" xfId="1386" xr:uid="{00000000-0005-0000-0000-0000AE1D0000}"/>
    <cellStyle name="Normal 8 3 4 3 2" xfId="3616" xr:uid="{00000000-0005-0000-0000-0000AF1D0000}"/>
    <cellStyle name="Normal 8 3 4 3 2 2" xfId="7838" xr:uid="{00000000-0005-0000-0000-0000B01D0000}"/>
    <cellStyle name="Normal 8 3 4 3 2 2 2" xfId="43356" xr:uid="{83013CE4-478B-41B7-A4C2-3A34D196E3C3}"/>
    <cellStyle name="Normal 8 3 4 3 2 2 3" xfId="34909" xr:uid="{49C2D712-CCCE-4733-8269-8D1440A0996F}"/>
    <cellStyle name="Normal 8 3 4 3 2 2 4" xfId="26461" xr:uid="{4AC9F740-F4F1-4372-B5CC-11147834E40B}"/>
    <cellStyle name="Normal 8 3 4 3 2 2 5" xfId="17164" xr:uid="{B83103D8-E9DE-498D-827A-B84D69E39FF9}"/>
    <cellStyle name="Normal 8 3 4 3 2 3" xfId="39139" xr:uid="{44FA09BF-44BB-4E77-A07A-DC322D48B994}"/>
    <cellStyle name="Normal 8 3 4 3 2 4" xfId="30691" xr:uid="{DBAF09B4-6C0C-43C3-B8E7-B3B392B0AA4E}"/>
    <cellStyle name="Normal 8 3 4 3 2 5" xfId="22244" xr:uid="{F6FBC69E-642F-4E56-B322-851DCCECD8AF}"/>
    <cellStyle name="Normal 8 3 4 3 2 6" xfId="12947" xr:uid="{4DDACCFA-3447-4164-A085-3E50DDBD0BCF}"/>
    <cellStyle name="Normal 8 3 4 3 3" xfId="5693" xr:uid="{00000000-0005-0000-0000-0000B11D0000}"/>
    <cellStyle name="Normal 8 3 4 3 3 2" xfId="41211" xr:uid="{565F1F77-9F36-404E-BAD8-3C63F9373277}"/>
    <cellStyle name="Normal 8 3 4 3 3 3" xfId="32764" xr:uid="{7E3138F7-D4BD-49B8-BAAF-8D42005D2198}"/>
    <cellStyle name="Normal 8 3 4 3 3 4" xfId="24316" xr:uid="{717ACF97-982E-4B9F-987B-DC9ED3F02619}"/>
    <cellStyle name="Normal 8 3 4 3 3 5" xfId="15019" xr:uid="{E7891BE3-911A-4533-B95A-D99131990492}"/>
    <cellStyle name="Normal 8 3 4 3 4" xfId="36994" xr:uid="{3964927B-159F-4293-B9BD-4DEBC41D4C22}"/>
    <cellStyle name="Normal 8 3 4 3 5" xfId="28546" xr:uid="{F4D1128F-37DE-4FD7-B500-161272D71E54}"/>
    <cellStyle name="Normal 8 3 4 3 6" xfId="20099" xr:uid="{9C28E0DC-61CB-478C-80A6-1C5EEB9E3F65}"/>
    <cellStyle name="Normal 8 3 4 3 7" xfId="10802" xr:uid="{282E6A8C-5EFF-40A6-8EFE-C38C91AE927B}"/>
    <cellStyle name="Normal 8 3 4 4" xfId="1799" xr:uid="{00000000-0005-0000-0000-0000B21D0000}"/>
    <cellStyle name="Normal 8 3 4 4 2" xfId="4029" xr:uid="{00000000-0005-0000-0000-0000B31D0000}"/>
    <cellStyle name="Normal 8 3 4 4 2 2" xfId="8251" xr:uid="{00000000-0005-0000-0000-0000B41D0000}"/>
    <cellStyle name="Normal 8 3 4 4 2 2 2" xfId="43769" xr:uid="{854CE27E-970D-40A2-A7DB-A1C82A7E6487}"/>
    <cellStyle name="Normal 8 3 4 4 2 2 3" xfId="35322" xr:uid="{0B2E91BA-5192-4BD2-935B-B134F70A181E}"/>
    <cellStyle name="Normal 8 3 4 4 2 2 4" xfId="26874" xr:uid="{8CB4FC13-0BAB-4DC6-B19E-A260263C1410}"/>
    <cellStyle name="Normal 8 3 4 4 2 2 5" xfId="17577" xr:uid="{EE369D10-993A-4C7D-803F-5DE022DBEF23}"/>
    <cellStyle name="Normal 8 3 4 4 2 3" xfId="39552" xr:uid="{99DC75DB-E626-407D-B4E8-ACDFE24472D5}"/>
    <cellStyle name="Normal 8 3 4 4 2 4" xfId="31104" xr:uid="{F09AD579-C2E0-41A0-AD9D-6CEC2CCD5533}"/>
    <cellStyle name="Normal 8 3 4 4 2 5" xfId="22657" xr:uid="{1295C22C-C81C-4496-B2AC-C1F7E3C6EE19}"/>
    <cellStyle name="Normal 8 3 4 4 2 6" xfId="13360" xr:uid="{D364F8E2-EBBE-4CAC-944A-AB626A4AD16A}"/>
    <cellStyle name="Normal 8 3 4 4 3" xfId="6106" xr:uid="{00000000-0005-0000-0000-0000B51D0000}"/>
    <cellStyle name="Normal 8 3 4 4 3 2" xfId="41624" xr:uid="{A31B2BF1-F1C7-495E-9278-B0FD4F16E9B1}"/>
    <cellStyle name="Normal 8 3 4 4 3 3" xfId="33177" xr:uid="{7623761F-DB0F-428F-B23A-893527840EF3}"/>
    <cellStyle name="Normal 8 3 4 4 3 4" xfId="24729" xr:uid="{79A545B0-D08F-4C2D-97A9-DE1C467AE643}"/>
    <cellStyle name="Normal 8 3 4 4 3 5" xfId="15432" xr:uid="{5A8CABC3-EC3A-4577-9026-4012FDA3BA3A}"/>
    <cellStyle name="Normal 8 3 4 4 4" xfId="37407" xr:uid="{5FBE5D6B-72EC-4BD8-8EEC-62410CAA67C5}"/>
    <cellStyle name="Normal 8 3 4 4 5" xfId="28959" xr:uid="{0A251B74-F5BA-40CC-87F7-B5236E3FFD6F}"/>
    <cellStyle name="Normal 8 3 4 4 6" xfId="20512" xr:uid="{4BD63EE5-3176-44D6-9F9D-48F4BD4F0E9D}"/>
    <cellStyle name="Normal 8 3 4 4 7" xfId="11215" xr:uid="{5FBFE4BE-5FB5-45FF-BBAD-44ADCC1A9747}"/>
    <cellStyle name="Normal 8 3 4 5" xfId="2213" xr:uid="{00000000-0005-0000-0000-0000B61D0000}"/>
    <cellStyle name="Normal 8 3 4 5 2" xfId="4442" xr:uid="{00000000-0005-0000-0000-0000B71D0000}"/>
    <cellStyle name="Normal 8 3 4 5 2 2" xfId="8664" xr:uid="{00000000-0005-0000-0000-0000B81D0000}"/>
    <cellStyle name="Normal 8 3 4 5 2 2 2" xfId="44182" xr:uid="{18398DB8-908C-4B09-813A-CF9E4358E5AD}"/>
    <cellStyle name="Normal 8 3 4 5 2 2 3" xfId="35735" xr:uid="{EB155397-D3E7-488E-B533-DA52EF56A095}"/>
    <cellStyle name="Normal 8 3 4 5 2 2 4" xfId="27287" xr:uid="{B1413E50-F9BD-468F-9936-7820FF0BFF18}"/>
    <cellStyle name="Normal 8 3 4 5 2 2 5" xfId="17990" xr:uid="{C059B866-2506-47A7-851D-A7FC589CF6AA}"/>
    <cellStyle name="Normal 8 3 4 5 2 3" xfId="39965" xr:uid="{EE0CD658-7A92-41B1-B900-98D5AF1762DF}"/>
    <cellStyle name="Normal 8 3 4 5 2 4" xfId="31517" xr:uid="{79E76E9F-54CF-404F-BA75-7DC95BEE75DF}"/>
    <cellStyle name="Normal 8 3 4 5 2 5" xfId="23070" xr:uid="{2FD04F03-5150-45B0-9455-E065FB0DEB61}"/>
    <cellStyle name="Normal 8 3 4 5 2 6" xfId="13773" xr:uid="{92D8E025-3014-4E30-AC09-488D0F5A6711}"/>
    <cellStyle name="Normal 8 3 4 5 3" xfId="6519" xr:uid="{00000000-0005-0000-0000-0000B91D0000}"/>
    <cellStyle name="Normal 8 3 4 5 3 2" xfId="42037" xr:uid="{24283143-8BC4-4587-A351-951622A56C2E}"/>
    <cellStyle name="Normal 8 3 4 5 3 3" xfId="33590" xr:uid="{1EA10E3D-ABEF-4F62-9890-62FE6C435A0B}"/>
    <cellStyle name="Normal 8 3 4 5 3 4" xfId="25142" xr:uid="{D34CD95A-1D7D-4505-BF3C-594AD6B490B3}"/>
    <cellStyle name="Normal 8 3 4 5 3 5" xfId="15845" xr:uid="{61AC6E16-D4F3-43A4-88E0-175A4EA332F9}"/>
    <cellStyle name="Normal 8 3 4 5 4" xfId="37820" xr:uid="{DE506E69-6E97-4782-98E2-665111316602}"/>
    <cellStyle name="Normal 8 3 4 5 5" xfId="29372" xr:uid="{39E38E05-2422-4400-A0B6-FEAFE084425F}"/>
    <cellStyle name="Normal 8 3 4 5 6" xfId="20925" xr:uid="{089298BC-1C44-4211-BF13-1E8CD11744BF}"/>
    <cellStyle name="Normal 8 3 4 5 7" xfId="11628" xr:uid="{7B922557-2942-45C6-840B-E6E44EE4AA6F}"/>
    <cellStyle name="Normal 8 3 4 6" xfId="2649" xr:uid="{00000000-0005-0000-0000-0000BA1D0000}"/>
    <cellStyle name="Normal 8 3 4 6 2" xfId="6932" xr:uid="{00000000-0005-0000-0000-0000BB1D0000}"/>
    <cellStyle name="Normal 8 3 4 6 2 2" xfId="42450" xr:uid="{47853E24-8D85-462C-BABE-2522EF72F6D3}"/>
    <cellStyle name="Normal 8 3 4 6 2 3" xfId="34003" xr:uid="{E356DD09-CF4B-4DAC-9F7E-C61249050030}"/>
    <cellStyle name="Normal 8 3 4 6 2 4" xfId="25555" xr:uid="{1FC6DA8B-81FA-42BF-B813-A988652B98AE}"/>
    <cellStyle name="Normal 8 3 4 6 2 5" xfId="16258" xr:uid="{64F2D89A-3C56-4257-87FC-8924625AD3C2}"/>
    <cellStyle name="Normal 8 3 4 6 3" xfId="38233" xr:uid="{B88F6170-C242-4F0F-867F-913398410283}"/>
    <cellStyle name="Normal 8 3 4 6 4" xfId="29785" xr:uid="{DFB5A8F0-2811-43F1-80B4-2B3139B53607}"/>
    <cellStyle name="Normal 8 3 4 6 5" xfId="21338" xr:uid="{AC7526AD-DD74-44DD-8D91-F945DED23839}"/>
    <cellStyle name="Normal 8 3 4 6 6" xfId="12041" xr:uid="{9258F550-4404-45D1-89D2-BF3564F41386}"/>
    <cellStyle name="Normal 8 3 4 7" xfId="4867" xr:uid="{00000000-0005-0000-0000-0000BC1D0000}"/>
    <cellStyle name="Normal 8 3 4 7 2" xfId="40385" xr:uid="{BFEAE944-DE66-46A4-9CDE-1F5741F58BB1}"/>
    <cellStyle name="Normal 8 3 4 7 3" xfId="31938" xr:uid="{1A504C7A-43B5-4118-A6C2-3DB53FF6866B}"/>
    <cellStyle name="Normal 8 3 4 7 4" xfId="23490" xr:uid="{491092A9-2B76-426E-BA06-3F58F6BE1660}"/>
    <cellStyle name="Normal 8 3 4 7 5" xfId="14193" xr:uid="{64D56E82-A177-42C5-B0F1-CB90AACA8F04}"/>
    <cellStyle name="Normal 8 3 4 8" xfId="8981" xr:uid="{BEE184E9-ECE6-4107-B29A-CC8BC7F28FA3}"/>
    <cellStyle name="Normal 8 3 4 8 2" xfId="36168" xr:uid="{4CE01B42-4D63-4ECC-ACDA-C17EDA68BDF8}"/>
    <cellStyle name="Normal 8 3 4 8 3" xfId="18304" xr:uid="{9383F344-C15C-4ADE-A0E4-96DA409EBE6D}"/>
    <cellStyle name="Normal 8 3 4 9" xfId="27720" xr:uid="{016D076E-76E3-4428-9525-F73300EFAF69}"/>
    <cellStyle name="Normal 8 3 5" xfId="962" xr:uid="{00000000-0005-0000-0000-0000BD1D0000}"/>
    <cellStyle name="Normal 8 3 5 2" xfId="3196" xr:uid="{00000000-0005-0000-0000-0000BE1D0000}"/>
    <cellStyle name="Normal 8 3 5 2 2" xfId="7418" xr:uid="{00000000-0005-0000-0000-0000BF1D0000}"/>
    <cellStyle name="Normal 8 3 5 2 2 2" xfId="42936" xr:uid="{FBB8F44A-00B4-4FB0-AF8A-0D9C9A63AF34}"/>
    <cellStyle name="Normal 8 3 5 2 2 3" xfId="34489" xr:uid="{D5DBB095-26AA-4B53-8E16-2D18DFF34F1E}"/>
    <cellStyle name="Normal 8 3 5 2 2 4" xfId="26041" xr:uid="{96E49709-961D-4F5D-871D-E7A259D71E44}"/>
    <cellStyle name="Normal 8 3 5 2 2 5" xfId="16744" xr:uid="{C9681C4D-A84B-48CD-9A84-B6AA7070482B}"/>
    <cellStyle name="Normal 8 3 5 2 3" xfId="38719" xr:uid="{57B96C3D-2131-4423-8702-51DA221F7488}"/>
    <cellStyle name="Normal 8 3 5 2 4" xfId="30271" xr:uid="{8ED6450C-B6D3-4D19-BFD0-9537967DC90A}"/>
    <cellStyle name="Normal 8 3 5 2 5" xfId="21824" xr:uid="{7789A6D1-EBDF-4A9F-A01F-731CE224523D}"/>
    <cellStyle name="Normal 8 3 5 2 6" xfId="12527" xr:uid="{E2D75B8D-FB58-4C67-841D-4944196F2E43}"/>
    <cellStyle name="Normal 8 3 5 3" xfId="5273" xr:uid="{00000000-0005-0000-0000-0000C01D0000}"/>
    <cellStyle name="Normal 8 3 5 3 2" xfId="40791" xr:uid="{42EBA2DB-2FEF-4C46-AE07-F52737FF1B2D}"/>
    <cellStyle name="Normal 8 3 5 3 3" xfId="32344" xr:uid="{DAE0BA7C-E841-482B-A608-C67B9BBB3872}"/>
    <cellStyle name="Normal 8 3 5 3 4" xfId="23896" xr:uid="{9BA5A2BF-B789-4564-B57D-84445BFB9C5C}"/>
    <cellStyle name="Normal 8 3 5 3 5" xfId="14599" xr:uid="{D3B2C1EB-ACFE-40D1-A735-74BA4CFD400E}"/>
    <cellStyle name="Normal 8 3 5 4" xfId="9198" xr:uid="{FA5A5C79-C3AC-4E17-9344-90C4E411EE0B}"/>
    <cellStyle name="Normal 8 3 5 4 2" xfId="36574" xr:uid="{B483CA62-F184-42E5-A08A-693CDF679720}"/>
    <cellStyle name="Normal 8 3 5 4 3" xfId="18512" xr:uid="{F0D6ECF4-5A56-4E91-AA43-BF6FB81381D6}"/>
    <cellStyle name="Normal 8 3 5 5" xfId="28126" xr:uid="{E71E7521-A695-400E-997F-0923713E239E}"/>
    <cellStyle name="Normal 8 3 5 6" xfId="19679" xr:uid="{725A7F88-BE42-4017-AAA2-C94D205B4AFC}"/>
    <cellStyle name="Normal 8 3 5 7" xfId="10382" xr:uid="{66B81501-C69A-482A-8BDC-B5CBACF19A55}"/>
    <cellStyle name="Normal 8 3 6" xfId="1379" xr:uid="{00000000-0005-0000-0000-0000C11D0000}"/>
    <cellStyle name="Normal 8 3 6 2" xfId="3609" xr:uid="{00000000-0005-0000-0000-0000C21D0000}"/>
    <cellStyle name="Normal 8 3 6 2 2" xfId="7831" xr:uid="{00000000-0005-0000-0000-0000C31D0000}"/>
    <cellStyle name="Normal 8 3 6 2 2 2" xfId="43349" xr:uid="{896688BB-8665-422E-9ACE-149E931D6B31}"/>
    <cellStyle name="Normal 8 3 6 2 2 3" xfId="34902" xr:uid="{6CB3A68D-7957-429A-8470-0BD48B1C9E94}"/>
    <cellStyle name="Normal 8 3 6 2 2 4" xfId="26454" xr:uid="{50CE6C98-2ADE-442D-9767-0BEAE80598F8}"/>
    <cellStyle name="Normal 8 3 6 2 2 5" xfId="17157" xr:uid="{87B9A953-269F-45AA-9264-4B3F32579560}"/>
    <cellStyle name="Normal 8 3 6 2 3" xfId="39132" xr:uid="{CAB78C33-97AA-41FC-BF6B-6A3CBEE60333}"/>
    <cellStyle name="Normal 8 3 6 2 4" xfId="30684" xr:uid="{387B9D98-0406-4A32-BD42-14F53A7D09DE}"/>
    <cellStyle name="Normal 8 3 6 2 5" xfId="22237" xr:uid="{E6856761-4D5B-4AA9-9E38-C55048AC8209}"/>
    <cellStyle name="Normal 8 3 6 2 6" xfId="12940" xr:uid="{7B0C24B4-5015-44B1-BD35-26909A92EAEF}"/>
    <cellStyle name="Normal 8 3 6 3" xfId="5686" xr:uid="{00000000-0005-0000-0000-0000C41D0000}"/>
    <cellStyle name="Normal 8 3 6 3 2" xfId="41204" xr:uid="{E92140E0-46A1-4811-B492-F20DA8ACBE63}"/>
    <cellStyle name="Normal 8 3 6 3 3" xfId="32757" xr:uid="{9AE816E4-95F6-426E-83D0-09921FB39270}"/>
    <cellStyle name="Normal 8 3 6 3 4" xfId="24309" xr:uid="{3A297DAC-DBF6-49FA-AAB4-41CF83DA0F61}"/>
    <cellStyle name="Normal 8 3 6 3 5" xfId="15012" xr:uid="{509EA700-8BD2-45AC-A2C2-4DDE86B4456C}"/>
    <cellStyle name="Normal 8 3 6 4" xfId="36987" xr:uid="{83F3BD34-02A9-4F47-A921-E4578ED40D9E}"/>
    <cellStyle name="Normal 8 3 6 5" xfId="28539" xr:uid="{0CE0A5F2-F4F2-43CF-AF68-1D7A6B56BFC0}"/>
    <cellStyle name="Normal 8 3 6 6" xfId="20092" xr:uid="{D3A8F757-154C-47C3-8445-0E720F9635AB}"/>
    <cellStyle name="Normal 8 3 6 7" xfId="10795" xr:uid="{23D205B0-92D3-4FFB-9AAB-46EB7230F9B3}"/>
    <cellStyle name="Normal 8 3 7" xfId="1792" xr:uid="{00000000-0005-0000-0000-0000C51D0000}"/>
    <cellStyle name="Normal 8 3 7 2" xfId="4022" xr:uid="{00000000-0005-0000-0000-0000C61D0000}"/>
    <cellStyle name="Normal 8 3 7 2 2" xfId="8244" xr:uid="{00000000-0005-0000-0000-0000C71D0000}"/>
    <cellStyle name="Normal 8 3 7 2 2 2" xfId="43762" xr:uid="{06BC6579-4B09-4725-B2B8-9DA008BB79B3}"/>
    <cellStyle name="Normal 8 3 7 2 2 3" xfId="35315" xr:uid="{68E231A3-AAD5-4C8A-9BEA-EABB91A813E2}"/>
    <cellStyle name="Normal 8 3 7 2 2 4" xfId="26867" xr:uid="{0AE77B94-9467-49B5-A385-8E9AC4F75257}"/>
    <cellStyle name="Normal 8 3 7 2 2 5" xfId="17570" xr:uid="{09E7771A-FDC3-450A-AF96-AD4304583770}"/>
    <cellStyle name="Normal 8 3 7 2 3" xfId="39545" xr:uid="{18E5F807-A316-4DB5-8614-1C28569E5DF6}"/>
    <cellStyle name="Normal 8 3 7 2 4" xfId="31097" xr:uid="{56DDBC5F-EB30-43E4-902F-FC77D9BAA62E}"/>
    <cellStyle name="Normal 8 3 7 2 5" xfId="22650" xr:uid="{11F66371-110F-4F6A-931A-B0A650240435}"/>
    <cellStyle name="Normal 8 3 7 2 6" xfId="13353" xr:uid="{2F5BD235-7967-47DE-B0EB-EECD4FD78486}"/>
    <cellStyle name="Normal 8 3 7 3" xfId="6099" xr:uid="{00000000-0005-0000-0000-0000C81D0000}"/>
    <cellStyle name="Normal 8 3 7 3 2" xfId="41617" xr:uid="{455EFF8B-50D8-4D6B-A8CF-41BFEA3E1B44}"/>
    <cellStyle name="Normal 8 3 7 3 3" xfId="33170" xr:uid="{5048B0BA-DD12-4893-9BF6-9C01B5FA9350}"/>
    <cellStyle name="Normal 8 3 7 3 4" xfId="24722" xr:uid="{7A6A0D38-90B2-4E91-86E0-C2A67C2E7916}"/>
    <cellStyle name="Normal 8 3 7 3 5" xfId="15425" xr:uid="{AE64052D-83EB-4840-9044-29967CDD2435}"/>
    <cellStyle name="Normal 8 3 7 4" xfId="37400" xr:uid="{CE5F69CE-32F7-459C-B40B-481E01D9056F}"/>
    <cellStyle name="Normal 8 3 7 5" xfId="28952" xr:uid="{3A9E8B38-6115-443D-B0F9-529B2582C5B6}"/>
    <cellStyle name="Normal 8 3 7 6" xfId="20505" xr:uid="{74A005EF-5134-4AD4-B9E1-B83DAAD92B40}"/>
    <cellStyle name="Normal 8 3 7 7" xfId="11208" xr:uid="{DFBDDF2E-9175-433F-90E1-CA47925CDC0B}"/>
    <cellStyle name="Normal 8 3 8" xfId="2206" xr:uid="{00000000-0005-0000-0000-0000C91D0000}"/>
    <cellStyle name="Normal 8 3 8 2" xfId="4435" xr:uid="{00000000-0005-0000-0000-0000CA1D0000}"/>
    <cellStyle name="Normal 8 3 8 2 2" xfId="8657" xr:uid="{00000000-0005-0000-0000-0000CB1D0000}"/>
    <cellStyle name="Normal 8 3 8 2 2 2" xfId="44175" xr:uid="{C85752A9-FAE0-4D80-931D-31E6EBCB5694}"/>
    <cellStyle name="Normal 8 3 8 2 2 3" xfId="35728" xr:uid="{DA38342E-3942-44D8-9F6A-67249AAA2666}"/>
    <cellStyle name="Normal 8 3 8 2 2 4" xfId="27280" xr:uid="{4DD5783D-98AC-4F82-9761-4379379619B4}"/>
    <cellStyle name="Normal 8 3 8 2 2 5" xfId="17983" xr:uid="{F0007E08-E886-4A9C-886C-D8F0B8F09030}"/>
    <cellStyle name="Normal 8 3 8 2 3" xfId="39958" xr:uid="{8DD04015-E3C4-4605-A435-0C4959FCEB73}"/>
    <cellStyle name="Normal 8 3 8 2 4" xfId="31510" xr:uid="{013A81A1-757B-4CED-850D-DC61DDBC7334}"/>
    <cellStyle name="Normal 8 3 8 2 5" xfId="23063" xr:uid="{5D614ACB-41D6-4589-824E-6CC461B39811}"/>
    <cellStyle name="Normal 8 3 8 2 6" xfId="13766" xr:uid="{F0584FF6-0904-4B30-AE7D-6D81CAC6EFDA}"/>
    <cellStyle name="Normal 8 3 8 3" xfId="6512" xr:uid="{00000000-0005-0000-0000-0000CC1D0000}"/>
    <cellStyle name="Normal 8 3 8 3 2" xfId="42030" xr:uid="{4796FCB5-CA50-4E98-B5C5-2457BE7DF937}"/>
    <cellStyle name="Normal 8 3 8 3 3" xfId="33583" xr:uid="{80038A4B-F006-4B92-B987-A44BD17329E6}"/>
    <cellStyle name="Normal 8 3 8 3 4" xfId="25135" xr:uid="{1A0EF1E3-F3A9-4204-9039-5828F32D5FDC}"/>
    <cellStyle name="Normal 8 3 8 3 5" xfId="15838" xr:uid="{B32B53C1-3AFC-4CFB-9A3D-5706797B06DB}"/>
    <cellStyle name="Normal 8 3 8 4" xfId="37813" xr:uid="{FADD1A5F-6B83-4E8C-8E8B-A2DEFBEF3CC0}"/>
    <cellStyle name="Normal 8 3 8 5" xfId="29365" xr:uid="{C766BAA2-9E4F-4342-8DE9-6C1570A7A83C}"/>
    <cellStyle name="Normal 8 3 8 6" xfId="20918" xr:uid="{19AD0EC9-26B9-4E71-A013-E9B5EC6330D5}"/>
    <cellStyle name="Normal 8 3 8 7" xfId="11621" xr:uid="{98992C1F-EC98-4493-AA09-F107D92AB7DF}"/>
    <cellStyle name="Normal 8 3 9" xfId="2642" xr:uid="{00000000-0005-0000-0000-0000CD1D0000}"/>
    <cellStyle name="Normal 8 3 9 2" xfId="6925" xr:uid="{00000000-0005-0000-0000-0000CE1D0000}"/>
    <cellStyle name="Normal 8 3 9 2 2" xfId="42443" xr:uid="{FF87259E-82A6-4782-9F74-F6F299170687}"/>
    <cellStyle name="Normal 8 3 9 2 3" xfId="33996" xr:uid="{AEB70B27-115A-47AA-9D19-F9F60C322DB6}"/>
    <cellStyle name="Normal 8 3 9 2 4" xfId="25548" xr:uid="{9ABDC4D3-845E-46F7-8953-DF162622F6B4}"/>
    <cellStyle name="Normal 8 3 9 2 5" xfId="16251" xr:uid="{D419B503-8DA1-4FDF-93AC-A0D188E6E2D6}"/>
    <cellStyle name="Normal 8 3 9 3" xfId="38226" xr:uid="{3188E04D-2A55-44A6-A936-C196F4F5E47C}"/>
    <cellStyle name="Normal 8 3 9 4" xfId="29778" xr:uid="{D8FC0D79-E467-48F8-90BA-96B06327C879}"/>
    <cellStyle name="Normal 8 3 9 5" xfId="21331" xr:uid="{D00C571A-7F04-43EB-A370-C2E9040CFF07}"/>
    <cellStyle name="Normal 8 3 9 6" xfId="12034" xr:uid="{C4D6B60E-BE9D-4E12-B466-484C88AB1472}"/>
    <cellStyle name="Normal 8 4" xfId="503" xr:uid="{00000000-0005-0000-0000-0000CF1D0000}"/>
    <cellStyle name="Normal 8 4 10" xfId="8834" xr:uid="{78848A4E-06FA-4050-B553-A3A7DEA1B047}"/>
    <cellStyle name="Normal 8 4 10 2" xfId="36169" xr:uid="{63C4769B-7722-440A-AB2F-72912FE76C3A}"/>
    <cellStyle name="Normal 8 4 10 3" xfId="18157" xr:uid="{08DB4770-49FF-41C8-AC4B-89C55470E7A7}"/>
    <cellStyle name="Normal 8 4 11" xfId="27721" xr:uid="{4732DFA9-A7EA-4C30-90FF-02D45440782E}"/>
    <cellStyle name="Normal 8 4 12" xfId="19274" xr:uid="{0BDA5008-9C38-400B-9AC4-EAEAA1AC15B8}"/>
    <cellStyle name="Normal 8 4 13" xfId="9977" xr:uid="{9A2ABBAE-A3FC-4C74-A7A3-EA957227FCBE}"/>
    <cellStyle name="Normal 8 4 2" xfId="504" xr:uid="{00000000-0005-0000-0000-0000D01D0000}"/>
    <cellStyle name="Normal 8 4 2 10" xfId="27722" xr:uid="{FBBA9828-1508-4418-B3EB-512286070F7E}"/>
    <cellStyle name="Normal 8 4 2 11" xfId="19275" xr:uid="{06BDB3CA-23F4-4670-84B5-F57898C4CA09}"/>
    <cellStyle name="Normal 8 4 2 12" xfId="9978" xr:uid="{8C9B800D-9F3E-4C86-AE52-8801A3881EE3}"/>
    <cellStyle name="Normal 8 4 2 2" xfId="505" xr:uid="{00000000-0005-0000-0000-0000D11D0000}"/>
    <cellStyle name="Normal 8 4 2 2 10" xfId="19276" xr:uid="{09CCC69A-ABD7-4806-A305-F570BF579CB5}"/>
    <cellStyle name="Normal 8 4 2 2 11" xfId="9979" xr:uid="{6F6A48C5-71FA-4478-9264-46CB966B48F6}"/>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42946" xr:uid="{BCD72B1B-2717-4961-AE1B-60C9FEB56624}"/>
    <cellStyle name="Normal 8 4 2 2 2 2 2 3" xfId="34499" xr:uid="{C0093302-3B48-420B-88E9-409FDF8F7729}"/>
    <cellStyle name="Normal 8 4 2 2 2 2 2 4" xfId="26051" xr:uid="{2D31F32B-5C7F-4521-B2AA-76DF95920FE5}"/>
    <cellStyle name="Normal 8 4 2 2 2 2 2 5" xfId="16754" xr:uid="{7141ED5A-8FF1-4C7F-8BE7-3053C9493B3E}"/>
    <cellStyle name="Normal 8 4 2 2 2 2 3" xfId="38729" xr:uid="{97D1095A-138E-4E6B-B830-809B0A58A5AB}"/>
    <cellStyle name="Normal 8 4 2 2 2 2 4" xfId="30281" xr:uid="{5CEF898A-4428-4D88-BAEF-00BDD23AC8EA}"/>
    <cellStyle name="Normal 8 4 2 2 2 2 5" xfId="21834" xr:uid="{ABD11DFF-36AC-4792-9D11-3967EDB48EAE}"/>
    <cellStyle name="Normal 8 4 2 2 2 2 6" xfId="12537" xr:uid="{1E9AB3F5-9FA2-4358-9FD3-F3528F0D099F}"/>
    <cellStyle name="Normal 8 4 2 2 2 3" xfId="5283" xr:uid="{00000000-0005-0000-0000-0000D51D0000}"/>
    <cellStyle name="Normal 8 4 2 2 2 3 2" xfId="40801" xr:uid="{06AC6306-4D3C-4AF2-8D58-B5752DC30016}"/>
    <cellStyle name="Normal 8 4 2 2 2 3 3" xfId="32354" xr:uid="{808354BD-DB3D-4A7B-A66C-494AE1E0E9D3}"/>
    <cellStyle name="Normal 8 4 2 2 2 3 4" xfId="23906" xr:uid="{6E6D58CD-7E23-430D-80EF-BA0D039C639D}"/>
    <cellStyle name="Normal 8 4 2 2 2 3 5" xfId="14609" xr:uid="{4A8DC5C4-AAF3-4270-A3F6-41833F9C5F9F}"/>
    <cellStyle name="Normal 8 4 2 2 2 4" xfId="9569" xr:uid="{F21122F8-27BB-4D46-891E-281F736F5353}"/>
    <cellStyle name="Normal 8 4 2 2 2 4 2" xfId="36584" xr:uid="{1D96661D-AB78-4C50-8FA4-55E0448CEA94}"/>
    <cellStyle name="Normal 8 4 2 2 2 4 3" xfId="18882" xr:uid="{07349353-FD4E-4B5D-A5FC-E718D38B54C6}"/>
    <cellStyle name="Normal 8 4 2 2 2 5" xfId="28136" xr:uid="{3C4FFA3F-B6D0-40E9-BDD3-AD2E1790EBF4}"/>
    <cellStyle name="Normal 8 4 2 2 2 6" xfId="19689" xr:uid="{E5DC1F5F-7BD7-4C9A-9CC4-7A4E1E3F0554}"/>
    <cellStyle name="Normal 8 4 2 2 2 7" xfId="10392" xr:uid="{D3B2A1B0-E06F-4F1C-826F-36BEEF3E5F60}"/>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43359" xr:uid="{0E21DED7-DC41-48E3-84E1-30448956C713}"/>
    <cellStyle name="Normal 8 4 2 2 3 2 2 3" xfId="34912" xr:uid="{1167C63E-108D-4121-8122-C199F467AF98}"/>
    <cellStyle name="Normal 8 4 2 2 3 2 2 4" xfId="26464" xr:uid="{4BA9B259-61D7-4874-9779-4A2F04EC5583}"/>
    <cellStyle name="Normal 8 4 2 2 3 2 2 5" xfId="17167" xr:uid="{D4C5D061-5FAC-48BB-9A18-8D807AFC38F0}"/>
    <cellStyle name="Normal 8 4 2 2 3 2 3" xfId="39142" xr:uid="{8C620208-104A-4755-A2F6-1FA30679F65A}"/>
    <cellStyle name="Normal 8 4 2 2 3 2 4" xfId="30694" xr:uid="{E7E8F13C-9658-4E51-A57E-5D18FE2445F8}"/>
    <cellStyle name="Normal 8 4 2 2 3 2 5" xfId="22247" xr:uid="{88A24ACA-FDAB-4FDD-AD95-B7239C136206}"/>
    <cellStyle name="Normal 8 4 2 2 3 2 6" xfId="12950" xr:uid="{E42564F7-B74E-4E87-9C2C-C7C6E0AC8EDD}"/>
    <cellStyle name="Normal 8 4 2 2 3 3" xfId="5696" xr:uid="{00000000-0005-0000-0000-0000D91D0000}"/>
    <cellStyle name="Normal 8 4 2 2 3 3 2" xfId="41214" xr:uid="{BB8170A0-5728-4C1D-B34C-3DB1A2277D6B}"/>
    <cellStyle name="Normal 8 4 2 2 3 3 3" xfId="32767" xr:uid="{AA157980-2BFF-4ADF-BAAD-2DA9796D8778}"/>
    <cellStyle name="Normal 8 4 2 2 3 3 4" xfId="24319" xr:uid="{77C085D5-DA29-4842-90D7-D0470DCE44A4}"/>
    <cellStyle name="Normal 8 4 2 2 3 3 5" xfId="15022" xr:uid="{78126734-FDF8-40FA-A8C1-9346DF5EAAC6}"/>
    <cellStyle name="Normal 8 4 2 2 3 4" xfId="36997" xr:uid="{7D66EF75-CC12-43D5-B85E-243408B8E78C}"/>
    <cellStyle name="Normal 8 4 2 2 3 5" xfId="28549" xr:uid="{F0EE84F8-B735-4F25-AA4F-B437D3120681}"/>
    <cellStyle name="Normal 8 4 2 2 3 6" xfId="20102" xr:uid="{81B48967-144D-47AF-B59D-2B4BDBA93B89}"/>
    <cellStyle name="Normal 8 4 2 2 3 7" xfId="10805" xr:uid="{B71F7167-9946-4AE9-9774-4F8A6235B3FF}"/>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43772" xr:uid="{BC1A547F-AD4F-4ACA-A41F-08A59A4FB007}"/>
    <cellStyle name="Normal 8 4 2 2 4 2 2 3" xfId="35325" xr:uid="{96E48142-4A9C-4407-9ABC-97158FA085B3}"/>
    <cellStyle name="Normal 8 4 2 2 4 2 2 4" xfId="26877" xr:uid="{E51C9589-3F82-4A3C-B441-C971209E5186}"/>
    <cellStyle name="Normal 8 4 2 2 4 2 2 5" xfId="17580" xr:uid="{F3B094DF-1063-4376-86E3-E602B09791C1}"/>
    <cellStyle name="Normal 8 4 2 2 4 2 3" xfId="39555" xr:uid="{0742E67A-AB92-4638-B775-2A44BCD9CBB1}"/>
    <cellStyle name="Normal 8 4 2 2 4 2 4" xfId="31107" xr:uid="{A1685B3C-9AB4-4252-9CD6-BD7410BD7393}"/>
    <cellStyle name="Normal 8 4 2 2 4 2 5" xfId="22660" xr:uid="{9106B331-49D6-4AD0-B2C6-0D104A7A2C31}"/>
    <cellStyle name="Normal 8 4 2 2 4 2 6" xfId="13363" xr:uid="{E6CDB83D-5709-4B57-A1CC-350D523920EC}"/>
    <cellStyle name="Normal 8 4 2 2 4 3" xfId="6109" xr:uid="{00000000-0005-0000-0000-0000DD1D0000}"/>
    <cellStyle name="Normal 8 4 2 2 4 3 2" xfId="41627" xr:uid="{F5688EAF-996A-4AD3-8F2A-7363FBC2BCC5}"/>
    <cellStyle name="Normal 8 4 2 2 4 3 3" xfId="33180" xr:uid="{20347CB0-8FB1-4474-8DE0-F65786661F9B}"/>
    <cellStyle name="Normal 8 4 2 2 4 3 4" xfId="24732" xr:uid="{9082AD69-C380-4356-9694-2FE807776CC8}"/>
    <cellStyle name="Normal 8 4 2 2 4 3 5" xfId="15435" xr:uid="{FA3A6745-19FB-484E-8ED4-4B19D3B100AE}"/>
    <cellStyle name="Normal 8 4 2 2 4 4" xfId="37410" xr:uid="{43D7418A-39C5-417E-8276-E1AB54656788}"/>
    <cellStyle name="Normal 8 4 2 2 4 5" xfId="28962" xr:uid="{257A5C09-BC1A-4065-9E36-B115E17D6B6E}"/>
    <cellStyle name="Normal 8 4 2 2 4 6" xfId="20515" xr:uid="{2341040F-AD9C-4BD6-985D-ABF48EBAB13C}"/>
    <cellStyle name="Normal 8 4 2 2 4 7" xfId="11218" xr:uid="{D71FA614-EBB0-4674-BD96-37C3994F483C}"/>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44185" xr:uid="{CE1EDB72-A03A-4491-BA84-086BC5E10FEF}"/>
    <cellStyle name="Normal 8 4 2 2 5 2 2 3" xfId="35738" xr:uid="{6365C2A2-E2B9-477A-8D8F-7F5E273E057F}"/>
    <cellStyle name="Normal 8 4 2 2 5 2 2 4" xfId="27290" xr:uid="{699C73C9-A7B9-4BAA-8D9B-6158C3919A7F}"/>
    <cellStyle name="Normal 8 4 2 2 5 2 2 5" xfId="17993" xr:uid="{62CF7AA1-1E34-4854-B2B9-B9E12462A5BE}"/>
    <cellStyle name="Normal 8 4 2 2 5 2 3" xfId="39968" xr:uid="{06F6521F-F49B-4791-A0E7-FCF157CBFAAC}"/>
    <cellStyle name="Normal 8 4 2 2 5 2 4" xfId="31520" xr:uid="{268BFA66-966E-4C1D-8868-F9AA2C75A4A9}"/>
    <cellStyle name="Normal 8 4 2 2 5 2 5" xfId="23073" xr:uid="{F5E87FE4-4A74-448B-8A07-5119D72164B4}"/>
    <cellStyle name="Normal 8 4 2 2 5 2 6" xfId="13776" xr:uid="{972F961F-CB29-44E7-A218-BC025A7695A8}"/>
    <cellStyle name="Normal 8 4 2 2 5 3" xfId="6522" xr:uid="{00000000-0005-0000-0000-0000E11D0000}"/>
    <cellStyle name="Normal 8 4 2 2 5 3 2" xfId="42040" xr:uid="{6DF88479-6DA5-45E7-B810-D11E6BAE5E5F}"/>
    <cellStyle name="Normal 8 4 2 2 5 3 3" xfId="33593" xr:uid="{A3F75E54-3EEF-446E-A0E8-7D5D0F28C2A7}"/>
    <cellStyle name="Normal 8 4 2 2 5 3 4" xfId="25145" xr:uid="{FEB92234-7C2E-41E5-B0B7-12EA727B1EDD}"/>
    <cellStyle name="Normal 8 4 2 2 5 3 5" xfId="15848" xr:uid="{215A4EDA-736F-4F75-B3FF-98561CE9D0E0}"/>
    <cellStyle name="Normal 8 4 2 2 5 4" xfId="37823" xr:uid="{54F76BB1-FCB7-47E8-8F8F-B0A06E40BA23}"/>
    <cellStyle name="Normal 8 4 2 2 5 5" xfId="29375" xr:uid="{B431EC1C-4B20-4264-86C8-E8B90ED08E35}"/>
    <cellStyle name="Normal 8 4 2 2 5 6" xfId="20928" xr:uid="{91199FA7-878F-4B94-9FFA-E1F8AA6B3F9F}"/>
    <cellStyle name="Normal 8 4 2 2 5 7" xfId="11631" xr:uid="{248F9BBE-9CB1-4696-9DCF-B9577101309C}"/>
    <cellStyle name="Normal 8 4 2 2 6" xfId="2652" xr:uid="{00000000-0005-0000-0000-0000E21D0000}"/>
    <cellStyle name="Normal 8 4 2 2 6 2" xfId="6935" xr:uid="{00000000-0005-0000-0000-0000E31D0000}"/>
    <cellStyle name="Normal 8 4 2 2 6 2 2" xfId="42453" xr:uid="{2E65CBD4-EE72-4129-80C8-1A6AAE3948D0}"/>
    <cellStyle name="Normal 8 4 2 2 6 2 3" xfId="34006" xr:uid="{D572FDA2-2B50-49A3-BC30-17645DD1149B}"/>
    <cellStyle name="Normal 8 4 2 2 6 2 4" xfId="25558" xr:uid="{3637123E-2F97-4F8D-9C6B-DF160F4F2430}"/>
    <cellStyle name="Normal 8 4 2 2 6 2 5" xfId="16261" xr:uid="{DD5B8D35-6A23-477F-A550-7E24578F6EC2}"/>
    <cellStyle name="Normal 8 4 2 2 6 3" xfId="38236" xr:uid="{765E010F-EA56-42D2-9CF9-FD3E0566F83E}"/>
    <cellStyle name="Normal 8 4 2 2 6 4" xfId="29788" xr:uid="{7098A1CB-7C0C-4815-A80E-C570DB44A614}"/>
    <cellStyle name="Normal 8 4 2 2 6 5" xfId="21341" xr:uid="{7EBC996D-EFAF-4DD5-8A34-E10014F00657}"/>
    <cellStyle name="Normal 8 4 2 2 6 6" xfId="12044" xr:uid="{41AB306C-C0AB-43E4-96D0-D18DA8FFD514}"/>
    <cellStyle name="Normal 8 4 2 2 7" xfId="4870" xr:uid="{00000000-0005-0000-0000-0000E41D0000}"/>
    <cellStyle name="Normal 8 4 2 2 7 2" xfId="40388" xr:uid="{53C03DBA-83CE-4E6C-97B9-938C50A64716}"/>
    <cellStyle name="Normal 8 4 2 2 7 3" xfId="31941" xr:uid="{FADC017D-33A8-4168-8397-E80258D20259}"/>
    <cellStyle name="Normal 8 4 2 2 7 4" xfId="23493" xr:uid="{86FCF629-CA71-4AE2-9F36-287F5C08A939}"/>
    <cellStyle name="Normal 8 4 2 2 7 5" xfId="14196" xr:uid="{7D57E2D1-A69A-4398-8AC0-28938C65BE2E}"/>
    <cellStyle name="Normal 8 4 2 2 8" xfId="9144" xr:uid="{EF6B0978-3DE8-47DC-990C-0B47AAC8F1DC}"/>
    <cellStyle name="Normal 8 4 2 2 8 2" xfId="36171" xr:uid="{6AF88B0C-70D3-4E26-AFB6-23FA67EBF127}"/>
    <cellStyle name="Normal 8 4 2 2 8 3" xfId="18467" xr:uid="{2EDDF906-48B3-42E4-B661-B8A19B62F7AC}"/>
    <cellStyle name="Normal 8 4 2 2 9" xfId="27723" xr:uid="{2D92B7F6-7B55-43DC-932A-A5749036C9D4}"/>
    <cellStyle name="Normal 8 4 2 3" xfId="971" xr:uid="{00000000-0005-0000-0000-0000E51D0000}"/>
    <cellStyle name="Normal 8 4 2 3 2" xfId="3205" xr:uid="{00000000-0005-0000-0000-0000E61D0000}"/>
    <cellStyle name="Normal 8 4 2 3 2 2" xfId="7427" xr:uid="{00000000-0005-0000-0000-0000E71D0000}"/>
    <cellStyle name="Normal 8 4 2 3 2 2 2" xfId="42945" xr:uid="{07E4AB34-A65A-461C-B394-59871E7A00F1}"/>
    <cellStyle name="Normal 8 4 2 3 2 2 3" xfId="34498" xr:uid="{9A1A1C47-5535-4C6F-BAA8-96DB0D8A9E6C}"/>
    <cellStyle name="Normal 8 4 2 3 2 2 4" xfId="26050" xr:uid="{2CF97282-186D-4DAA-B21B-592B64A7AADF}"/>
    <cellStyle name="Normal 8 4 2 3 2 2 5" xfId="16753" xr:uid="{DE1BC518-AE3A-4840-9B56-3E61B0DE59CC}"/>
    <cellStyle name="Normal 8 4 2 3 2 3" xfId="38728" xr:uid="{2B61CE0A-B3F4-4557-9010-DE3552160F61}"/>
    <cellStyle name="Normal 8 4 2 3 2 4" xfId="30280" xr:uid="{1992D0E1-F2F4-4F2F-AA18-5A2565C46872}"/>
    <cellStyle name="Normal 8 4 2 3 2 5" xfId="21833" xr:uid="{112A2D36-3801-483B-AD47-C490F264E40B}"/>
    <cellStyle name="Normal 8 4 2 3 2 6" xfId="12536" xr:uid="{2B37EF7A-791F-42AB-AE95-25778A79B170}"/>
    <cellStyle name="Normal 8 4 2 3 3" xfId="5282" xr:uid="{00000000-0005-0000-0000-0000E81D0000}"/>
    <cellStyle name="Normal 8 4 2 3 3 2" xfId="40800" xr:uid="{AFBFA2E5-2634-41E5-8BBA-BE5E795B6734}"/>
    <cellStyle name="Normal 8 4 2 3 3 3" xfId="32353" xr:uid="{268EFF8D-9350-4103-AAFF-A21515E5ABC5}"/>
    <cellStyle name="Normal 8 4 2 3 3 4" xfId="23905" xr:uid="{E64E47DF-CB92-4AF3-9A26-E935AD657DE6}"/>
    <cellStyle name="Normal 8 4 2 3 3 5" xfId="14608" xr:uid="{1929297C-8C08-4AC9-8075-642DF68385BC}"/>
    <cellStyle name="Normal 8 4 2 3 4" xfId="9362" xr:uid="{206856BB-FDDB-4012-ABFE-5E991E477A14}"/>
    <cellStyle name="Normal 8 4 2 3 4 2" xfId="36583" xr:uid="{3E819857-BF45-4E32-9D94-EABE994DA02A}"/>
    <cellStyle name="Normal 8 4 2 3 4 3" xfId="18675" xr:uid="{1FEBE7F1-A348-40AB-9DDD-92B6523761BE}"/>
    <cellStyle name="Normal 8 4 2 3 5" xfId="28135" xr:uid="{CDABBB52-F740-4332-BE60-C3358E1ADF9B}"/>
    <cellStyle name="Normal 8 4 2 3 6" xfId="19688" xr:uid="{1193567E-B695-400A-9BF3-40410E3AF8C1}"/>
    <cellStyle name="Normal 8 4 2 3 7" xfId="10391" xr:uid="{ADEBAE86-B686-4190-A99C-51EEF777BE44}"/>
    <cellStyle name="Normal 8 4 2 4" xfId="1388" xr:uid="{00000000-0005-0000-0000-0000E91D0000}"/>
    <cellStyle name="Normal 8 4 2 4 2" xfId="3618" xr:uid="{00000000-0005-0000-0000-0000EA1D0000}"/>
    <cellStyle name="Normal 8 4 2 4 2 2" xfId="7840" xr:uid="{00000000-0005-0000-0000-0000EB1D0000}"/>
    <cellStyle name="Normal 8 4 2 4 2 2 2" xfId="43358" xr:uid="{3EE602B9-FE04-4EE3-BCD4-C59B224746B6}"/>
    <cellStyle name="Normal 8 4 2 4 2 2 3" xfId="34911" xr:uid="{4C0038BC-FEF4-456F-8AE1-960E06373D5A}"/>
    <cellStyle name="Normal 8 4 2 4 2 2 4" xfId="26463" xr:uid="{35D7F67E-FF60-468F-AC1A-6768F32F3716}"/>
    <cellStyle name="Normal 8 4 2 4 2 2 5" xfId="17166" xr:uid="{44B46FA3-D185-464F-9A74-FD40B3458285}"/>
    <cellStyle name="Normal 8 4 2 4 2 3" xfId="39141" xr:uid="{4F4F3D7D-D39E-489C-946E-1057FA54D376}"/>
    <cellStyle name="Normal 8 4 2 4 2 4" xfId="30693" xr:uid="{057A93A4-07A8-4666-B8B0-5A2CF2487EFE}"/>
    <cellStyle name="Normal 8 4 2 4 2 5" xfId="22246" xr:uid="{67600F46-6600-4E14-B852-447D0C6B9B34}"/>
    <cellStyle name="Normal 8 4 2 4 2 6" xfId="12949" xr:uid="{31E5FA98-CFCC-49AB-8BF2-FFEB43B29F66}"/>
    <cellStyle name="Normal 8 4 2 4 3" xfId="5695" xr:uid="{00000000-0005-0000-0000-0000EC1D0000}"/>
    <cellStyle name="Normal 8 4 2 4 3 2" xfId="41213" xr:uid="{8755E354-1500-4E43-ABF9-9AA9EE2ACA7F}"/>
    <cellStyle name="Normal 8 4 2 4 3 3" xfId="32766" xr:uid="{7FD5148A-FDA6-459C-9BDB-E5ADAD3512F0}"/>
    <cellStyle name="Normal 8 4 2 4 3 4" xfId="24318" xr:uid="{E27A8DF1-479B-43E7-A997-CF3C5063547B}"/>
    <cellStyle name="Normal 8 4 2 4 3 5" xfId="15021" xr:uid="{FB1C1ACF-68BD-4C91-B7E2-39912C69F233}"/>
    <cellStyle name="Normal 8 4 2 4 4" xfId="36996" xr:uid="{082F93D2-FEEB-4701-B6FE-CDA69961D1A0}"/>
    <cellStyle name="Normal 8 4 2 4 5" xfId="28548" xr:uid="{03CD5FC1-2C21-4DC7-BBE8-BC09CE89C5B9}"/>
    <cellStyle name="Normal 8 4 2 4 6" xfId="20101" xr:uid="{93FB9877-B7BC-4E79-B997-ABC21EF6626B}"/>
    <cellStyle name="Normal 8 4 2 4 7" xfId="10804" xr:uid="{1D0AD232-A99D-4B9F-979F-8F036A72746A}"/>
    <cellStyle name="Normal 8 4 2 5" xfId="1801" xr:uid="{00000000-0005-0000-0000-0000ED1D0000}"/>
    <cellStyle name="Normal 8 4 2 5 2" xfId="4031" xr:uid="{00000000-0005-0000-0000-0000EE1D0000}"/>
    <cellStyle name="Normal 8 4 2 5 2 2" xfId="8253" xr:uid="{00000000-0005-0000-0000-0000EF1D0000}"/>
    <cellStyle name="Normal 8 4 2 5 2 2 2" xfId="43771" xr:uid="{108720A8-7488-427C-B3E1-1CB76329E9FB}"/>
    <cellStyle name="Normal 8 4 2 5 2 2 3" xfId="35324" xr:uid="{58612C8C-8C49-4DF3-8921-4881F7E9CC91}"/>
    <cellStyle name="Normal 8 4 2 5 2 2 4" xfId="26876" xr:uid="{C85D0929-E8A7-49D4-9829-35FB25318459}"/>
    <cellStyle name="Normal 8 4 2 5 2 2 5" xfId="17579" xr:uid="{5C951F28-A98D-4E65-9F51-BC1F450C73BC}"/>
    <cellStyle name="Normal 8 4 2 5 2 3" xfId="39554" xr:uid="{4E503EA8-6BE9-4071-B6D5-01B1DD040BF1}"/>
    <cellStyle name="Normal 8 4 2 5 2 4" xfId="31106" xr:uid="{78990EFF-E5BF-4705-9CAA-F7A76668D57B}"/>
    <cellStyle name="Normal 8 4 2 5 2 5" xfId="22659" xr:uid="{D31AC694-AA75-4302-A1DC-7CEB8C353A8B}"/>
    <cellStyle name="Normal 8 4 2 5 2 6" xfId="13362" xr:uid="{A8678E95-8A66-43D0-8001-24BD1DBCAABF}"/>
    <cellStyle name="Normal 8 4 2 5 3" xfId="6108" xr:uid="{00000000-0005-0000-0000-0000F01D0000}"/>
    <cellStyle name="Normal 8 4 2 5 3 2" xfId="41626" xr:uid="{DF905EF3-F7BF-41ED-BF6A-EF553E830768}"/>
    <cellStyle name="Normal 8 4 2 5 3 3" xfId="33179" xr:uid="{7BEEC8C9-83FA-4590-A93A-2ECBCDE9D1F8}"/>
    <cellStyle name="Normal 8 4 2 5 3 4" xfId="24731" xr:uid="{13F6DB25-956D-4615-BE2C-CAFEF981E1FF}"/>
    <cellStyle name="Normal 8 4 2 5 3 5" xfId="15434" xr:uid="{F6012A24-1606-4D5C-8383-1DE1499B2CF1}"/>
    <cellStyle name="Normal 8 4 2 5 4" xfId="37409" xr:uid="{36BB667E-7BC0-4A17-B2F1-6C13097AC057}"/>
    <cellStyle name="Normal 8 4 2 5 5" xfId="28961" xr:uid="{7C4E15C2-2343-48EB-B666-1967D79AB0AA}"/>
    <cellStyle name="Normal 8 4 2 5 6" xfId="20514" xr:uid="{8013AB4D-3613-478B-8D0C-3578F60A112D}"/>
    <cellStyle name="Normal 8 4 2 5 7" xfId="11217" xr:uid="{8098E975-2578-47EA-A909-4E50C7F5AE32}"/>
    <cellStyle name="Normal 8 4 2 6" xfId="2215" xr:uid="{00000000-0005-0000-0000-0000F11D0000}"/>
    <cellStyle name="Normal 8 4 2 6 2" xfId="4444" xr:uid="{00000000-0005-0000-0000-0000F21D0000}"/>
    <cellStyle name="Normal 8 4 2 6 2 2" xfId="8666" xr:uid="{00000000-0005-0000-0000-0000F31D0000}"/>
    <cellStyle name="Normal 8 4 2 6 2 2 2" xfId="44184" xr:uid="{49435252-3C6A-4C4B-A324-A8D17352AFCA}"/>
    <cellStyle name="Normal 8 4 2 6 2 2 3" xfId="35737" xr:uid="{49C05862-0582-45AC-9494-98D6153E1896}"/>
    <cellStyle name="Normal 8 4 2 6 2 2 4" xfId="27289" xr:uid="{F32B6DBB-601D-4E0E-9CE6-074293F2532C}"/>
    <cellStyle name="Normal 8 4 2 6 2 2 5" xfId="17992" xr:uid="{DAE8B1CD-ABF9-400C-9635-553BD368FEFB}"/>
    <cellStyle name="Normal 8 4 2 6 2 3" xfId="39967" xr:uid="{43C57EFF-E39C-46CB-82F6-2CF733790A00}"/>
    <cellStyle name="Normal 8 4 2 6 2 4" xfId="31519" xr:uid="{FF1F7CC2-68CA-4B31-AFE4-A6883C3810FB}"/>
    <cellStyle name="Normal 8 4 2 6 2 5" xfId="23072" xr:uid="{302675B4-0DEF-4A71-8B7A-015EEB52BF1B}"/>
    <cellStyle name="Normal 8 4 2 6 2 6" xfId="13775" xr:uid="{CA7EC2E8-6BC9-42C3-A317-8198795C208F}"/>
    <cellStyle name="Normal 8 4 2 6 3" xfId="6521" xr:uid="{00000000-0005-0000-0000-0000F41D0000}"/>
    <cellStyle name="Normal 8 4 2 6 3 2" xfId="42039" xr:uid="{3196B797-9723-4E07-84AC-DC887708F39A}"/>
    <cellStyle name="Normal 8 4 2 6 3 3" xfId="33592" xr:uid="{769A5BCA-832C-4B27-AB24-03C3E4CFCACA}"/>
    <cellStyle name="Normal 8 4 2 6 3 4" xfId="25144" xr:uid="{A85B51F0-E66E-4403-954E-C3F557C50A4A}"/>
    <cellStyle name="Normal 8 4 2 6 3 5" xfId="15847" xr:uid="{2BBFB69E-FB4A-4682-A27F-FBA644B0F7BF}"/>
    <cellStyle name="Normal 8 4 2 6 4" xfId="37822" xr:uid="{DA340933-C3C1-4971-87CD-534DFFF7E406}"/>
    <cellStyle name="Normal 8 4 2 6 5" xfId="29374" xr:uid="{9A714419-19E3-4DFB-AACF-B58992B13C85}"/>
    <cellStyle name="Normal 8 4 2 6 6" xfId="20927" xr:uid="{157EAC9A-1F75-4595-A34C-4CDAAD0FA38A}"/>
    <cellStyle name="Normal 8 4 2 6 7" xfId="11630" xr:uid="{E4BC6474-5148-4E1F-A6DE-48BA078462EA}"/>
    <cellStyle name="Normal 8 4 2 7" xfId="2651" xr:uid="{00000000-0005-0000-0000-0000F51D0000}"/>
    <cellStyle name="Normal 8 4 2 7 2" xfId="6934" xr:uid="{00000000-0005-0000-0000-0000F61D0000}"/>
    <cellStyle name="Normal 8 4 2 7 2 2" xfId="42452" xr:uid="{1CC34587-BF92-4AEC-8C69-834EB6A11EE2}"/>
    <cellStyle name="Normal 8 4 2 7 2 3" xfId="34005" xr:uid="{A7B57477-19C4-4B94-9670-54181371A692}"/>
    <cellStyle name="Normal 8 4 2 7 2 4" xfId="25557" xr:uid="{44FB87DE-3A33-41FA-B65C-922F14C72C7F}"/>
    <cellStyle name="Normal 8 4 2 7 2 5" xfId="16260" xr:uid="{E86F659B-9AD1-4D13-BE15-2EC15D9BFC53}"/>
    <cellStyle name="Normal 8 4 2 7 3" xfId="38235" xr:uid="{EF3C1D27-8FA7-4213-8CE1-843DB6ED6786}"/>
    <cellStyle name="Normal 8 4 2 7 4" xfId="29787" xr:uid="{D63075FC-2728-4D14-8588-3F1E7B82DF71}"/>
    <cellStyle name="Normal 8 4 2 7 5" xfId="21340" xr:uid="{AE2049BA-B273-46F6-B2D9-5E8BFBE61696}"/>
    <cellStyle name="Normal 8 4 2 7 6" xfId="12043" xr:uid="{2B3A8DA1-A3C7-406D-81A7-1ACDC6BC10A1}"/>
    <cellStyle name="Normal 8 4 2 8" xfId="4869" xr:uid="{00000000-0005-0000-0000-0000F71D0000}"/>
    <cellStyle name="Normal 8 4 2 8 2" xfId="40387" xr:uid="{87FC02FD-36BB-4FA2-9CC9-0178CDBA6B5B}"/>
    <cellStyle name="Normal 8 4 2 8 3" xfId="31940" xr:uid="{A1A9E30B-9993-4259-9290-384DDC055660}"/>
    <cellStyle name="Normal 8 4 2 8 4" xfId="23492" xr:uid="{9B70D441-D797-4BCF-8A24-1E853EFEDDA0}"/>
    <cellStyle name="Normal 8 4 2 8 5" xfId="14195" xr:uid="{12EC0BCD-0F72-45E4-84D6-D464A462D6ED}"/>
    <cellStyle name="Normal 8 4 2 9" xfId="8937" xr:uid="{B425CDA4-C1C1-4A6C-AB85-CE28E324A88F}"/>
    <cellStyle name="Normal 8 4 2 9 2" xfId="36170" xr:uid="{E3E37BDA-A549-40E5-8B0C-9C4B355C3E6A}"/>
    <cellStyle name="Normal 8 4 2 9 3" xfId="18260" xr:uid="{5CADF757-D08C-41C6-83F9-6E9528C562E5}"/>
    <cellStyle name="Normal 8 4 3" xfId="506" xr:uid="{00000000-0005-0000-0000-0000F81D0000}"/>
    <cellStyle name="Normal 8 4 3 10" xfId="19277" xr:uid="{20F2E9AD-D9B4-47FE-9D22-C1C2A849EFEE}"/>
    <cellStyle name="Normal 8 4 3 11" xfId="9980" xr:uid="{611AE243-B6A4-47B1-8478-3072D63A3E1D}"/>
    <cellStyle name="Normal 8 4 3 2" xfId="973" xr:uid="{00000000-0005-0000-0000-0000F91D0000}"/>
    <cellStyle name="Normal 8 4 3 2 2" xfId="3207" xr:uid="{00000000-0005-0000-0000-0000FA1D0000}"/>
    <cellStyle name="Normal 8 4 3 2 2 2" xfId="7429" xr:uid="{00000000-0005-0000-0000-0000FB1D0000}"/>
    <cellStyle name="Normal 8 4 3 2 2 2 2" xfId="42947" xr:uid="{1EFD17C6-6262-49FD-92C5-1C6D5820A1FA}"/>
    <cellStyle name="Normal 8 4 3 2 2 2 3" xfId="34500" xr:uid="{1E2F3302-4C2A-4EEA-8432-290FBECBC87B}"/>
    <cellStyle name="Normal 8 4 3 2 2 2 4" xfId="26052" xr:uid="{2777E4E3-C274-4757-8B60-D4761B340B91}"/>
    <cellStyle name="Normal 8 4 3 2 2 2 5" xfId="16755" xr:uid="{A875FD23-E809-4168-B97F-0DC3E6A789A0}"/>
    <cellStyle name="Normal 8 4 3 2 2 3" xfId="38730" xr:uid="{356E0DCC-657C-4893-9650-D02BA57AFFC3}"/>
    <cellStyle name="Normal 8 4 3 2 2 4" xfId="30282" xr:uid="{B955471F-23C9-4EC7-A1ED-E79C4B81D73A}"/>
    <cellStyle name="Normal 8 4 3 2 2 5" xfId="21835" xr:uid="{E8F3035D-6EDE-41CB-9AAE-59F518633AD5}"/>
    <cellStyle name="Normal 8 4 3 2 2 6" xfId="12538" xr:uid="{EEF77E8B-2232-4DCC-90DF-FC42827EE3D8}"/>
    <cellStyle name="Normal 8 4 3 2 3" xfId="5284" xr:uid="{00000000-0005-0000-0000-0000FC1D0000}"/>
    <cellStyle name="Normal 8 4 3 2 3 2" xfId="40802" xr:uid="{406D3C85-E296-4A9E-94F5-4188788F027B}"/>
    <cellStyle name="Normal 8 4 3 2 3 3" xfId="32355" xr:uid="{6D335C6D-C709-484A-B0E9-1A94E659DD17}"/>
    <cellStyle name="Normal 8 4 3 2 3 4" xfId="23907" xr:uid="{D85C141E-225C-4F0B-A046-1E770549A8B8}"/>
    <cellStyle name="Normal 8 4 3 2 3 5" xfId="14610" xr:uid="{E98A3E0F-D224-418A-8273-4D8849EE4905}"/>
    <cellStyle name="Normal 8 4 3 2 4" xfId="9466" xr:uid="{4C42748F-6D34-4D0D-8AE2-FFD5C0CBE26F}"/>
    <cellStyle name="Normal 8 4 3 2 4 2" xfId="36585" xr:uid="{9B9E68A5-899B-4FE0-92FE-C1647991291F}"/>
    <cellStyle name="Normal 8 4 3 2 4 3" xfId="18779" xr:uid="{F3FA021A-126D-4A0D-ACC3-B2E1FC31AF68}"/>
    <cellStyle name="Normal 8 4 3 2 5" xfId="28137" xr:uid="{4C449F24-6320-4C2C-B453-AED539F9563F}"/>
    <cellStyle name="Normal 8 4 3 2 6" xfId="19690" xr:uid="{7DD725B3-DBDA-459A-AE6D-97F845B86AB0}"/>
    <cellStyle name="Normal 8 4 3 2 7" xfId="10393" xr:uid="{8DC99ABF-A98E-48F9-A2BF-434BE2AA0086}"/>
    <cellStyle name="Normal 8 4 3 3" xfId="1390" xr:uid="{00000000-0005-0000-0000-0000FD1D0000}"/>
    <cellStyle name="Normal 8 4 3 3 2" xfId="3620" xr:uid="{00000000-0005-0000-0000-0000FE1D0000}"/>
    <cellStyle name="Normal 8 4 3 3 2 2" xfId="7842" xr:uid="{00000000-0005-0000-0000-0000FF1D0000}"/>
    <cellStyle name="Normal 8 4 3 3 2 2 2" xfId="43360" xr:uid="{93B023C1-7852-4A45-B96B-F7866C78B6FA}"/>
    <cellStyle name="Normal 8 4 3 3 2 2 3" xfId="34913" xr:uid="{A50CF086-D5E1-4D7A-A705-53AD88DA784F}"/>
    <cellStyle name="Normal 8 4 3 3 2 2 4" xfId="26465" xr:uid="{AA91D35F-77F8-4E5C-8431-D884407EE8B5}"/>
    <cellStyle name="Normal 8 4 3 3 2 2 5" xfId="17168" xr:uid="{E414363F-4E6B-4D73-BE49-DC5EB1E1EDEC}"/>
    <cellStyle name="Normal 8 4 3 3 2 3" xfId="39143" xr:uid="{008DCD11-E0D0-49C5-857F-3D9FEA6AD8A6}"/>
    <cellStyle name="Normal 8 4 3 3 2 4" xfId="30695" xr:uid="{82A1E9FC-228B-4959-9FFC-F2B51C2DB2B0}"/>
    <cellStyle name="Normal 8 4 3 3 2 5" xfId="22248" xr:uid="{110E2239-59DF-47E8-880C-6BBC75235FED}"/>
    <cellStyle name="Normal 8 4 3 3 2 6" xfId="12951" xr:uid="{31CCF3A4-EE4C-424E-BD15-68B2CB0E55CC}"/>
    <cellStyle name="Normal 8 4 3 3 3" xfId="5697" xr:uid="{00000000-0005-0000-0000-0000001E0000}"/>
    <cellStyle name="Normal 8 4 3 3 3 2" xfId="41215" xr:uid="{06F99823-EB68-4A03-87E2-870DEC02CC7D}"/>
    <cellStyle name="Normal 8 4 3 3 3 3" xfId="32768" xr:uid="{991508B0-FE0B-44A9-8153-E4450DE8C7FC}"/>
    <cellStyle name="Normal 8 4 3 3 3 4" xfId="24320" xr:uid="{B5844497-5DEF-4287-A509-787E8BEB26C4}"/>
    <cellStyle name="Normal 8 4 3 3 3 5" xfId="15023" xr:uid="{B13FE067-C0EB-47D7-861A-DA1A911AFACE}"/>
    <cellStyle name="Normal 8 4 3 3 4" xfId="36998" xr:uid="{DC9B9EFC-246A-455D-888D-6568BA6BC690}"/>
    <cellStyle name="Normal 8 4 3 3 5" xfId="28550" xr:uid="{EFCEB137-7B7E-4293-AA18-10D15ACE7185}"/>
    <cellStyle name="Normal 8 4 3 3 6" xfId="20103" xr:uid="{64C44ADA-DDE8-4618-8578-442D1C3CB9C2}"/>
    <cellStyle name="Normal 8 4 3 3 7" xfId="10806" xr:uid="{A9CB2124-ED92-4DEC-AC5D-0812E377513D}"/>
    <cellStyle name="Normal 8 4 3 4" xfId="1803" xr:uid="{00000000-0005-0000-0000-0000011E0000}"/>
    <cellStyle name="Normal 8 4 3 4 2" xfId="4033" xr:uid="{00000000-0005-0000-0000-0000021E0000}"/>
    <cellStyle name="Normal 8 4 3 4 2 2" xfId="8255" xr:uid="{00000000-0005-0000-0000-0000031E0000}"/>
    <cellStyle name="Normal 8 4 3 4 2 2 2" xfId="43773" xr:uid="{363FE91D-2D1B-46E8-8C86-64D99D8DE4BF}"/>
    <cellStyle name="Normal 8 4 3 4 2 2 3" xfId="35326" xr:uid="{F23620FE-F533-4E0D-81D0-B0774C9881D6}"/>
    <cellStyle name="Normal 8 4 3 4 2 2 4" xfId="26878" xr:uid="{E7498200-C345-439E-81CD-2B19B6AC36C3}"/>
    <cellStyle name="Normal 8 4 3 4 2 2 5" xfId="17581" xr:uid="{C807E42B-776B-4A60-A354-DDFD22944704}"/>
    <cellStyle name="Normal 8 4 3 4 2 3" xfId="39556" xr:uid="{07D842E3-293C-4A81-B2B4-31AEB63A00CB}"/>
    <cellStyle name="Normal 8 4 3 4 2 4" xfId="31108" xr:uid="{26086106-9ACC-40B3-88B5-9DE39136BF1A}"/>
    <cellStyle name="Normal 8 4 3 4 2 5" xfId="22661" xr:uid="{7FBD72E5-4DF8-4ACC-B2B5-B30F718D0BAB}"/>
    <cellStyle name="Normal 8 4 3 4 2 6" xfId="13364" xr:uid="{B215FCE0-ED0D-43E2-8D0B-8C57836A39DF}"/>
    <cellStyle name="Normal 8 4 3 4 3" xfId="6110" xr:uid="{00000000-0005-0000-0000-0000041E0000}"/>
    <cellStyle name="Normal 8 4 3 4 3 2" xfId="41628" xr:uid="{BA33A40B-06A2-446A-BA7C-E01E1C768D35}"/>
    <cellStyle name="Normal 8 4 3 4 3 3" xfId="33181" xr:uid="{F18D30DC-B2F2-48B0-9B89-4A665F919403}"/>
    <cellStyle name="Normal 8 4 3 4 3 4" xfId="24733" xr:uid="{7FCF3122-C8A3-4176-9976-6A259233EBB1}"/>
    <cellStyle name="Normal 8 4 3 4 3 5" xfId="15436" xr:uid="{50FA1A69-80D5-40C4-B29C-CCB0E55171F1}"/>
    <cellStyle name="Normal 8 4 3 4 4" xfId="37411" xr:uid="{873B1DE8-AF64-4C01-818A-0472BAB8797C}"/>
    <cellStyle name="Normal 8 4 3 4 5" xfId="28963" xr:uid="{322A9DB0-BC55-4235-91D4-A101054AD719}"/>
    <cellStyle name="Normal 8 4 3 4 6" xfId="20516" xr:uid="{047AC07E-4371-40F4-96E1-A2ED80DE6F4A}"/>
    <cellStyle name="Normal 8 4 3 4 7" xfId="11219" xr:uid="{3DB63A20-AB45-48A6-AA2D-887FC3B6E37E}"/>
    <cellStyle name="Normal 8 4 3 5" xfId="2217" xr:uid="{00000000-0005-0000-0000-0000051E0000}"/>
    <cellStyle name="Normal 8 4 3 5 2" xfId="4446" xr:uid="{00000000-0005-0000-0000-0000061E0000}"/>
    <cellStyle name="Normal 8 4 3 5 2 2" xfId="8668" xr:uid="{00000000-0005-0000-0000-0000071E0000}"/>
    <cellStyle name="Normal 8 4 3 5 2 2 2" xfId="44186" xr:uid="{CA0A0F13-8416-444A-BC9E-D8163AA1B434}"/>
    <cellStyle name="Normal 8 4 3 5 2 2 3" xfId="35739" xr:uid="{D093E36E-76B9-4654-BD5A-7373AC101861}"/>
    <cellStyle name="Normal 8 4 3 5 2 2 4" xfId="27291" xr:uid="{C0F4E7D1-B6B9-4CA7-8D45-3373D2141A28}"/>
    <cellStyle name="Normal 8 4 3 5 2 2 5" xfId="17994" xr:uid="{3325DB95-2ED3-414B-980B-810948B287B3}"/>
    <cellStyle name="Normal 8 4 3 5 2 3" xfId="39969" xr:uid="{369E5AD6-75BC-436D-AE8F-B6D8EE22BEDC}"/>
    <cellStyle name="Normal 8 4 3 5 2 4" xfId="31521" xr:uid="{1F799509-BAE7-490E-A023-FB87ADF2F98E}"/>
    <cellStyle name="Normal 8 4 3 5 2 5" xfId="23074" xr:uid="{1B843A69-B347-41A3-ACD0-A54ED66B80B4}"/>
    <cellStyle name="Normal 8 4 3 5 2 6" xfId="13777" xr:uid="{DD46631D-1663-421F-BB31-1FFBBC1FAA47}"/>
    <cellStyle name="Normal 8 4 3 5 3" xfId="6523" xr:uid="{00000000-0005-0000-0000-0000081E0000}"/>
    <cellStyle name="Normal 8 4 3 5 3 2" xfId="42041" xr:uid="{0AFA4141-EC4F-4E44-9007-92BA9ADFBBB9}"/>
    <cellStyle name="Normal 8 4 3 5 3 3" xfId="33594" xr:uid="{37B32CBA-96C7-4ED7-B943-3AF8A26D4986}"/>
    <cellStyle name="Normal 8 4 3 5 3 4" xfId="25146" xr:uid="{02E974CB-85A7-41D7-A669-DFD491A40924}"/>
    <cellStyle name="Normal 8 4 3 5 3 5" xfId="15849" xr:uid="{DB3EEA4B-989D-4610-81AC-D44F654B11FF}"/>
    <cellStyle name="Normal 8 4 3 5 4" xfId="37824" xr:uid="{ED451416-8826-413E-AAA3-C121113CF0B0}"/>
    <cellStyle name="Normal 8 4 3 5 5" xfId="29376" xr:uid="{27A7B2B3-14DD-44A6-9B71-BA6935352B97}"/>
    <cellStyle name="Normal 8 4 3 5 6" xfId="20929" xr:uid="{F0931187-E58E-4479-9138-0FB47898B67F}"/>
    <cellStyle name="Normal 8 4 3 5 7" xfId="11632" xr:uid="{5EBCB1ED-3E22-4584-A13B-3B4F43C862FE}"/>
    <cellStyle name="Normal 8 4 3 6" xfId="2653" xr:uid="{00000000-0005-0000-0000-0000091E0000}"/>
    <cellStyle name="Normal 8 4 3 6 2" xfId="6936" xr:uid="{00000000-0005-0000-0000-00000A1E0000}"/>
    <cellStyle name="Normal 8 4 3 6 2 2" xfId="42454" xr:uid="{77E6792E-DE33-48E8-AD62-8C8C7C11074C}"/>
    <cellStyle name="Normal 8 4 3 6 2 3" xfId="34007" xr:uid="{B6ECDDD5-F6FB-4E75-A245-766EA4D25428}"/>
    <cellStyle name="Normal 8 4 3 6 2 4" xfId="25559" xr:uid="{30A21A51-09B5-4928-B54C-CF1708B26BF9}"/>
    <cellStyle name="Normal 8 4 3 6 2 5" xfId="16262" xr:uid="{5B64F388-7BBC-4618-B1F0-3D24C06BB8D3}"/>
    <cellStyle name="Normal 8 4 3 6 3" xfId="38237" xr:uid="{578ED8EB-4910-493B-BA66-7072879C352D}"/>
    <cellStyle name="Normal 8 4 3 6 4" xfId="29789" xr:uid="{03544E3B-FD6F-4BFB-9B81-9AA9496E19A2}"/>
    <cellStyle name="Normal 8 4 3 6 5" xfId="21342" xr:uid="{E88AFA9F-8554-4DED-B212-A520F44F2A99}"/>
    <cellStyle name="Normal 8 4 3 6 6" xfId="12045" xr:uid="{03CC58B7-2D5C-408A-80A5-AC5AE8FFA0D5}"/>
    <cellStyle name="Normal 8 4 3 7" xfId="4871" xr:uid="{00000000-0005-0000-0000-00000B1E0000}"/>
    <cellStyle name="Normal 8 4 3 7 2" xfId="40389" xr:uid="{796E8464-F393-40CC-9B7B-8AD110D16C89}"/>
    <cellStyle name="Normal 8 4 3 7 3" xfId="31942" xr:uid="{D8973035-2C93-4085-A914-A6C9ED153B3D}"/>
    <cellStyle name="Normal 8 4 3 7 4" xfId="23494" xr:uid="{C4F55AB8-D8C4-482E-BA9D-04D2A2E94ED5}"/>
    <cellStyle name="Normal 8 4 3 7 5" xfId="14197" xr:uid="{E2DBDBB3-CCFE-4062-A16B-F85D79A3819E}"/>
    <cellStyle name="Normal 8 4 3 8" xfId="9041" xr:uid="{3EA15F1E-D38A-4BB8-BEC6-98D9A94BB79B}"/>
    <cellStyle name="Normal 8 4 3 8 2" xfId="36172" xr:uid="{3B6F58F3-9A95-45F5-BDB2-5CC37F280CD4}"/>
    <cellStyle name="Normal 8 4 3 8 3" xfId="18364" xr:uid="{A6BD65EA-1037-4C07-AE98-13EE40C544DB}"/>
    <cellStyle name="Normal 8 4 3 9" xfId="27724" xr:uid="{DF05308C-A88E-4C44-BF34-A46B70130992}"/>
    <cellStyle name="Normal 8 4 4" xfId="970" xr:uid="{00000000-0005-0000-0000-00000C1E0000}"/>
    <cellStyle name="Normal 8 4 4 2" xfId="3204" xr:uid="{00000000-0005-0000-0000-00000D1E0000}"/>
    <cellStyle name="Normal 8 4 4 2 2" xfId="7426" xr:uid="{00000000-0005-0000-0000-00000E1E0000}"/>
    <cellStyle name="Normal 8 4 4 2 2 2" xfId="42944" xr:uid="{E8250F12-2739-49EA-A55E-3A5AA095BF01}"/>
    <cellStyle name="Normal 8 4 4 2 2 3" xfId="34497" xr:uid="{924E1273-7782-4C9C-B651-824139D21DE4}"/>
    <cellStyle name="Normal 8 4 4 2 2 4" xfId="26049" xr:uid="{D3DA3B49-23BC-4A48-BCE2-7FEB543137DD}"/>
    <cellStyle name="Normal 8 4 4 2 2 5" xfId="16752" xr:uid="{6937BA29-1DFC-4D47-A107-94B91FE24844}"/>
    <cellStyle name="Normal 8 4 4 2 3" xfId="38727" xr:uid="{09D39A72-BF3A-489E-8A39-8E68A8325E68}"/>
    <cellStyle name="Normal 8 4 4 2 4" xfId="30279" xr:uid="{0DFB37A3-DC4E-48A0-97D6-E4B455B682E1}"/>
    <cellStyle name="Normal 8 4 4 2 5" xfId="21832" xr:uid="{F8CD4980-5ED6-48B9-8A20-0620D7CD6F9E}"/>
    <cellStyle name="Normal 8 4 4 2 6" xfId="12535" xr:uid="{644E3499-C2C3-42DC-81D2-F477BE69243B}"/>
    <cellStyle name="Normal 8 4 4 3" xfId="5281" xr:uid="{00000000-0005-0000-0000-00000F1E0000}"/>
    <cellStyle name="Normal 8 4 4 3 2" xfId="40799" xr:uid="{5C78C19A-F583-41E1-9E4B-41C6D9D2E7A3}"/>
    <cellStyle name="Normal 8 4 4 3 3" xfId="32352" xr:uid="{1C22B87F-AE1D-4305-A452-351D311E64AC}"/>
    <cellStyle name="Normal 8 4 4 3 4" xfId="23904" xr:uid="{EA4B6A4E-D4D3-43EA-ACE8-09A1114E7A84}"/>
    <cellStyle name="Normal 8 4 4 3 5" xfId="14607" xr:uid="{FB35E465-E686-4014-A18F-FE0B14D47FC6}"/>
    <cellStyle name="Normal 8 4 4 4" xfId="9259" xr:uid="{45904BAA-3C39-482B-A2B6-0FB84C0B889C}"/>
    <cellStyle name="Normal 8 4 4 4 2" xfId="36582" xr:uid="{B496A3D7-93A6-4135-BED8-8BB87FB991D7}"/>
    <cellStyle name="Normal 8 4 4 4 3" xfId="18572" xr:uid="{C6FE36ED-409C-4F84-9963-6BA0D58E37CC}"/>
    <cellStyle name="Normal 8 4 4 5" xfId="28134" xr:uid="{385A976D-C27B-4F2A-8B2C-F6D71BBB5AFA}"/>
    <cellStyle name="Normal 8 4 4 6" xfId="19687" xr:uid="{2485C93E-231F-4FA3-8A80-EE9242CB806C}"/>
    <cellStyle name="Normal 8 4 4 7" xfId="10390" xr:uid="{6128A664-9D34-4BB3-AA47-97E0F857AA02}"/>
    <cellStyle name="Normal 8 4 5" xfId="1387" xr:uid="{00000000-0005-0000-0000-0000101E0000}"/>
    <cellStyle name="Normal 8 4 5 2" xfId="3617" xr:uid="{00000000-0005-0000-0000-0000111E0000}"/>
    <cellStyle name="Normal 8 4 5 2 2" xfId="7839" xr:uid="{00000000-0005-0000-0000-0000121E0000}"/>
    <cellStyle name="Normal 8 4 5 2 2 2" xfId="43357" xr:uid="{A1E923F5-5D6B-4DE2-BAE7-66CF80FD6D03}"/>
    <cellStyle name="Normal 8 4 5 2 2 3" xfId="34910" xr:uid="{D37C6C40-31C5-42BB-8B18-B9E8F648E987}"/>
    <cellStyle name="Normal 8 4 5 2 2 4" xfId="26462" xr:uid="{3F705382-337E-4017-8F4C-5AA49A46F1E2}"/>
    <cellStyle name="Normal 8 4 5 2 2 5" xfId="17165" xr:uid="{07808F81-146F-4050-BFE6-74A71E678A37}"/>
    <cellStyle name="Normal 8 4 5 2 3" xfId="39140" xr:uid="{7F8AAD49-7A9E-4651-9C2F-65BA1104692E}"/>
    <cellStyle name="Normal 8 4 5 2 4" xfId="30692" xr:uid="{58C193E8-0AF1-4588-86B9-39DB25143682}"/>
    <cellStyle name="Normal 8 4 5 2 5" xfId="22245" xr:uid="{CC670CAC-E46A-4AFE-A40D-755B168A9C96}"/>
    <cellStyle name="Normal 8 4 5 2 6" xfId="12948" xr:uid="{A3CB40FD-20A2-41D5-B849-912768A41698}"/>
    <cellStyle name="Normal 8 4 5 3" xfId="5694" xr:uid="{00000000-0005-0000-0000-0000131E0000}"/>
    <cellStyle name="Normal 8 4 5 3 2" xfId="41212" xr:uid="{DC9F3E1E-8718-4AA6-A602-60CE5EC729ED}"/>
    <cellStyle name="Normal 8 4 5 3 3" xfId="32765" xr:uid="{3A564C81-6A59-4181-87E9-D7D3DED4ACB3}"/>
    <cellStyle name="Normal 8 4 5 3 4" xfId="24317" xr:uid="{C1DB8A3C-43B7-44AD-9E12-66C1C370838C}"/>
    <cellStyle name="Normal 8 4 5 3 5" xfId="15020" xr:uid="{E17D4C8E-50BB-4AD0-88B4-7F1EDFB366DD}"/>
    <cellStyle name="Normal 8 4 5 4" xfId="36995" xr:uid="{C50FE554-F5A0-4FD8-AFBF-EBD80BFB7803}"/>
    <cellStyle name="Normal 8 4 5 5" xfId="28547" xr:uid="{43A8E083-4400-4448-81A9-7A93741FC6B3}"/>
    <cellStyle name="Normal 8 4 5 6" xfId="20100" xr:uid="{56954B76-FA1D-407C-AE06-A88AF4380861}"/>
    <cellStyle name="Normal 8 4 5 7" xfId="10803" xr:uid="{71749BB0-EFC9-4138-AA50-5E2AC35C619B}"/>
    <cellStyle name="Normal 8 4 6" xfId="1800" xr:uid="{00000000-0005-0000-0000-0000141E0000}"/>
    <cellStyle name="Normal 8 4 6 2" xfId="4030" xr:uid="{00000000-0005-0000-0000-0000151E0000}"/>
    <cellStyle name="Normal 8 4 6 2 2" xfId="8252" xr:uid="{00000000-0005-0000-0000-0000161E0000}"/>
    <cellStyle name="Normal 8 4 6 2 2 2" xfId="43770" xr:uid="{052C2028-C817-42AC-8587-A50A22E1DF74}"/>
    <cellStyle name="Normal 8 4 6 2 2 3" xfId="35323" xr:uid="{8A7F9AB7-2E56-41FA-93CC-066DB29D66AA}"/>
    <cellStyle name="Normal 8 4 6 2 2 4" xfId="26875" xr:uid="{6F6AD9A5-C15C-4427-A3F9-5C3686114767}"/>
    <cellStyle name="Normal 8 4 6 2 2 5" xfId="17578" xr:uid="{E3454CB3-B499-4920-A592-5D364818C001}"/>
    <cellStyle name="Normal 8 4 6 2 3" xfId="39553" xr:uid="{DFC0CB7E-BFA5-4892-9C8C-046FCE5E257C}"/>
    <cellStyle name="Normal 8 4 6 2 4" xfId="31105" xr:uid="{DC871AC6-6BE6-4E47-99AB-B3DC37BF89F5}"/>
    <cellStyle name="Normal 8 4 6 2 5" xfId="22658" xr:uid="{3A9867AA-E61B-41AD-9CC7-8F292FB50CEC}"/>
    <cellStyle name="Normal 8 4 6 2 6" xfId="13361" xr:uid="{E612BC88-7BB2-432D-8F7D-D715CB8AF326}"/>
    <cellStyle name="Normal 8 4 6 3" xfId="6107" xr:uid="{00000000-0005-0000-0000-0000171E0000}"/>
    <cellStyle name="Normal 8 4 6 3 2" xfId="41625" xr:uid="{56A69707-D650-4004-8559-16CAE56B3EF2}"/>
    <cellStyle name="Normal 8 4 6 3 3" xfId="33178" xr:uid="{699A93BF-6E25-45A7-A126-406F03004A3C}"/>
    <cellStyle name="Normal 8 4 6 3 4" xfId="24730" xr:uid="{BD2FD117-45DB-4267-8DD3-390A9459413F}"/>
    <cellStyle name="Normal 8 4 6 3 5" xfId="15433" xr:uid="{29493707-3333-44CC-8FEA-64894F7E332C}"/>
    <cellStyle name="Normal 8 4 6 4" xfId="37408" xr:uid="{1DB6A9B3-BCD6-4029-A6A8-658701207170}"/>
    <cellStyle name="Normal 8 4 6 5" xfId="28960" xr:uid="{074C948D-9A87-447B-AA20-E6453758EA5A}"/>
    <cellStyle name="Normal 8 4 6 6" xfId="20513" xr:uid="{994E5801-003D-48F8-90BB-FD18C6AC04DD}"/>
    <cellStyle name="Normal 8 4 6 7" xfId="11216" xr:uid="{6633305A-2A99-4FAA-A278-B3F51AF035EE}"/>
    <cellStyle name="Normal 8 4 7" xfId="2214" xr:uid="{00000000-0005-0000-0000-0000181E0000}"/>
    <cellStyle name="Normal 8 4 7 2" xfId="4443" xr:uid="{00000000-0005-0000-0000-0000191E0000}"/>
    <cellStyle name="Normal 8 4 7 2 2" xfId="8665" xr:uid="{00000000-0005-0000-0000-00001A1E0000}"/>
    <cellStyle name="Normal 8 4 7 2 2 2" xfId="44183" xr:uid="{BA85CE63-4536-482B-AD35-C246CE58B8BE}"/>
    <cellStyle name="Normal 8 4 7 2 2 3" xfId="35736" xr:uid="{B5CD20AD-6FD1-4154-A285-C18019E167ED}"/>
    <cellStyle name="Normal 8 4 7 2 2 4" xfId="27288" xr:uid="{41A46EB7-591F-4BBD-A3E6-4718B5267101}"/>
    <cellStyle name="Normal 8 4 7 2 2 5" xfId="17991" xr:uid="{D2E5AC25-39C5-4920-A6C3-B956A4B38FB8}"/>
    <cellStyle name="Normal 8 4 7 2 3" xfId="39966" xr:uid="{10DDF424-D500-4052-B082-B5D624569EA7}"/>
    <cellStyle name="Normal 8 4 7 2 4" xfId="31518" xr:uid="{851313BE-931B-4744-8772-83158975BDCE}"/>
    <cellStyle name="Normal 8 4 7 2 5" xfId="23071" xr:uid="{869CC8AD-1533-44B5-8F99-FDDE00C9ED0D}"/>
    <cellStyle name="Normal 8 4 7 2 6" xfId="13774" xr:uid="{6EC5E080-FDF0-4FE6-9ED4-FAC1F5F8B162}"/>
    <cellStyle name="Normal 8 4 7 3" xfId="6520" xr:uid="{00000000-0005-0000-0000-00001B1E0000}"/>
    <cellStyle name="Normal 8 4 7 3 2" xfId="42038" xr:uid="{69430AAF-B084-4D8C-BD1B-4A2CBC6F645C}"/>
    <cellStyle name="Normal 8 4 7 3 3" xfId="33591" xr:uid="{A9D5BF31-D85C-494F-8AF9-A4B394D07090}"/>
    <cellStyle name="Normal 8 4 7 3 4" xfId="25143" xr:uid="{50ECF07F-410B-4BFD-8D42-2A91640D560C}"/>
    <cellStyle name="Normal 8 4 7 3 5" xfId="15846" xr:uid="{BC860E55-53A5-414C-92F6-6A140F80BA67}"/>
    <cellStyle name="Normal 8 4 7 4" xfId="37821" xr:uid="{6680FE73-6930-4A51-8D9E-3BC5583573F0}"/>
    <cellStyle name="Normal 8 4 7 5" xfId="29373" xr:uid="{930B17A4-10A9-4D3B-A606-8258F9145466}"/>
    <cellStyle name="Normal 8 4 7 6" xfId="20926" xr:uid="{535D8815-D9E4-47EF-871D-14072E2FB14A}"/>
    <cellStyle name="Normal 8 4 7 7" xfId="11629" xr:uid="{E481C791-DB9E-49B4-A211-EA125E03D64E}"/>
    <cellStyle name="Normal 8 4 8" xfId="2650" xr:uid="{00000000-0005-0000-0000-00001C1E0000}"/>
    <cellStyle name="Normal 8 4 8 2" xfId="6933" xr:uid="{00000000-0005-0000-0000-00001D1E0000}"/>
    <cellStyle name="Normal 8 4 8 2 2" xfId="42451" xr:uid="{56AF3DE3-A24E-4541-8AD2-1C59918563E2}"/>
    <cellStyle name="Normal 8 4 8 2 3" xfId="34004" xr:uid="{5EAA7AD8-A081-4787-BF55-3B20A7CA371D}"/>
    <cellStyle name="Normal 8 4 8 2 4" xfId="25556" xr:uid="{AAED5D87-DE60-4FD3-B6AD-940D12E26672}"/>
    <cellStyle name="Normal 8 4 8 2 5" xfId="16259" xr:uid="{EE1FA4D3-D1F9-4CC0-A43E-A62B4E239B7A}"/>
    <cellStyle name="Normal 8 4 8 3" xfId="38234" xr:uid="{C7C5CF9B-E9E7-439F-826D-DE0AC66DF6BA}"/>
    <cellStyle name="Normal 8 4 8 4" xfId="29786" xr:uid="{F5507C2F-FB15-4932-996D-95F6F083799C}"/>
    <cellStyle name="Normal 8 4 8 5" xfId="21339" xr:uid="{3558C8B6-C94E-4843-B89C-BA5D4E99933B}"/>
    <cellStyle name="Normal 8 4 8 6" xfId="12042" xr:uid="{A8F37A5B-14A4-4133-BBD6-7E738B31FD7D}"/>
    <cellStyle name="Normal 8 4 9" xfId="4868" xr:uid="{00000000-0005-0000-0000-00001E1E0000}"/>
    <cellStyle name="Normal 8 4 9 2" xfId="40386" xr:uid="{1AAAF6C1-559C-49D5-8E0D-574B612C2C82}"/>
    <cellStyle name="Normal 8 4 9 3" xfId="31939" xr:uid="{84C8A51C-5E2B-4D70-BE10-7F985DA39383}"/>
    <cellStyle name="Normal 8 4 9 4" xfId="23491" xr:uid="{C79780F7-FF30-4796-ABA3-CB500A4856E5}"/>
    <cellStyle name="Normal 8 4 9 5" xfId="14194" xr:uid="{0044F5F3-003A-4EDA-B574-A8A7746809C4}"/>
    <cellStyle name="Normal 8 5" xfId="507" xr:uid="{00000000-0005-0000-0000-00001F1E0000}"/>
    <cellStyle name="Normal 8 5 10" xfId="27725" xr:uid="{DC044E53-A4B6-4403-A25B-2587770F10C7}"/>
    <cellStyle name="Normal 8 5 11" xfId="19278" xr:uid="{42241021-BCE4-4E7F-ACE2-9AB3A0AA246F}"/>
    <cellStyle name="Normal 8 5 12" xfId="9981" xr:uid="{C6DD75D6-F206-4EC4-90BA-9E107B012BB4}"/>
    <cellStyle name="Normal 8 5 2" xfId="508" xr:uid="{00000000-0005-0000-0000-0000201E0000}"/>
    <cellStyle name="Normal 8 5 2 10" xfId="19279" xr:uid="{381FD1E5-AABD-4A48-9E14-B88D9C8E444B}"/>
    <cellStyle name="Normal 8 5 2 11" xfId="9982" xr:uid="{FBD6450A-84B5-4920-9809-B0E22614742E}"/>
    <cellStyle name="Normal 8 5 2 2" xfId="975" xr:uid="{00000000-0005-0000-0000-0000211E0000}"/>
    <cellStyle name="Normal 8 5 2 2 2" xfId="3209" xr:uid="{00000000-0005-0000-0000-0000221E0000}"/>
    <cellStyle name="Normal 8 5 2 2 2 2" xfId="7431" xr:uid="{00000000-0005-0000-0000-0000231E0000}"/>
    <cellStyle name="Normal 8 5 2 2 2 2 2" xfId="42949" xr:uid="{CBD53014-7BB5-4ADE-9670-3DC0CDD502C8}"/>
    <cellStyle name="Normal 8 5 2 2 2 2 3" xfId="34502" xr:uid="{96F48B80-02AC-4525-8347-EDA230BA5CEE}"/>
    <cellStyle name="Normal 8 5 2 2 2 2 4" xfId="26054" xr:uid="{AD466458-BB3C-4AF5-A60D-08502F13F5F8}"/>
    <cellStyle name="Normal 8 5 2 2 2 2 5" xfId="16757" xr:uid="{841881AF-AFEC-4143-BFEB-3D5A397C52C1}"/>
    <cellStyle name="Normal 8 5 2 2 2 3" xfId="38732" xr:uid="{34997149-69F1-422B-8C82-09C8851B33A7}"/>
    <cellStyle name="Normal 8 5 2 2 2 4" xfId="30284" xr:uid="{549DB06C-25BE-479D-9C48-507D23710B20}"/>
    <cellStyle name="Normal 8 5 2 2 2 5" xfId="21837" xr:uid="{7ADFF7F8-8A26-4112-B465-A3A490F5C669}"/>
    <cellStyle name="Normal 8 5 2 2 2 6" xfId="12540" xr:uid="{2C4A1A8E-5F50-4AC9-A557-B3F1B531B6FA}"/>
    <cellStyle name="Normal 8 5 2 2 3" xfId="5286" xr:uid="{00000000-0005-0000-0000-0000241E0000}"/>
    <cellStyle name="Normal 8 5 2 2 3 2" xfId="40804" xr:uid="{D0F0689C-BCC4-4CF2-AF88-B2B70FF4B27D}"/>
    <cellStyle name="Normal 8 5 2 2 3 3" xfId="32357" xr:uid="{A8DD1061-DE6B-4537-83EA-2CB1A420098D}"/>
    <cellStyle name="Normal 8 5 2 2 3 4" xfId="23909" xr:uid="{5D89A759-F7A0-4FB1-95C1-74661C06B375}"/>
    <cellStyle name="Normal 8 5 2 2 3 5" xfId="14612" xr:uid="{D4F83AD6-D978-49C3-A538-B0B67A8DB173}"/>
    <cellStyle name="Normal 8 5 2 2 4" xfId="9477" xr:uid="{62ED1F43-6081-4B0B-94C3-5999D37D11C7}"/>
    <cellStyle name="Normal 8 5 2 2 4 2" xfId="36587" xr:uid="{4686D0A8-AEB9-4C8F-B8A5-A8178EBA3A4C}"/>
    <cellStyle name="Normal 8 5 2 2 4 3" xfId="18790" xr:uid="{5C78FE3C-C59C-45C8-A5A6-5A0B67C0FD5E}"/>
    <cellStyle name="Normal 8 5 2 2 5" xfId="28139" xr:uid="{FF8FFEFB-4A47-41F7-AA20-338B68E8ECCC}"/>
    <cellStyle name="Normal 8 5 2 2 6" xfId="19692" xr:uid="{1084F751-3E7D-4F87-BEF1-790D7DC8E8F5}"/>
    <cellStyle name="Normal 8 5 2 2 7" xfId="10395" xr:uid="{C3893641-33AB-4A62-8FA4-5A2D94CBC207}"/>
    <cellStyle name="Normal 8 5 2 3" xfId="1392" xr:uid="{00000000-0005-0000-0000-0000251E0000}"/>
    <cellStyle name="Normal 8 5 2 3 2" xfId="3622" xr:uid="{00000000-0005-0000-0000-0000261E0000}"/>
    <cellStyle name="Normal 8 5 2 3 2 2" xfId="7844" xr:uid="{00000000-0005-0000-0000-0000271E0000}"/>
    <cellStyle name="Normal 8 5 2 3 2 2 2" xfId="43362" xr:uid="{F671DC7F-E30B-48BA-AA09-64CD303770EE}"/>
    <cellStyle name="Normal 8 5 2 3 2 2 3" xfId="34915" xr:uid="{823AEE79-DBA5-4E77-A63F-B89F7B09A724}"/>
    <cellStyle name="Normal 8 5 2 3 2 2 4" xfId="26467" xr:uid="{43B38C7E-E92F-4397-99F9-2A67ED210D3B}"/>
    <cellStyle name="Normal 8 5 2 3 2 2 5" xfId="17170" xr:uid="{3949DB81-2D50-4562-B16B-3DDE101C67FD}"/>
    <cellStyle name="Normal 8 5 2 3 2 3" xfId="39145" xr:uid="{0EB6452D-6A99-41E1-B038-BEFA5C63DFDE}"/>
    <cellStyle name="Normal 8 5 2 3 2 4" xfId="30697" xr:uid="{A48915C2-5CE4-4CCF-A389-414340DAF925}"/>
    <cellStyle name="Normal 8 5 2 3 2 5" xfId="22250" xr:uid="{D3EFA617-5AAA-4E97-8BFF-C0B1E395EE3B}"/>
    <cellStyle name="Normal 8 5 2 3 2 6" xfId="12953" xr:uid="{102905EE-3358-414E-9AC4-D3D0DB3FB32E}"/>
    <cellStyle name="Normal 8 5 2 3 3" xfId="5699" xr:uid="{00000000-0005-0000-0000-0000281E0000}"/>
    <cellStyle name="Normal 8 5 2 3 3 2" xfId="41217" xr:uid="{8164D1EF-5514-4BC9-BA80-C8163AC8CA7E}"/>
    <cellStyle name="Normal 8 5 2 3 3 3" xfId="32770" xr:uid="{B2B18D1A-C98C-4B15-91E2-8F0D1EAE8012}"/>
    <cellStyle name="Normal 8 5 2 3 3 4" xfId="24322" xr:uid="{BA55F747-339D-4A9C-920A-253AE49FDA01}"/>
    <cellStyle name="Normal 8 5 2 3 3 5" xfId="15025" xr:uid="{B1F76F3A-FC5E-406A-8F7D-664B5009043F}"/>
    <cellStyle name="Normal 8 5 2 3 4" xfId="37000" xr:uid="{0D627B4A-02E0-490D-A95B-ABED514036A3}"/>
    <cellStyle name="Normal 8 5 2 3 5" xfId="28552" xr:uid="{29590A14-98AF-4B46-93BA-D8CCE63F418D}"/>
    <cellStyle name="Normal 8 5 2 3 6" xfId="20105" xr:uid="{80E67D41-2B8F-45AB-A995-5FC97ADB7152}"/>
    <cellStyle name="Normal 8 5 2 3 7" xfId="10808" xr:uid="{DBF9266F-1A1B-4EBB-9C17-2A893AF5376A}"/>
    <cellStyle name="Normal 8 5 2 4" xfId="1805" xr:uid="{00000000-0005-0000-0000-0000291E0000}"/>
    <cellStyle name="Normal 8 5 2 4 2" xfId="4035" xr:uid="{00000000-0005-0000-0000-00002A1E0000}"/>
    <cellStyle name="Normal 8 5 2 4 2 2" xfId="8257" xr:uid="{00000000-0005-0000-0000-00002B1E0000}"/>
    <cellStyle name="Normal 8 5 2 4 2 2 2" xfId="43775" xr:uid="{3697B72A-E73A-4F93-930F-44E581423A00}"/>
    <cellStyle name="Normal 8 5 2 4 2 2 3" xfId="35328" xr:uid="{5C7EEDB8-BA30-40C6-833F-27AFA9C662B5}"/>
    <cellStyle name="Normal 8 5 2 4 2 2 4" xfId="26880" xr:uid="{9A19D91C-7D11-44AB-9D96-16A670F288E3}"/>
    <cellStyle name="Normal 8 5 2 4 2 2 5" xfId="17583" xr:uid="{18B94FE2-3A3B-435F-9364-953D6E51EE39}"/>
    <cellStyle name="Normal 8 5 2 4 2 3" xfId="39558" xr:uid="{AE4278C0-2362-4293-8C8F-E3DFB73823FA}"/>
    <cellStyle name="Normal 8 5 2 4 2 4" xfId="31110" xr:uid="{EB05C703-DAA4-428C-8FFA-70215FF2D790}"/>
    <cellStyle name="Normal 8 5 2 4 2 5" xfId="22663" xr:uid="{EA0BBDB7-5D61-4E72-A165-0F92E86256AC}"/>
    <cellStyle name="Normal 8 5 2 4 2 6" xfId="13366" xr:uid="{040CB67A-F882-4152-A49D-4D4F8FC0BF74}"/>
    <cellStyle name="Normal 8 5 2 4 3" xfId="6112" xr:uid="{00000000-0005-0000-0000-00002C1E0000}"/>
    <cellStyle name="Normal 8 5 2 4 3 2" xfId="41630" xr:uid="{99221DA2-9FFC-43E9-A3E8-B67E347208EC}"/>
    <cellStyle name="Normal 8 5 2 4 3 3" xfId="33183" xr:uid="{19A54220-B6A5-46E2-A444-A358857F9FEF}"/>
    <cellStyle name="Normal 8 5 2 4 3 4" xfId="24735" xr:uid="{D8D4E880-E674-4CF5-9C11-B6B2CF5DD11C}"/>
    <cellStyle name="Normal 8 5 2 4 3 5" xfId="15438" xr:uid="{E122CE1C-2258-4BCA-B6E5-A9F2893DF799}"/>
    <cellStyle name="Normal 8 5 2 4 4" xfId="37413" xr:uid="{6D3F83DC-A9A4-4483-A603-DFF3CC21466F}"/>
    <cellStyle name="Normal 8 5 2 4 5" xfId="28965" xr:uid="{72E266E2-4C9D-426B-AAB4-AA59129D5E8D}"/>
    <cellStyle name="Normal 8 5 2 4 6" xfId="20518" xr:uid="{37B150FA-0202-4DDF-9182-309896E17586}"/>
    <cellStyle name="Normal 8 5 2 4 7" xfId="11221" xr:uid="{CDAA6055-39E2-4059-B45A-2777916D3EDE}"/>
    <cellStyle name="Normal 8 5 2 5" xfId="2219" xr:uid="{00000000-0005-0000-0000-00002D1E0000}"/>
    <cellStyle name="Normal 8 5 2 5 2" xfId="4448" xr:uid="{00000000-0005-0000-0000-00002E1E0000}"/>
    <cellStyle name="Normal 8 5 2 5 2 2" xfId="8670" xr:uid="{00000000-0005-0000-0000-00002F1E0000}"/>
    <cellStyle name="Normal 8 5 2 5 2 2 2" xfId="44188" xr:uid="{CFD4FD6F-3B26-4F16-9F65-8A72CBBC63D2}"/>
    <cellStyle name="Normal 8 5 2 5 2 2 3" xfId="35741" xr:uid="{980EE8B5-7F9E-4502-A3E1-BA3CDBFA1C2B}"/>
    <cellStyle name="Normal 8 5 2 5 2 2 4" xfId="27293" xr:uid="{1A9D8806-1E5F-4D09-812F-4C74C2C5D891}"/>
    <cellStyle name="Normal 8 5 2 5 2 2 5" xfId="17996" xr:uid="{ABFB129E-9925-439E-8804-89EE013A0683}"/>
    <cellStyle name="Normal 8 5 2 5 2 3" xfId="39971" xr:uid="{CF87BE95-B9B8-496C-A399-0C09860D3FF5}"/>
    <cellStyle name="Normal 8 5 2 5 2 4" xfId="31523" xr:uid="{2E923287-5456-4C74-B660-9DE661F4C3EA}"/>
    <cellStyle name="Normal 8 5 2 5 2 5" xfId="23076" xr:uid="{C7296BF7-CB2D-4699-9242-6A970212DA78}"/>
    <cellStyle name="Normal 8 5 2 5 2 6" xfId="13779" xr:uid="{A1EF5005-3801-4F11-8ECE-7928519D16B3}"/>
    <cellStyle name="Normal 8 5 2 5 3" xfId="6525" xr:uid="{00000000-0005-0000-0000-0000301E0000}"/>
    <cellStyle name="Normal 8 5 2 5 3 2" xfId="42043" xr:uid="{207F0A5A-A822-4D97-BE09-D9673D4D5E58}"/>
    <cellStyle name="Normal 8 5 2 5 3 3" xfId="33596" xr:uid="{B67EBF53-F71B-422B-9E7A-B0BEC73C4099}"/>
    <cellStyle name="Normal 8 5 2 5 3 4" xfId="25148" xr:uid="{8D61C37A-15FE-4BD5-96C3-CB79BAE81884}"/>
    <cellStyle name="Normal 8 5 2 5 3 5" xfId="15851" xr:uid="{7AC11E8B-C3B4-4687-8D9C-162AC5E46D0B}"/>
    <cellStyle name="Normal 8 5 2 5 4" xfId="37826" xr:uid="{7B5F6AED-7C23-4DAE-A192-3A37A02E6834}"/>
    <cellStyle name="Normal 8 5 2 5 5" xfId="29378" xr:uid="{4A7B99FC-CF4A-4DFA-861D-01B1F1E2C815}"/>
    <cellStyle name="Normal 8 5 2 5 6" xfId="20931" xr:uid="{727EEA60-AE74-4E4E-9382-ACEE26C1CB9C}"/>
    <cellStyle name="Normal 8 5 2 5 7" xfId="11634" xr:uid="{95667CEF-0CEF-447F-9A65-71E41B73F28E}"/>
    <cellStyle name="Normal 8 5 2 6" xfId="2655" xr:uid="{00000000-0005-0000-0000-0000311E0000}"/>
    <cellStyle name="Normal 8 5 2 6 2" xfId="6938" xr:uid="{00000000-0005-0000-0000-0000321E0000}"/>
    <cellStyle name="Normal 8 5 2 6 2 2" xfId="42456" xr:uid="{2D5AB661-1185-4BC0-8833-19EAA0864F94}"/>
    <cellStyle name="Normal 8 5 2 6 2 3" xfId="34009" xr:uid="{BA580528-12D9-4139-B3C5-8961BB62CAFC}"/>
    <cellStyle name="Normal 8 5 2 6 2 4" xfId="25561" xr:uid="{48D8622B-C8C1-4188-BF68-A983F4743164}"/>
    <cellStyle name="Normal 8 5 2 6 2 5" xfId="16264" xr:uid="{C5A7DA52-7B8C-4517-A3E5-E2B765DBBED1}"/>
    <cellStyle name="Normal 8 5 2 6 3" xfId="38239" xr:uid="{653FCE08-DC24-4FCB-903F-5314A9D8396D}"/>
    <cellStyle name="Normal 8 5 2 6 4" xfId="29791" xr:uid="{0B288EA1-112E-4767-BC30-F299DC32344C}"/>
    <cellStyle name="Normal 8 5 2 6 5" xfId="21344" xr:uid="{0F2F2242-3499-46EB-800D-7BF565090966}"/>
    <cellStyle name="Normal 8 5 2 6 6" xfId="12047" xr:uid="{8C4EBD13-83C1-4276-BF90-2DFF73D556B7}"/>
    <cellStyle name="Normal 8 5 2 7" xfId="4873" xr:uid="{00000000-0005-0000-0000-0000331E0000}"/>
    <cellStyle name="Normal 8 5 2 7 2" xfId="40391" xr:uid="{706DC42B-41E1-4DF3-BD03-B081568FC7FE}"/>
    <cellStyle name="Normal 8 5 2 7 3" xfId="31944" xr:uid="{D333B477-1283-460E-AC2B-DE8D64FDAB67}"/>
    <cellStyle name="Normal 8 5 2 7 4" xfId="23496" xr:uid="{A7308806-B283-4918-BEBB-ECD9EC3438B9}"/>
    <cellStyle name="Normal 8 5 2 7 5" xfId="14199" xr:uid="{C9419E0B-9C8A-4E33-AAF0-CA2532694078}"/>
    <cellStyle name="Normal 8 5 2 8" xfId="9052" xr:uid="{D754D15A-EECE-4975-9542-AF3C340304E3}"/>
    <cellStyle name="Normal 8 5 2 8 2" xfId="36174" xr:uid="{AF124156-F884-4A0C-A81C-CCCA6525155E}"/>
    <cellStyle name="Normal 8 5 2 8 3" xfId="18375" xr:uid="{642452AF-596F-4EF7-858A-9D4349471416}"/>
    <cellStyle name="Normal 8 5 2 9" xfId="27726" xr:uid="{7671BD5D-5659-426C-AED4-0837A375898B}"/>
    <cellStyle name="Normal 8 5 3" xfId="974" xr:uid="{00000000-0005-0000-0000-0000341E0000}"/>
    <cellStyle name="Normal 8 5 3 2" xfId="3208" xr:uid="{00000000-0005-0000-0000-0000351E0000}"/>
    <cellStyle name="Normal 8 5 3 2 2" xfId="7430" xr:uid="{00000000-0005-0000-0000-0000361E0000}"/>
    <cellStyle name="Normal 8 5 3 2 2 2" xfId="42948" xr:uid="{F1DEE4B4-0397-493C-B827-096CC5A037CC}"/>
    <cellStyle name="Normal 8 5 3 2 2 3" xfId="34501" xr:uid="{6A83BD11-7F14-41D5-BD52-FFDFB907A142}"/>
    <cellStyle name="Normal 8 5 3 2 2 4" xfId="26053" xr:uid="{2A1BFF49-3BE8-4944-9030-BBDEF3B90D02}"/>
    <cellStyle name="Normal 8 5 3 2 2 5" xfId="16756" xr:uid="{EB7EBA83-DC2D-4A53-B98E-047DDDBAA859}"/>
    <cellStyle name="Normal 8 5 3 2 3" xfId="38731" xr:uid="{4B0D0D0A-40E6-4FD0-8950-8F2B87429C28}"/>
    <cellStyle name="Normal 8 5 3 2 4" xfId="30283" xr:uid="{E76067B9-2F94-4AF9-8F46-30D0D1E3B1A8}"/>
    <cellStyle name="Normal 8 5 3 2 5" xfId="21836" xr:uid="{86E6CCE8-8182-431C-8440-38158A27C7AA}"/>
    <cellStyle name="Normal 8 5 3 2 6" xfId="12539" xr:uid="{96883F4E-2769-47BF-B7A3-CED0A2880282}"/>
    <cellStyle name="Normal 8 5 3 3" xfId="5285" xr:uid="{00000000-0005-0000-0000-0000371E0000}"/>
    <cellStyle name="Normal 8 5 3 3 2" xfId="40803" xr:uid="{0E7BAC02-F59E-4264-85A8-A9FC0E146A0E}"/>
    <cellStyle name="Normal 8 5 3 3 3" xfId="32356" xr:uid="{717010A0-226B-4323-8A78-A48CF84BA360}"/>
    <cellStyle name="Normal 8 5 3 3 4" xfId="23908" xr:uid="{CC40B20D-0102-46EF-AD79-F1C4FA75C863}"/>
    <cellStyle name="Normal 8 5 3 3 5" xfId="14611" xr:uid="{218820BD-0AA3-48C2-AFE1-C07EF1385D7E}"/>
    <cellStyle name="Normal 8 5 3 4" xfId="9270" xr:uid="{88F9D262-71F2-4DD2-A7F6-B0DCE74ABD45}"/>
    <cellStyle name="Normal 8 5 3 4 2" xfId="36586" xr:uid="{22B2A9A5-029A-4372-A08A-ACB939261DEC}"/>
    <cellStyle name="Normal 8 5 3 4 3" xfId="18583" xr:uid="{8973EB31-EBD5-4D0A-9849-E48B3991CF2B}"/>
    <cellStyle name="Normal 8 5 3 5" xfId="28138" xr:uid="{7E00D64C-822E-456F-8195-C436D04D92DB}"/>
    <cellStyle name="Normal 8 5 3 6" xfId="19691" xr:uid="{76BCCDE0-6C04-45EE-BB49-527DECBE1063}"/>
    <cellStyle name="Normal 8 5 3 7" xfId="10394" xr:uid="{8B9FE6D9-7FEB-4DF9-9CCE-46CD4F222CBC}"/>
    <cellStyle name="Normal 8 5 4" xfId="1391" xr:uid="{00000000-0005-0000-0000-0000381E0000}"/>
    <cellStyle name="Normal 8 5 4 2" xfId="3621" xr:uid="{00000000-0005-0000-0000-0000391E0000}"/>
    <cellStyle name="Normal 8 5 4 2 2" xfId="7843" xr:uid="{00000000-0005-0000-0000-00003A1E0000}"/>
    <cellStyle name="Normal 8 5 4 2 2 2" xfId="43361" xr:uid="{B06E153A-99CF-4719-A230-5CFEC503CB3B}"/>
    <cellStyle name="Normal 8 5 4 2 2 3" xfId="34914" xr:uid="{1FDE4A8A-D0CF-431D-9CAD-F2CAE92FEAA0}"/>
    <cellStyle name="Normal 8 5 4 2 2 4" xfId="26466" xr:uid="{3D6F41F4-66A2-45F4-8E1D-AC9E0B581BBC}"/>
    <cellStyle name="Normal 8 5 4 2 2 5" xfId="17169" xr:uid="{F6498BEA-0797-4D4B-9AD9-6651DB3C5491}"/>
    <cellStyle name="Normal 8 5 4 2 3" xfId="39144" xr:uid="{137FCC5D-2089-4244-9C02-1B47D8CC359B}"/>
    <cellStyle name="Normal 8 5 4 2 4" xfId="30696" xr:uid="{A749D398-AAB0-44E9-BE0A-C561A7983EC3}"/>
    <cellStyle name="Normal 8 5 4 2 5" xfId="22249" xr:uid="{00A4AFB7-26B5-4F06-A23F-B73F79BACBBB}"/>
    <cellStyle name="Normal 8 5 4 2 6" xfId="12952" xr:uid="{8D23EBE6-8737-4D58-A42C-442449B2F3D3}"/>
    <cellStyle name="Normal 8 5 4 3" xfId="5698" xr:uid="{00000000-0005-0000-0000-00003B1E0000}"/>
    <cellStyle name="Normal 8 5 4 3 2" xfId="41216" xr:uid="{A1DB9A39-BBDE-4C04-9883-D02A666EF2A7}"/>
    <cellStyle name="Normal 8 5 4 3 3" xfId="32769" xr:uid="{468DA001-1DEE-4A37-8255-DB360E83792D}"/>
    <cellStyle name="Normal 8 5 4 3 4" xfId="24321" xr:uid="{D5E5EE1C-195D-4D8B-972D-292DD3055BA8}"/>
    <cellStyle name="Normal 8 5 4 3 5" xfId="15024" xr:uid="{2E2427F7-B086-4C87-A1AC-73BC3385F8C8}"/>
    <cellStyle name="Normal 8 5 4 4" xfId="36999" xr:uid="{02A182B8-31B7-44A7-AE74-6020B9D6BBE7}"/>
    <cellStyle name="Normal 8 5 4 5" xfId="28551" xr:uid="{9BBC2114-AE10-4712-AE5B-8FFA8F0824D9}"/>
    <cellStyle name="Normal 8 5 4 6" xfId="20104" xr:uid="{8EE0C4CC-E2FF-42D4-A451-232B9CD06116}"/>
    <cellStyle name="Normal 8 5 4 7" xfId="10807" xr:uid="{7DF3E6F1-223D-47D0-A8A5-F8085E36403D}"/>
    <cellStyle name="Normal 8 5 5" xfId="1804" xr:uid="{00000000-0005-0000-0000-00003C1E0000}"/>
    <cellStyle name="Normal 8 5 5 2" xfId="4034" xr:uid="{00000000-0005-0000-0000-00003D1E0000}"/>
    <cellStyle name="Normal 8 5 5 2 2" xfId="8256" xr:uid="{00000000-0005-0000-0000-00003E1E0000}"/>
    <cellStyle name="Normal 8 5 5 2 2 2" xfId="43774" xr:uid="{41C24B81-BE88-4672-B1CD-EA5216D97728}"/>
    <cellStyle name="Normal 8 5 5 2 2 3" xfId="35327" xr:uid="{194D26D9-7F11-41EF-B698-64F8311856AF}"/>
    <cellStyle name="Normal 8 5 5 2 2 4" xfId="26879" xr:uid="{B4EF3DDD-188D-44B5-8A5B-B0C93F9EC266}"/>
    <cellStyle name="Normal 8 5 5 2 2 5" xfId="17582" xr:uid="{A1C46CF2-7220-4B78-AD00-180EB5272468}"/>
    <cellStyle name="Normal 8 5 5 2 3" xfId="39557" xr:uid="{671D5451-FDC4-46BB-B9F5-B6DBECF6C519}"/>
    <cellStyle name="Normal 8 5 5 2 4" xfId="31109" xr:uid="{0228C2F2-010C-4258-98D6-D390CFC6D265}"/>
    <cellStyle name="Normal 8 5 5 2 5" xfId="22662" xr:uid="{177D2743-1BF1-4156-AF29-28AE05C482D8}"/>
    <cellStyle name="Normal 8 5 5 2 6" xfId="13365" xr:uid="{E12C7714-4AD7-48C0-BFDE-7B45B8F86FBA}"/>
    <cellStyle name="Normal 8 5 5 3" xfId="6111" xr:uid="{00000000-0005-0000-0000-00003F1E0000}"/>
    <cellStyle name="Normal 8 5 5 3 2" xfId="41629" xr:uid="{4BA7D11B-EAC0-41CE-9B02-E468B91CB43C}"/>
    <cellStyle name="Normal 8 5 5 3 3" xfId="33182" xr:uid="{90BF005F-9046-49CC-952C-4448BDEAE1ED}"/>
    <cellStyle name="Normal 8 5 5 3 4" xfId="24734" xr:uid="{FD568987-6BD4-433F-9A9B-1BC1BC8276DE}"/>
    <cellStyle name="Normal 8 5 5 3 5" xfId="15437" xr:uid="{BE4AF685-FE5D-4AE6-8889-B2D5837BA9FE}"/>
    <cellStyle name="Normal 8 5 5 4" xfId="37412" xr:uid="{0A838BF6-58F1-4591-AE43-4938A8563C7A}"/>
    <cellStyle name="Normal 8 5 5 5" xfId="28964" xr:uid="{28684592-F286-4620-94A2-920551C260EB}"/>
    <cellStyle name="Normal 8 5 5 6" xfId="20517" xr:uid="{22BC09BB-D956-4CC4-AF6D-E579D3E2A20A}"/>
    <cellStyle name="Normal 8 5 5 7" xfId="11220" xr:uid="{AE2867B8-A1DE-4F90-A72D-77A296B5BC21}"/>
    <cellStyle name="Normal 8 5 6" xfId="2218" xr:uid="{00000000-0005-0000-0000-0000401E0000}"/>
    <cellStyle name="Normal 8 5 6 2" xfId="4447" xr:uid="{00000000-0005-0000-0000-0000411E0000}"/>
    <cellStyle name="Normal 8 5 6 2 2" xfId="8669" xr:uid="{00000000-0005-0000-0000-0000421E0000}"/>
    <cellStyle name="Normal 8 5 6 2 2 2" xfId="44187" xr:uid="{3D61FD8F-F38F-478C-BA3D-D53C6B91780C}"/>
    <cellStyle name="Normal 8 5 6 2 2 3" xfId="35740" xr:uid="{D1E009D0-5E11-43BF-AEB7-97AD0F833F6F}"/>
    <cellStyle name="Normal 8 5 6 2 2 4" xfId="27292" xr:uid="{DE02640D-FD34-4711-849C-C0023B6B9A72}"/>
    <cellStyle name="Normal 8 5 6 2 2 5" xfId="17995" xr:uid="{13A61F4D-FAC8-44D5-A314-4616B161AA14}"/>
    <cellStyle name="Normal 8 5 6 2 3" xfId="39970" xr:uid="{BF575648-0F5C-424B-9FE0-D78C55CA9AED}"/>
    <cellStyle name="Normal 8 5 6 2 4" xfId="31522" xr:uid="{6DB02524-09DF-4272-BCC4-2B4D007DDAF8}"/>
    <cellStyle name="Normal 8 5 6 2 5" xfId="23075" xr:uid="{9BD5566D-5FAF-46C6-8B54-44EF37BCEFD9}"/>
    <cellStyle name="Normal 8 5 6 2 6" xfId="13778" xr:uid="{1495FB89-CDA6-4096-9A42-E73A783660E5}"/>
    <cellStyle name="Normal 8 5 6 3" xfId="6524" xr:uid="{00000000-0005-0000-0000-0000431E0000}"/>
    <cellStyle name="Normal 8 5 6 3 2" xfId="42042" xr:uid="{E2670071-913B-499D-A76C-DB5E3C559285}"/>
    <cellStyle name="Normal 8 5 6 3 3" xfId="33595" xr:uid="{0A117628-934A-468C-80BC-CFEF5E94BC74}"/>
    <cellStyle name="Normal 8 5 6 3 4" xfId="25147" xr:uid="{A5BB9BB4-2D2B-406B-9B22-35B8AF32A73B}"/>
    <cellStyle name="Normal 8 5 6 3 5" xfId="15850" xr:uid="{96A8CFDA-FE76-4DBF-9544-1A1BE3523697}"/>
    <cellStyle name="Normal 8 5 6 4" xfId="37825" xr:uid="{8D61460C-5975-4680-8F3C-733C6E084598}"/>
    <cellStyle name="Normal 8 5 6 5" xfId="29377" xr:uid="{A4681DEE-18FE-4144-97EC-4E9C9EAF5725}"/>
    <cellStyle name="Normal 8 5 6 6" xfId="20930" xr:uid="{A775772D-1D64-4CD3-896D-9E184D871034}"/>
    <cellStyle name="Normal 8 5 6 7" xfId="11633" xr:uid="{17BA27AC-E5F1-44E7-BF48-14A7A2FCB1D6}"/>
    <cellStyle name="Normal 8 5 7" xfId="2654" xr:uid="{00000000-0005-0000-0000-0000441E0000}"/>
    <cellStyle name="Normal 8 5 7 2" xfId="6937" xr:uid="{00000000-0005-0000-0000-0000451E0000}"/>
    <cellStyle name="Normal 8 5 7 2 2" xfId="42455" xr:uid="{47A1B94D-8074-4F17-A30D-30654C2AE8F2}"/>
    <cellStyle name="Normal 8 5 7 2 3" xfId="34008" xr:uid="{572F1EF3-CBED-497C-BEEB-64F767974359}"/>
    <cellStyle name="Normal 8 5 7 2 4" xfId="25560" xr:uid="{9DB6868F-E290-472C-9E17-E082FB2D3842}"/>
    <cellStyle name="Normal 8 5 7 2 5" xfId="16263" xr:uid="{054A3B75-0815-4BA1-85A4-A0A6D7957C3B}"/>
    <cellStyle name="Normal 8 5 7 3" xfId="38238" xr:uid="{6821676E-FB61-4F56-BE04-D33365CBA06E}"/>
    <cellStyle name="Normal 8 5 7 4" xfId="29790" xr:uid="{95478BD4-8EA0-45A3-BB66-47E5E4D706B2}"/>
    <cellStyle name="Normal 8 5 7 5" xfId="21343" xr:uid="{47F00CD1-458D-4AB1-A6F7-3A0B855BD41F}"/>
    <cellStyle name="Normal 8 5 7 6" xfId="12046" xr:uid="{326C9DB6-692F-41DB-84A8-35BB326E3884}"/>
    <cellStyle name="Normal 8 5 8" xfId="4872" xr:uid="{00000000-0005-0000-0000-0000461E0000}"/>
    <cellStyle name="Normal 8 5 8 2" xfId="40390" xr:uid="{DC4D787E-B291-4F46-85F5-3E4E99C9285F}"/>
    <cellStyle name="Normal 8 5 8 3" xfId="31943" xr:uid="{F9954BB8-4B2D-4DC8-BFE5-8736ACE44E6A}"/>
    <cellStyle name="Normal 8 5 8 4" xfId="23495" xr:uid="{0F97EEAA-C409-4E62-84AF-B62CDBD1B0E1}"/>
    <cellStyle name="Normal 8 5 8 5" xfId="14198" xr:uid="{1A2AD581-957D-4501-AFE0-71B52CF32F9E}"/>
    <cellStyle name="Normal 8 5 9" xfId="8845" xr:uid="{C8167C67-59BC-42DE-816D-718433EFB28C}"/>
    <cellStyle name="Normal 8 5 9 2" xfId="36173" xr:uid="{80BF21AA-07E5-44BA-83DB-7E1C36DF9512}"/>
    <cellStyle name="Normal 8 5 9 3" xfId="18168" xr:uid="{D5F110C0-3803-413C-9FCD-1FA613CCD226}"/>
    <cellStyle name="Normal 8 6" xfId="509" xr:uid="{00000000-0005-0000-0000-0000471E0000}"/>
    <cellStyle name="Normal 8 6 10" xfId="19280" xr:uid="{3DAB72A6-D60F-4B1B-8D78-E3B8248AE8F1}"/>
    <cellStyle name="Normal 8 6 11" xfId="9983" xr:uid="{40AE3DD8-F3B7-4B5C-B49A-443E71117CA8}"/>
    <cellStyle name="Normal 8 6 2" xfId="976" xr:uid="{00000000-0005-0000-0000-0000481E0000}"/>
    <cellStyle name="Normal 8 6 2 2" xfId="3210" xr:uid="{00000000-0005-0000-0000-0000491E0000}"/>
    <cellStyle name="Normal 8 6 2 2 2" xfId="7432" xr:uid="{00000000-0005-0000-0000-00004A1E0000}"/>
    <cellStyle name="Normal 8 6 2 2 2 2" xfId="42950" xr:uid="{9F5AB370-AE44-473D-9AEB-48C201A99537}"/>
    <cellStyle name="Normal 8 6 2 2 2 3" xfId="34503" xr:uid="{8B19DD56-953F-46C4-8538-BDC2E4383474}"/>
    <cellStyle name="Normal 8 6 2 2 2 4" xfId="26055" xr:uid="{BF42AAEC-5519-4741-B36C-FE9488FE0905}"/>
    <cellStyle name="Normal 8 6 2 2 2 5" xfId="16758" xr:uid="{D07DBB7B-86ED-4F53-BBBE-71301C6AD4F3}"/>
    <cellStyle name="Normal 8 6 2 2 3" xfId="38733" xr:uid="{A7613D15-9A31-47AB-B74E-BE81451BF17D}"/>
    <cellStyle name="Normal 8 6 2 2 4" xfId="30285" xr:uid="{B3BB268F-952C-4811-8445-9D6265155D4C}"/>
    <cellStyle name="Normal 8 6 2 2 5" xfId="21838" xr:uid="{99B97C29-E03F-46BB-AAF7-430E47868C2F}"/>
    <cellStyle name="Normal 8 6 2 2 6" xfId="12541" xr:uid="{D58E4F71-F2AD-468D-9306-A572B76DC4ED}"/>
    <cellStyle name="Normal 8 6 2 3" xfId="5287" xr:uid="{00000000-0005-0000-0000-00004B1E0000}"/>
    <cellStyle name="Normal 8 6 2 3 2" xfId="40805" xr:uid="{E991FA93-B36B-421E-9C1D-04A2DFB4805D}"/>
    <cellStyle name="Normal 8 6 2 3 3" xfId="32358" xr:uid="{94E8A9D9-F782-4AF0-AC8C-CB16D29E1E87}"/>
    <cellStyle name="Normal 8 6 2 3 4" xfId="23910" xr:uid="{5B2C946B-B8E5-4B8F-84B0-9BA173FC9204}"/>
    <cellStyle name="Normal 8 6 2 3 5" xfId="14613" xr:uid="{04389F79-6309-4765-B8D3-52E59BD51527}"/>
    <cellStyle name="Normal 8 6 2 4" xfId="9386" xr:uid="{45A5CE0D-B006-45BB-A53E-22B23F4367E3}"/>
    <cellStyle name="Normal 8 6 2 4 2" xfId="36588" xr:uid="{0F153524-C409-4DFE-816A-3AB8AAB56F1C}"/>
    <cellStyle name="Normal 8 6 2 4 3" xfId="18699" xr:uid="{64D81FAA-7065-4EEA-802F-5F1A82E15209}"/>
    <cellStyle name="Normal 8 6 2 5" xfId="28140" xr:uid="{36E9328A-333C-4B56-8032-2BAFBB3272A3}"/>
    <cellStyle name="Normal 8 6 2 6" xfId="19693" xr:uid="{356A7DE9-90ED-4667-A419-513CEE3950CD}"/>
    <cellStyle name="Normal 8 6 2 7" xfId="10396" xr:uid="{C19E7ADF-AEFA-4E67-880B-4117759022B3}"/>
    <cellStyle name="Normal 8 6 3" xfId="1393" xr:uid="{00000000-0005-0000-0000-00004C1E0000}"/>
    <cellStyle name="Normal 8 6 3 2" xfId="3623" xr:uid="{00000000-0005-0000-0000-00004D1E0000}"/>
    <cellStyle name="Normal 8 6 3 2 2" xfId="7845" xr:uid="{00000000-0005-0000-0000-00004E1E0000}"/>
    <cellStyle name="Normal 8 6 3 2 2 2" xfId="43363" xr:uid="{8853FD0E-AB9A-4611-A7FD-CE36466E76EA}"/>
    <cellStyle name="Normal 8 6 3 2 2 3" xfId="34916" xr:uid="{C2206D24-815E-49EE-8077-58CD7253F640}"/>
    <cellStyle name="Normal 8 6 3 2 2 4" xfId="26468" xr:uid="{F343E49E-BF89-4C6E-AB8B-CD105A3EE3A9}"/>
    <cellStyle name="Normal 8 6 3 2 2 5" xfId="17171" xr:uid="{81CDA093-8087-4D8A-9804-F16A393A150C}"/>
    <cellStyle name="Normal 8 6 3 2 3" xfId="39146" xr:uid="{A03A317E-2EB5-44C3-90E4-F6AE4CC0D84A}"/>
    <cellStyle name="Normal 8 6 3 2 4" xfId="30698" xr:uid="{145B5E0E-2533-4F52-A749-189373A4F3CD}"/>
    <cellStyle name="Normal 8 6 3 2 5" xfId="22251" xr:uid="{DA13A5C4-D204-49EA-AF69-AA001C46B550}"/>
    <cellStyle name="Normal 8 6 3 2 6" xfId="12954" xr:uid="{537FD25C-FF58-4B67-AB21-63CBEC52355D}"/>
    <cellStyle name="Normal 8 6 3 3" xfId="5700" xr:uid="{00000000-0005-0000-0000-00004F1E0000}"/>
    <cellStyle name="Normal 8 6 3 3 2" xfId="41218" xr:uid="{219711A3-C472-4E6A-BD98-DEDECFA02AD4}"/>
    <cellStyle name="Normal 8 6 3 3 3" xfId="32771" xr:uid="{5A478B6B-61A8-462F-BEC2-9C7F9D20B7E6}"/>
    <cellStyle name="Normal 8 6 3 3 4" xfId="24323" xr:uid="{F68821AD-788A-4C1A-ABD7-F3517C04D06C}"/>
    <cellStyle name="Normal 8 6 3 3 5" xfId="15026" xr:uid="{17A85C52-68BD-47CC-A854-0BEBFC376363}"/>
    <cellStyle name="Normal 8 6 3 4" xfId="37001" xr:uid="{F5A310F4-B526-4AF8-8C5B-582BE39ED18E}"/>
    <cellStyle name="Normal 8 6 3 5" xfId="28553" xr:uid="{0D8F4115-347F-45A0-AF3B-6E18E5212DDB}"/>
    <cellStyle name="Normal 8 6 3 6" xfId="20106" xr:uid="{FBB1E976-AE14-402A-AE18-553E58C6C000}"/>
    <cellStyle name="Normal 8 6 3 7" xfId="10809" xr:uid="{ED26ACFA-554F-46CE-82F4-02A739BEDABF}"/>
    <cellStyle name="Normal 8 6 4" xfId="1806" xr:uid="{00000000-0005-0000-0000-0000501E0000}"/>
    <cellStyle name="Normal 8 6 4 2" xfId="4036" xr:uid="{00000000-0005-0000-0000-0000511E0000}"/>
    <cellStyle name="Normal 8 6 4 2 2" xfId="8258" xr:uid="{00000000-0005-0000-0000-0000521E0000}"/>
    <cellStyle name="Normal 8 6 4 2 2 2" xfId="43776" xr:uid="{BBDFD322-9577-4B51-84A4-D7A88FAA4B3B}"/>
    <cellStyle name="Normal 8 6 4 2 2 3" xfId="35329" xr:uid="{40235FEB-32FF-4078-8F92-09F6C3529216}"/>
    <cellStyle name="Normal 8 6 4 2 2 4" xfId="26881" xr:uid="{EC020C03-7D58-4E3F-9251-D59136CE20AC}"/>
    <cellStyle name="Normal 8 6 4 2 2 5" xfId="17584" xr:uid="{EE0ED3AF-91EE-4BB9-B7AA-A1111065EFC3}"/>
    <cellStyle name="Normal 8 6 4 2 3" xfId="39559" xr:uid="{8DE41BDB-49ED-47F9-AED9-29F58452AC7D}"/>
    <cellStyle name="Normal 8 6 4 2 4" xfId="31111" xr:uid="{D639716D-2E86-4939-A98F-E99937B95F3A}"/>
    <cellStyle name="Normal 8 6 4 2 5" xfId="22664" xr:uid="{68E2CFDF-55A5-4A18-B1CF-93BB0197E95B}"/>
    <cellStyle name="Normal 8 6 4 2 6" xfId="13367" xr:uid="{B3410CA3-1208-4736-83AF-8E2C129D4B6C}"/>
    <cellStyle name="Normal 8 6 4 3" xfId="6113" xr:uid="{00000000-0005-0000-0000-0000531E0000}"/>
    <cellStyle name="Normal 8 6 4 3 2" xfId="41631" xr:uid="{69255B9B-3210-4368-92EF-FDB44A2733DE}"/>
    <cellStyle name="Normal 8 6 4 3 3" xfId="33184" xr:uid="{D15C3E0C-3AB1-409C-BAA7-6314AFE6C40D}"/>
    <cellStyle name="Normal 8 6 4 3 4" xfId="24736" xr:uid="{7DC04D3D-A49B-406A-9D3E-B1BF04D6FFCF}"/>
    <cellStyle name="Normal 8 6 4 3 5" xfId="15439" xr:uid="{E806187D-E7EA-443F-A487-9915629077FA}"/>
    <cellStyle name="Normal 8 6 4 4" xfId="37414" xr:uid="{1FD22E58-0150-45B3-AE1F-FC4FB0A4C4D6}"/>
    <cellStyle name="Normal 8 6 4 5" xfId="28966" xr:uid="{41CD1105-9760-4312-8101-74179333ECA2}"/>
    <cellStyle name="Normal 8 6 4 6" xfId="20519" xr:uid="{F8BE4625-0BCE-4720-A9AA-F8A1EE9EC097}"/>
    <cellStyle name="Normal 8 6 4 7" xfId="11222" xr:uid="{61E40230-1D8E-4736-A5E3-CB96A0D150D2}"/>
    <cellStyle name="Normal 8 6 5" xfId="2220" xr:uid="{00000000-0005-0000-0000-0000541E0000}"/>
    <cellStyle name="Normal 8 6 5 2" xfId="4449" xr:uid="{00000000-0005-0000-0000-0000551E0000}"/>
    <cellStyle name="Normal 8 6 5 2 2" xfId="8671" xr:uid="{00000000-0005-0000-0000-0000561E0000}"/>
    <cellStyle name="Normal 8 6 5 2 2 2" xfId="44189" xr:uid="{4FEF7D26-8E45-4CCD-9A09-A9E1B7C76779}"/>
    <cellStyle name="Normal 8 6 5 2 2 3" xfId="35742" xr:uid="{6B4695FB-2AF8-4861-8AD6-75D0963448C6}"/>
    <cellStyle name="Normal 8 6 5 2 2 4" xfId="27294" xr:uid="{830EF19D-3DE4-4E74-BBE4-733959DCF60A}"/>
    <cellStyle name="Normal 8 6 5 2 2 5" xfId="17997" xr:uid="{C4757873-E6E1-48D0-90B9-F1BFE652FADD}"/>
    <cellStyle name="Normal 8 6 5 2 3" xfId="39972" xr:uid="{D52853EC-5731-4CEB-B1BA-B7ED250301CF}"/>
    <cellStyle name="Normal 8 6 5 2 4" xfId="31524" xr:uid="{D9A38805-70E0-4186-A95A-1C2BF6C6E393}"/>
    <cellStyle name="Normal 8 6 5 2 5" xfId="23077" xr:uid="{D10B2815-F592-47C2-9776-E826BEB5E0C2}"/>
    <cellStyle name="Normal 8 6 5 2 6" xfId="13780" xr:uid="{8A25CB1F-2A5B-4F2C-82AC-1C6B4ECD98D6}"/>
    <cellStyle name="Normal 8 6 5 3" xfId="6526" xr:uid="{00000000-0005-0000-0000-0000571E0000}"/>
    <cellStyle name="Normal 8 6 5 3 2" xfId="42044" xr:uid="{239120CE-436A-43F6-84D1-45D1DD0018F2}"/>
    <cellStyle name="Normal 8 6 5 3 3" xfId="33597" xr:uid="{63D370ED-DAA6-4D6C-AADE-D200115CFDA4}"/>
    <cellStyle name="Normal 8 6 5 3 4" xfId="25149" xr:uid="{C60F8221-111A-40CD-A97A-5484678C491E}"/>
    <cellStyle name="Normal 8 6 5 3 5" xfId="15852" xr:uid="{2E885360-E196-4083-95FB-B72B9BFE54C5}"/>
    <cellStyle name="Normal 8 6 5 4" xfId="37827" xr:uid="{60CB14B7-F4DD-4C84-9BB0-D3D9DD44124B}"/>
    <cellStyle name="Normal 8 6 5 5" xfId="29379" xr:uid="{8CCC3CEF-8B6D-44A4-8529-D6E93CF4DEB4}"/>
    <cellStyle name="Normal 8 6 5 6" xfId="20932" xr:uid="{7B43B61A-89CE-49A4-937F-04FC1E0DB553}"/>
    <cellStyle name="Normal 8 6 5 7" xfId="11635" xr:uid="{3FB0D737-4C7F-4DC6-ABFA-82C18FC50B08}"/>
    <cellStyle name="Normal 8 6 6" xfId="2656" xr:uid="{00000000-0005-0000-0000-0000581E0000}"/>
    <cellStyle name="Normal 8 6 6 2" xfId="6939" xr:uid="{00000000-0005-0000-0000-0000591E0000}"/>
    <cellStyle name="Normal 8 6 6 2 2" xfId="42457" xr:uid="{40AA52D5-FD2E-4C0E-9D7D-12DF2C9039BF}"/>
    <cellStyle name="Normal 8 6 6 2 3" xfId="34010" xr:uid="{F067411B-2340-4FD7-8117-481B39183ED0}"/>
    <cellStyle name="Normal 8 6 6 2 4" xfId="25562" xr:uid="{CBDED573-6AE3-4015-AF8B-F3A9466973C3}"/>
    <cellStyle name="Normal 8 6 6 2 5" xfId="16265" xr:uid="{1A0AE5CF-BB64-4382-AEE6-C0413BD96039}"/>
    <cellStyle name="Normal 8 6 6 3" xfId="38240" xr:uid="{1173980B-9B5D-4791-8A9C-5510A7950D89}"/>
    <cellStyle name="Normal 8 6 6 4" xfId="29792" xr:uid="{0A9EA87A-BD98-41B9-A270-172E455335E3}"/>
    <cellStyle name="Normal 8 6 6 5" xfId="21345" xr:uid="{9F974B96-26C8-4096-96FD-354F6FA5C7FF}"/>
    <cellStyle name="Normal 8 6 6 6" xfId="12048" xr:uid="{EED757B2-944F-47F6-83E7-2C5A1920F59B}"/>
    <cellStyle name="Normal 8 6 7" xfId="4874" xr:uid="{00000000-0005-0000-0000-00005A1E0000}"/>
    <cellStyle name="Normal 8 6 7 2" xfId="40392" xr:uid="{B0A285EA-AAEB-4F0F-BFE4-E0E32221FC28}"/>
    <cellStyle name="Normal 8 6 7 3" xfId="31945" xr:uid="{EA0A9CDA-4155-4396-BD9C-0481E3E0F5C5}"/>
    <cellStyle name="Normal 8 6 7 4" xfId="23497" xr:uid="{7905517A-4C36-4D00-AD9A-BCDCE7E30D84}"/>
    <cellStyle name="Normal 8 6 7 5" xfId="14200" xr:uid="{953E714F-8D0A-437F-A3AC-EA96062F93F8}"/>
    <cellStyle name="Normal 8 6 8" xfId="8961" xr:uid="{36060843-7B38-46C3-B2F1-7172ECB11EEE}"/>
    <cellStyle name="Normal 8 6 8 2" xfId="36175" xr:uid="{4AB1C5B1-4246-495C-B2CE-188BCDE9FD2D}"/>
    <cellStyle name="Normal 8 6 8 3" xfId="18284" xr:uid="{60899432-E318-4C2C-AA34-FA773E68DAA6}"/>
    <cellStyle name="Normal 8 6 9" xfId="27727" xr:uid="{D236F360-604D-4078-AB97-D9EB4BAD02EF}"/>
    <cellStyle name="Normal 8 7" xfId="945" xr:uid="{00000000-0005-0000-0000-00005B1E0000}"/>
    <cellStyle name="Normal 8 7 2" xfId="3179" xr:uid="{00000000-0005-0000-0000-00005C1E0000}"/>
    <cellStyle name="Normal 8 7 2 2" xfId="7401" xr:uid="{00000000-0005-0000-0000-00005D1E0000}"/>
    <cellStyle name="Normal 8 7 2 2 2" xfId="42919" xr:uid="{5D875EA8-A0F9-4C7E-9AA9-71B45DCFDCC5}"/>
    <cellStyle name="Normal 8 7 2 2 3" xfId="34472" xr:uid="{B7EED4C8-32EF-4096-923E-1F209986AC26}"/>
    <cellStyle name="Normal 8 7 2 2 4" xfId="26024" xr:uid="{12D693B0-B177-438E-9FC3-148E05E1B719}"/>
    <cellStyle name="Normal 8 7 2 2 5" xfId="16727" xr:uid="{322C6D5C-14B4-4E1A-B3ED-AF6287D1078D}"/>
    <cellStyle name="Normal 8 7 2 3" xfId="38702" xr:uid="{FDB2AFA9-96A1-4A78-AD7F-E21A112393F4}"/>
    <cellStyle name="Normal 8 7 2 4" xfId="30254" xr:uid="{BEBF25DF-D732-4F43-AD34-9A3D02529FCE}"/>
    <cellStyle name="Normal 8 7 2 5" xfId="21807" xr:uid="{3C138822-FFC3-4504-9829-4254216236A4}"/>
    <cellStyle name="Normal 8 7 2 6" xfId="12510" xr:uid="{0E585638-31FC-41A0-BF68-B45919B79911}"/>
    <cellStyle name="Normal 8 7 3" xfId="5256" xr:uid="{00000000-0005-0000-0000-00005E1E0000}"/>
    <cellStyle name="Normal 8 7 3 2" xfId="40774" xr:uid="{AED5DA93-3001-452C-9D3E-295F479AFAF8}"/>
    <cellStyle name="Normal 8 7 3 3" xfId="32327" xr:uid="{F93637D2-3C24-4520-BE20-4F1C5699F7BE}"/>
    <cellStyle name="Normal 8 7 3 4" xfId="23879" xr:uid="{812D46C6-825D-4946-826F-58A02C627371}"/>
    <cellStyle name="Normal 8 7 3 5" xfId="14582" xr:uid="{7A515119-3127-4D1F-A70C-194ECB82B9B3}"/>
    <cellStyle name="Normal 8 7 4" xfId="9164" xr:uid="{EA2ADDDA-E9AC-4FF8-B08B-61B1D6489A46}"/>
    <cellStyle name="Normal 8 7 4 2" xfId="36557" xr:uid="{15B1473B-8C12-4F51-8CE1-32283A0334C8}"/>
    <cellStyle name="Normal 8 7 4 3" xfId="18480" xr:uid="{7B2C8E69-5E5F-40DE-BD2D-7CEF0CECEF45}"/>
    <cellStyle name="Normal 8 7 5" xfId="28109" xr:uid="{AEEDE1CB-2151-45DC-9689-030AFAA7472C}"/>
    <cellStyle name="Normal 8 7 6" xfId="19662" xr:uid="{193E1FA7-585F-412C-95D3-290E1DC25BC8}"/>
    <cellStyle name="Normal 8 7 7" xfId="10365" xr:uid="{1C04C4CC-67DC-4E02-A47B-EE346388CF6C}"/>
    <cellStyle name="Normal 8 8" xfId="1362" xr:uid="{00000000-0005-0000-0000-00005F1E0000}"/>
    <cellStyle name="Normal 8 8 2" xfId="3592" xr:uid="{00000000-0005-0000-0000-0000601E0000}"/>
    <cellStyle name="Normal 8 8 2 2" xfId="7814" xr:uid="{00000000-0005-0000-0000-0000611E0000}"/>
    <cellStyle name="Normal 8 8 2 2 2" xfId="43332" xr:uid="{19D99DEF-1129-4499-9998-4F65DB0240ED}"/>
    <cellStyle name="Normal 8 8 2 2 3" xfId="34885" xr:uid="{B1F95C11-D8C7-4EA8-B594-F93E153F7F7A}"/>
    <cellStyle name="Normal 8 8 2 2 4" xfId="26437" xr:uid="{EC944427-7E95-4215-9306-ED527800269D}"/>
    <cellStyle name="Normal 8 8 2 2 5" xfId="17140" xr:uid="{E7DE19BD-7751-4B94-8432-42CF978C1EDB}"/>
    <cellStyle name="Normal 8 8 2 3" xfId="39115" xr:uid="{B025FCCF-ADCD-4E5F-8751-0FB49EE24961}"/>
    <cellStyle name="Normal 8 8 2 4" xfId="30667" xr:uid="{68759B6F-F7F0-491D-B089-EB4B45B795CE}"/>
    <cellStyle name="Normal 8 8 2 5" xfId="22220" xr:uid="{C41AFCE8-0D3C-468C-A4AE-AF174B8B4599}"/>
    <cellStyle name="Normal 8 8 2 6" xfId="12923" xr:uid="{A3E93E9C-82D8-462C-B9DE-5351C172E745}"/>
    <cellStyle name="Normal 8 8 3" xfId="5669" xr:uid="{00000000-0005-0000-0000-0000621E0000}"/>
    <cellStyle name="Normal 8 8 3 2" xfId="41187" xr:uid="{2FBBDB32-CDA9-46CA-9046-BBF63C52FCE9}"/>
    <cellStyle name="Normal 8 8 3 3" xfId="32740" xr:uid="{8547FB1A-7BB4-4030-8A6F-8CC4C19E6CD5}"/>
    <cellStyle name="Normal 8 8 3 4" xfId="24292" xr:uid="{C7487321-DD76-4DA7-B520-0BD9CB045B00}"/>
    <cellStyle name="Normal 8 8 3 5" xfId="14995" xr:uid="{81CCFE04-7623-49EA-8C82-8710079E4D31}"/>
    <cellStyle name="Normal 8 8 4" xfId="36970" xr:uid="{C3FC2C0A-51B0-4318-98BE-1F86536C9A6F}"/>
    <cellStyle name="Normal 8 8 5" xfId="28522" xr:uid="{901E9132-B161-4360-92F9-30D5BF6FDC2B}"/>
    <cellStyle name="Normal 8 8 6" xfId="20075" xr:uid="{62568E80-B1F5-41BD-96AD-BAB41C2759EB}"/>
    <cellStyle name="Normal 8 8 7" xfId="10778" xr:uid="{1FDD0B03-DB23-433C-8CA6-A6C6E38C29D0}"/>
    <cellStyle name="Normal 8 9" xfId="1775" xr:uid="{00000000-0005-0000-0000-0000631E0000}"/>
    <cellStyle name="Normal 8 9 2" xfId="4005" xr:uid="{00000000-0005-0000-0000-0000641E0000}"/>
    <cellStyle name="Normal 8 9 2 2" xfId="8227" xr:uid="{00000000-0005-0000-0000-0000651E0000}"/>
    <cellStyle name="Normal 8 9 2 2 2" xfId="43745" xr:uid="{D370847A-3D61-4633-829C-F3457BE42D8E}"/>
    <cellStyle name="Normal 8 9 2 2 3" xfId="35298" xr:uid="{166F1DF2-7619-4EAF-9984-2468D7815280}"/>
    <cellStyle name="Normal 8 9 2 2 4" xfId="26850" xr:uid="{61CEA046-1E55-496A-9051-ACE69DA86B91}"/>
    <cellStyle name="Normal 8 9 2 2 5" xfId="17553" xr:uid="{62022E5C-1103-4BE2-AB52-17D943843716}"/>
    <cellStyle name="Normal 8 9 2 3" xfId="39528" xr:uid="{02DE9A22-CAC8-4044-AFA9-F8D65B02F4A6}"/>
    <cellStyle name="Normal 8 9 2 4" xfId="31080" xr:uid="{C67795BB-DA38-41E3-A5B4-3E1B8D02A9EA}"/>
    <cellStyle name="Normal 8 9 2 5" xfId="22633" xr:uid="{D49BDEB0-2D5D-4707-BAD4-A4D358DB9DBC}"/>
    <cellStyle name="Normal 8 9 2 6" xfId="13336" xr:uid="{7D480100-474A-47B0-8770-6408720740C9}"/>
    <cellStyle name="Normal 8 9 3" xfId="6082" xr:uid="{00000000-0005-0000-0000-0000661E0000}"/>
    <cellStyle name="Normal 8 9 3 2" xfId="41600" xr:uid="{82C13FBE-8424-4D37-9EAF-F487682D3A24}"/>
    <cellStyle name="Normal 8 9 3 3" xfId="33153" xr:uid="{F9674F70-D413-433E-BFCD-883AB4B00E25}"/>
    <cellStyle name="Normal 8 9 3 4" xfId="24705" xr:uid="{EB8AFCF8-36B2-497D-B5B2-AD56D37A998C}"/>
    <cellStyle name="Normal 8 9 3 5" xfId="15408" xr:uid="{4F5027AE-4046-4362-A124-97C7555A6B66}"/>
    <cellStyle name="Normal 8 9 4" xfId="37383" xr:uid="{A424C7F6-C8A2-4CAD-8EB6-9B62E6457F70}"/>
    <cellStyle name="Normal 8 9 5" xfId="28935" xr:uid="{7E76506B-5941-40EA-83FB-5E5B6B03EFD6}"/>
    <cellStyle name="Normal 8 9 6" xfId="20488" xr:uid="{31D049EC-3BFB-42A8-A691-826D3BDE5564}"/>
    <cellStyle name="Normal 8 9 7" xfId="11191" xr:uid="{320FA09A-234A-49AE-AF91-549DC1450D34}"/>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42458" xr:uid="{0C8A13D7-9A9B-49CD-A4D0-BCA77A14DD93}"/>
    <cellStyle name="Normal 9 2 10 2 3" xfId="34011" xr:uid="{372DE35F-4D6F-48A9-92A1-C42EB0416D60}"/>
    <cellStyle name="Normal 9 2 10 2 4" xfId="25563" xr:uid="{DDF8D22C-E36E-4658-99BC-C59907A91125}"/>
    <cellStyle name="Normal 9 2 10 2 5" xfId="16266" xr:uid="{3C198414-4CA6-4285-83E8-5DAF0D8176BD}"/>
    <cellStyle name="Normal 9 2 10 3" xfId="38241" xr:uid="{4E9949A9-6045-4F41-9109-42581BE1A7DE}"/>
    <cellStyle name="Normal 9 2 10 4" xfId="29793" xr:uid="{BDA6FBB5-D3F9-43ED-9403-6CB300893DCD}"/>
    <cellStyle name="Normal 9 2 10 5" xfId="21346" xr:uid="{9BE834EE-4C0D-4280-AD42-F1D4230E7521}"/>
    <cellStyle name="Normal 9 2 10 6" xfId="12049" xr:uid="{69631222-5739-4BC9-8E6B-DB57D3699318}"/>
    <cellStyle name="Normal 9 2 11" xfId="4875" xr:uid="{00000000-0005-0000-0000-00006B1E0000}"/>
    <cellStyle name="Normal 9 2 11 2" xfId="40393" xr:uid="{E1325E0F-09C8-46AC-9E36-0E3ADB96937B}"/>
    <cellStyle name="Normal 9 2 11 3" xfId="31946" xr:uid="{D09D14C6-4169-4D42-8677-159D291C5FFA}"/>
    <cellStyle name="Normal 9 2 11 4" xfId="23498" xr:uid="{9C078564-9A64-4BF6-82B7-37B53184B518}"/>
    <cellStyle name="Normal 9 2 11 5" xfId="14201" xr:uid="{E10F96E6-00BE-4BE2-AE0D-6247BD5A9F8F}"/>
    <cellStyle name="Normal 9 2 12" xfId="8754" xr:uid="{9024D06A-4C5F-4C89-BCDB-29B8C924FF52}"/>
    <cellStyle name="Normal 9 2 12 2" xfId="36176" xr:uid="{6AA95198-8586-48E4-A89D-1FFAE2271B99}"/>
    <cellStyle name="Normal 9 2 12 3" xfId="18077" xr:uid="{A6E049E9-6492-425B-A589-601EA13F1B3C}"/>
    <cellStyle name="Normal 9 2 13" xfId="27728" xr:uid="{F15825B9-3704-4954-9D05-4384EEC785DD}"/>
    <cellStyle name="Normal 9 2 14" xfId="19281" xr:uid="{B72F4E1C-E0CD-4F28-A85E-36AD32927CF2}"/>
    <cellStyle name="Normal 9 2 15" xfId="9984" xr:uid="{8F0DC65F-DDE8-419A-B326-0126738C9F61}"/>
    <cellStyle name="Normal 9 2 2" xfId="512" xr:uid="{00000000-0005-0000-0000-00006C1E0000}"/>
    <cellStyle name="Normal 9 2 2 10" xfId="4876" xr:uid="{00000000-0005-0000-0000-00006D1E0000}"/>
    <cellStyle name="Normal 9 2 2 10 2" xfId="40394" xr:uid="{442B2DC2-9127-48BB-9A5C-EF04A6ACCD04}"/>
    <cellStyle name="Normal 9 2 2 10 3" xfId="31947" xr:uid="{2C2C13A6-C08B-4CB3-84D8-047965FC9F06}"/>
    <cellStyle name="Normal 9 2 2 10 4" xfId="23499" xr:uid="{BDFB7F97-83EA-4959-BAA6-5000649FE0DF}"/>
    <cellStyle name="Normal 9 2 2 10 5" xfId="14202" xr:uid="{5D018A57-E571-411E-AF2C-A05B3BFB4476}"/>
    <cellStyle name="Normal 9 2 2 11" xfId="8785" xr:uid="{3048542E-ED39-45ED-9C91-0140D2CF60D9}"/>
    <cellStyle name="Normal 9 2 2 11 2" xfId="36177" xr:uid="{1C8D81D5-D87E-4069-84DD-5474ED6342EE}"/>
    <cellStyle name="Normal 9 2 2 11 3" xfId="18108" xr:uid="{6A60025E-3AE2-4FB2-A76C-88311C4CF9D2}"/>
    <cellStyle name="Normal 9 2 2 12" xfId="27729" xr:uid="{A8A95B88-CE12-46AA-9120-739807C5C0F9}"/>
    <cellStyle name="Normal 9 2 2 13" xfId="19282" xr:uid="{D7AC31D8-1847-44A4-BB0D-5577E7748AE1}"/>
    <cellStyle name="Normal 9 2 2 14" xfId="9985" xr:uid="{88AC17CF-2C66-4DDB-ADF5-0E95D73B6131}"/>
    <cellStyle name="Normal 9 2 2 2" xfId="513" xr:uid="{00000000-0005-0000-0000-00006E1E0000}"/>
    <cellStyle name="Normal 9 2 2 2 10" xfId="8839" xr:uid="{3B2DC7F4-4F49-4AE2-9279-EFD4857A149B}"/>
    <cellStyle name="Normal 9 2 2 2 10 2" xfId="36178" xr:uid="{FB13A5F5-4A63-41F7-A0AD-D1F16CFBCD5F}"/>
    <cellStyle name="Normal 9 2 2 2 10 3" xfId="18162" xr:uid="{62891190-34E5-4DE3-A7EB-174E26AFD45D}"/>
    <cellStyle name="Normal 9 2 2 2 11" xfId="27730" xr:uid="{E2AD124E-C278-4675-A87F-198D2FEAA2C6}"/>
    <cellStyle name="Normal 9 2 2 2 12" xfId="19283" xr:uid="{EFCF1BBC-6CD4-47D9-92B0-0C296BFBB86F}"/>
    <cellStyle name="Normal 9 2 2 2 13" xfId="9986" xr:uid="{D2E62C0E-0308-45DA-8F88-74D21A014CA4}"/>
    <cellStyle name="Normal 9 2 2 2 2" xfId="514" xr:uid="{00000000-0005-0000-0000-00006F1E0000}"/>
    <cellStyle name="Normal 9 2 2 2 2 10" xfId="27731" xr:uid="{290CB886-808D-41F4-9650-5A8DEED42A1A}"/>
    <cellStyle name="Normal 9 2 2 2 2 11" xfId="19284" xr:uid="{4ECBDBE5-AF4B-4ABB-9FB8-BAC28799B1B6}"/>
    <cellStyle name="Normal 9 2 2 2 2 12" xfId="9987" xr:uid="{1EFA493E-9C80-40A5-9FFD-965E7D68A437}"/>
    <cellStyle name="Normal 9 2 2 2 2 2" xfId="515" xr:uid="{00000000-0005-0000-0000-0000701E0000}"/>
    <cellStyle name="Normal 9 2 2 2 2 2 10" xfId="19285" xr:uid="{35DA476D-A5BC-4E33-BFFF-83BCE57D11F0}"/>
    <cellStyle name="Normal 9 2 2 2 2 2 11" xfId="9988" xr:uid="{F1FF58B3-30AA-44F3-873C-30FB48829B87}"/>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42955" xr:uid="{EBF077EE-81CE-48CA-90CD-6F68E31F7F4D}"/>
    <cellStyle name="Normal 9 2 2 2 2 2 2 2 2 3" xfId="34508" xr:uid="{C5B3CCA5-E81B-46D0-9D17-1A50F63BAC15}"/>
    <cellStyle name="Normal 9 2 2 2 2 2 2 2 2 4" xfId="26060" xr:uid="{76FDFA52-15BB-4241-8092-2ACD966CDE9F}"/>
    <cellStyle name="Normal 9 2 2 2 2 2 2 2 2 5" xfId="16763" xr:uid="{5D988E10-AB17-47DB-BCBC-356CD881A285}"/>
    <cellStyle name="Normal 9 2 2 2 2 2 2 2 3" xfId="38738" xr:uid="{0895E271-03AE-4D22-8F2E-FAFEA9CE6871}"/>
    <cellStyle name="Normal 9 2 2 2 2 2 2 2 4" xfId="30290" xr:uid="{02CBDD9D-F8D1-457D-9A50-35265B7F3AF1}"/>
    <cellStyle name="Normal 9 2 2 2 2 2 2 2 5" xfId="21843" xr:uid="{C3A21ACF-FE7A-4B6A-BC31-192A330B3A3C}"/>
    <cellStyle name="Normal 9 2 2 2 2 2 2 2 6" xfId="12546" xr:uid="{11121CE9-0981-4369-A5A6-6C86090A9207}"/>
    <cellStyle name="Normal 9 2 2 2 2 2 2 3" xfId="5292" xr:uid="{00000000-0005-0000-0000-0000741E0000}"/>
    <cellStyle name="Normal 9 2 2 2 2 2 2 3 2" xfId="40810" xr:uid="{08F9BDF0-710C-4826-BE79-E94AFA3CCE37}"/>
    <cellStyle name="Normal 9 2 2 2 2 2 2 3 3" xfId="32363" xr:uid="{BE728FD3-93F2-4190-B0BA-147F530BCDFC}"/>
    <cellStyle name="Normal 9 2 2 2 2 2 2 3 4" xfId="23915" xr:uid="{7BEEFC87-802C-4277-A4AB-06961A94BF99}"/>
    <cellStyle name="Normal 9 2 2 2 2 2 2 3 5" xfId="14618" xr:uid="{54544D17-7496-47C0-90CC-BEBE9CAC71CF}"/>
    <cellStyle name="Normal 9 2 2 2 2 2 2 4" xfId="9574" xr:uid="{00EB170D-8A20-4280-B781-E452C3590555}"/>
    <cellStyle name="Normal 9 2 2 2 2 2 2 4 2" xfId="36593" xr:uid="{730C47C8-1EDA-4ED2-83F6-58FCF350C7C8}"/>
    <cellStyle name="Normal 9 2 2 2 2 2 2 4 3" xfId="18887" xr:uid="{6F981E84-71C0-4B93-9F27-E5A4B607C352}"/>
    <cellStyle name="Normal 9 2 2 2 2 2 2 5" xfId="28145" xr:uid="{07277A63-6895-488B-B50F-3010EF1F6E09}"/>
    <cellStyle name="Normal 9 2 2 2 2 2 2 6" xfId="19698" xr:uid="{4B47EF44-ED53-48CA-A555-E16B5395FAB4}"/>
    <cellStyle name="Normal 9 2 2 2 2 2 2 7" xfId="10401" xr:uid="{0CEE90F1-DDA8-42C3-B64D-3447E7EB1914}"/>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43368" xr:uid="{66D4CDED-0921-401D-8872-9A14F551C049}"/>
    <cellStyle name="Normal 9 2 2 2 2 2 3 2 2 3" xfId="34921" xr:uid="{029BBB81-746C-4A7B-B1FA-E7D8DB171766}"/>
    <cellStyle name="Normal 9 2 2 2 2 2 3 2 2 4" xfId="26473" xr:uid="{09461D13-9A07-4584-B50D-B373585A98F2}"/>
    <cellStyle name="Normal 9 2 2 2 2 2 3 2 2 5" xfId="17176" xr:uid="{0CBF7E66-48DB-43BA-94E3-24B9F1E8C252}"/>
    <cellStyle name="Normal 9 2 2 2 2 2 3 2 3" xfId="39151" xr:uid="{C736C504-4FFA-4C19-863E-16186D1CE446}"/>
    <cellStyle name="Normal 9 2 2 2 2 2 3 2 4" xfId="30703" xr:uid="{32B92D81-0F03-440B-A0F8-8A5368D5224C}"/>
    <cellStyle name="Normal 9 2 2 2 2 2 3 2 5" xfId="22256" xr:uid="{E30421CF-F20D-46EE-BF25-A3EF1F36D6B9}"/>
    <cellStyle name="Normal 9 2 2 2 2 2 3 2 6" xfId="12959" xr:uid="{689F84CD-2126-4760-A9DF-E0EB7E5685B8}"/>
    <cellStyle name="Normal 9 2 2 2 2 2 3 3" xfId="5705" xr:uid="{00000000-0005-0000-0000-0000781E0000}"/>
    <cellStyle name="Normal 9 2 2 2 2 2 3 3 2" xfId="41223" xr:uid="{AE94ED31-313A-4A15-8104-7699E236EC98}"/>
    <cellStyle name="Normal 9 2 2 2 2 2 3 3 3" xfId="32776" xr:uid="{3552AC09-3AA1-45C6-8286-2E1FB92BDB83}"/>
    <cellStyle name="Normal 9 2 2 2 2 2 3 3 4" xfId="24328" xr:uid="{E5C85FCE-D2B2-4BA6-851C-3345E4B93524}"/>
    <cellStyle name="Normal 9 2 2 2 2 2 3 3 5" xfId="15031" xr:uid="{8CAF6D48-4584-441C-8B67-E8586323BD0A}"/>
    <cellStyle name="Normal 9 2 2 2 2 2 3 4" xfId="37006" xr:uid="{4A43CAF3-B57E-4995-B8C3-4F3FBFFC9B8E}"/>
    <cellStyle name="Normal 9 2 2 2 2 2 3 5" xfId="28558" xr:uid="{5A8EBD1D-C00C-4CFC-9001-09073447A4CA}"/>
    <cellStyle name="Normal 9 2 2 2 2 2 3 6" xfId="20111" xr:uid="{E718F3B1-DA38-43D3-B20E-9DE14C4CBE45}"/>
    <cellStyle name="Normal 9 2 2 2 2 2 3 7" xfId="10814" xr:uid="{7F2F6D41-CC7F-4927-942B-E927652E0585}"/>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43781" xr:uid="{1DFAE98C-6B44-4730-8B90-7C4E1D22C7E3}"/>
    <cellStyle name="Normal 9 2 2 2 2 2 4 2 2 3" xfId="35334" xr:uid="{9D013C8A-F20E-45EE-87C2-0C49E23A5BCD}"/>
    <cellStyle name="Normal 9 2 2 2 2 2 4 2 2 4" xfId="26886" xr:uid="{85A72C9E-BA83-4178-99D2-7A8585CD85A9}"/>
    <cellStyle name="Normal 9 2 2 2 2 2 4 2 2 5" xfId="17589" xr:uid="{EBF2B6FB-45B7-4EA9-B383-B91EB2A0BDDC}"/>
    <cellStyle name="Normal 9 2 2 2 2 2 4 2 3" xfId="39564" xr:uid="{E1DE6B76-E9C9-42DB-BE64-3BE5771487A1}"/>
    <cellStyle name="Normal 9 2 2 2 2 2 4 2 4" xfId="31116" xr:uid="{C33CB31E-A27D-4EB7-AEE4-E869F3DA5CB2}"/>
    <cellStyle name="Normal 9 2 2 2 2 2 4 2 5" xfId="22669" xr:uid="{D0C041C7-0509-48AD-B13F-FEDA5B8E6391}"/>
    <cellStyle name="Normal 9 2 2 2 2 2 4 2 6" xfId="13372" xr:uid="{88EEAA16-A30D-4D1A-A3B8-C0BDEF251B59}"/>
    <cellStyle name="Normal 9 2 2 2 2 2 4 3" xfId="6118" xr:uid="{00000000-0005-0000-0000-00007C1E0000}"/>
    <cellStyle name="Normal 9 2 2 2 2 2 4 3 2" xfId="41636" xr:uid="{C0BD95F8-B8FD-4567-8D8C-9EC106B37334}"/>
    <cellStyle name="Normal 9 2 2 2 2 2 4 3 3" xfId="33189" xr:uid="{790D6C95-BB7D-4CED-B1F9-0756D8EDD89A}"/>
    <cellStyle name="Normal 9 2 2 2 2 2 4 3 4" xfId="24741" xr:uid="{1BABE38B-FE43-4032-8F15-410AEB1C2895}"/>
    <cellStyle name="Normal 9 2 2 2 2 2 4 3 5" xfId="15444" xr:uid="{B43A1815-B37D-4AAA-B704-0A8268602074}"/>
    <cellStyle name="Normal 9 2 2 2 2 2 4 4" xfId="37419" xr:uid="{CA5EAAF9-3D0A-43F4-A377-2696CB05DB84}"/>
    <cellStyle name="Normal 9 2 2 2 2 2 4 5" xfId="28971" xr:uid="{87EBEFA3-2F5A-4D35-BB91-49D4E9C91EAB}"/>
    <cellStyle name="Normal 9 2 2 2 2 2 4 6" xfId="20524" xr:uid="{F3DE8A6C-01B7-4CC3-991F-7DEFD274841B}"/>
    <cellStyle name="Normal 9 2 2 2 2 2 4 7" xfId="11227" xr:uid="{690B323A-92D5-4E4D-AEEA-34DEE97E3C2B}"/>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44194" xr:uid="{82F57AF7-C83B-4611-A55B-9F49C54F5247}"/>
    <cellStyle name="Normal 9 2 2 2 2 2 5 2 2 3" xfId="35747" xr:uid="{44DE5FE3-8ED5-4921-81F3-72B66A0ABC11}"/>
    <cellStyle name="Normal 9 2 2 2 2 2 5 2 2 4" xfId="27299" xr:uid="{589712C9-05C4-479F-9128-8327BFAD3380}"/>
    <cellStyle name="Normal 9 2 2 2 2 2 5 2 2 5" xfId="18002" xr:uid="{A9FE28CA-3C14-4307-BB9E-56391FC66E63}"/>
    <cellStyle name="Normal 9 2 2 2 2 2 5 2 3" xfId="39977" xr:uid="{AA61EEEF-EFB1-41BD-A357-F3B68920FCD0}"/>
    <cellStyle name="Normal 9 2 2 2 2 2 5 2 4" xfId="31529" xr:uid="{520AB2B0-9389-44A5-9E48-FF42AF3FDE7F}"/>
    <cellStyle name="Normal 9 2 2 2 2 2 5 2 5" xfId="23082" xr:uid="{533A8071-1A9D-4356-BDB3-9D67F873A954}"/>
    <cellStyle name="Normal 9 2 2 2 2 2 5 2 6" xfId="13785" xr:uid="{6F49DC24-3957-4E83-95E1-E10A8F2F7043}"/>
    <cellStyle name="Normal 9 2 2 2 2 2 5 3" xfId="6531" xr:uid="{00000000-0005-0000-0000-0000801E0000}"/>
    <cellStyle name="Normal 9 2 2 2 2 2 5 3 2" xfId="42049" xr:uid="{8EE6EA88-ECA6-4518-8487-0294F9AD06A1}"/>
    <cellStyle name="Normal 9 2 2 2 2 2 5 3 3" xfId="33602" xr:uid="{A7AFB71E-8137-4D44-9B2D-68A940AC6E80}"/>
    <cellStyle name="Normal 9 2 2 2 2 2 5 3 4" xfId="25154" xr:uid="{D3AF5527-B8E6-460D-9DAF-6F234B94F246}"/>
    <cellStyle name="Normal 9 2 2 2 2 2 5 3 5" xfId="15857" xr:uid="{59780608-D169-4F3B-AA51-5EA2FE8BC2D2}"/>
    <cellStyle name="Normal 9 2 2 2 2 2 5 4" xfId="37832" xr:uid="{C8E13D41-D358-4D68-B781-53C2B414D3D4}"/>
    <cellStyle name="Normal 9 2 2 2 2 2 5 5" xfId="29384" xr:uid="{F93F2A89-DDCF-4699-AF49-7BC0641043EF}"/>
    <cellStyle name="Normal 9 2 2 2 2 2 5 6" xfId="20937" xr:uid="{D68EBB2B-FABA-413B-9DA2-796265D8B7BE}"/>
    <cellStyle name="Normal 9 2 2 2 2 2 5 7" xfId="11640" xr:uid="{843D107A-1BD1-4286-9063-C4E08FB55FDE}"/>
    <cellStyle name="Normal 9 2 2 2 2 2 6" xfId="2661" xr:uid="{00000000-0005-0000-0000-0000811E0000}"/>
    <cellStyle name="Normal 9 2 2 2 2 2 6 2" xfId="6944" xr:uid="{00000000-0005-0000-0000-0000821E0000}"/>
    <cellStyle name="Normal 9 2 2 2 2 2 6 2 2" xfId="42462" xr:uid="{DCE90108-355B-44A7-A69E-E629889C846B}"/>
    <cellStyle name="Normal 9 2 2 2 2 2 6 2 3" xfId="34015" xr:uid="{64319B48-70B8-4A9C-A797-38906268B3B5}"/>
    <cellStyle name="Normal 9 2 2 2 2 2 6 2 4" xfId="25567" xr:uid="{FE38AC35-9348-4F3D-A8E8-9A919DAF57D7}"/>
    <cellStyle name="Normal 9 2 2 2 2 2 6 2 5" xfId="16270" xr:uid="{2EE9BC96-9936-4144-9B63-6DF2E59B604F}"/>
    <cellStyle name="Normal 9 2 2 2 2 2 6 3" xfId="38245" xr:uid="{56BFED77-60A7-45AE-BCB6-51F9E37B23A1}"/>
    <cellStyle name="Normal 9 2 2 2 2 2 6 4" xfId="29797" xr:uid="{1A12A028-E53D-462E-8FF1-E50EFE0B3359}"/>
    <cellStyle name="Normal 9 2 2 2 2 2 6 5" xfId="21350" xr:uid="{C47255AB-F3F9-4285-849E-B9B80060B4F4}"/>
    <cellStyle name="Normal 9 2 2 2 2 2 6 6" xfId="12053" xr:uid="{7075648F-11E5-4543-9E73-204C65CA176A}"/>
    <cellStyle name="Normal 9 2 2 2 2 2 7" xfId="4879" xr:uid="{00000000-0005-0000-0000-0000831E0000}"/>
    <cellStyle name="Normal 9 2 2 2 2 2 7 2" xfId="40397" xr:uid="{A27B4050-42E7-4924-88A0-177CEB2BA5D8}"/>
    <cellStyle name="Normal 9 2 2 2 2 2 7 3" xfId="31950" xr:uid="{82A73405-80D2-44AE-8797-1B2A0FC6D6DB}"/>
    <cellStyle name="Normal 9 2 2 2 2 2 7 4" xfId="23502" xr:uid="{8AA091B9-09FB-4366-83B2-E5FF2CAA563F}"/>
    <cellStyle name="Normal 9 2 2 2 2 2 7 5" xfId="14205" xr:uid="{CB616C41-1631-4E23-B5AA-C2716A0D5C26}"/>
    <cellStyle name="Normal 9 2 2 2 2 2 8" xfId="9149" xr:uid="{6C0BEC1E-EE3B-4956-830C-8775C93DB46A}"/>
    <cellStyle name="Normal 9 2 2 2 2 2 8 2" xfId="36180" xr:uid="{C3EA6198-BBEA-498A-92D0-BE557F8FBB83}"/>
    <cellStyle name="Normal 9 2 2 2 2 2 8 3" xfId="18472" xr:uid="{81E948E7-BDB4-4F64-8CAF-11139A1B4B68}"/>
    <cellStyle name="Normal 9 2 2 2 2 2 9" xfId="27732" xr:uid="{27942D64-C29B-4892-9BC5-011F59508E79}"/>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42954" xr:uid="{EDE91320-71AB-41DB-A9A5-7BBE2120D735}"/>
    <cellStyle name="Normal 9 2 2 2 2 3 2 2 3" xfId="34507" xr:uid="{185CB720-7C0A-4A2D-B262-A49553876A37}"/>
    <cellStyle name="Normal 9 2 2 2 2 3 2 2 4" xfId="26059" xr:uid="{9973BF54-1A1F-40B6-BD75-FB6F02C8FAA9}"/>
    <cellStyle name="Normal 9 2 2 2 2 3 2 2 5" xfId="16762" xr:uid="{214240C5-6FE8-413B-A4A6-F916318F913D}"/>
    <cellStyle name="Normal 9 2 2 2 2 3 2 3" xfId="38737" xr:uid="{54726582-33F0-49E8-9141-E08350AA3DAC}"/>
    <cellStyle name="Normal 9 2 2 2 2 3 2 4" xfId="30289" xr:uid="{49752D10-EF89-472E-AE88-CE0E9CA830C1}"/>
    <cellStyle name="Normal 9 2 2 2 2 3 2 5" xfId="21842" xr:uid="{80A966EE-8603-4F9B-8A6C-5809B813AD30}"/>
    <cellStyle name="Normal 9 2 2 2 2 3 2 6" xfId="12545" xr:uid="{E54A1181-681A-4C3A-AC55-041588306F7B}"/>
    <cellStyle name="Normal 9 2 2 2 2 3 3" xfId="5291" xr:uid="{00000000-0005-0000-0000-0000871E0000}"/>
    <cellStyle name="Normal 9 2 2 2 2 3 3 2" xfId="40809" xr:uid="{1F4D5DBD-3D58-49E2-9540-112816FF69FD}"/>
    <cellStyle name="Normal 9 2 2 2 2 3 3 3" xfId="32362" xr:uid="{1C9CD122-C820-4399-8514-690FDCC87140}"/>
    <cellStyle name="Normal 9 2 2 2 2 3 3 4" xfId="23914" xr:uid="{487825EA-FD13-434E-9E24-7E4E5B0F8570}"/>
    <cellStyle name="Normal 9 2 2 2 2 3 3 5" xfId="14617" xr:uid="{FABDD382-0016-4A2B-BC68-362859CC356A}"/>
    <cellStyle name="Normal 9 2 2 2 2 3 4" xfId="9367" xr:uid="{4A654E22-020A-4B0F-8753-639C44EA908A}"/>
    <cellStyle name="Normal 9 2 2 2 2 3 4 2" xfId="36592" xr:uid="{B22E4D6E-6FB2-453B-8734-1DE4406A521A}"/>
    <cellStyle name="Normal 9 2 2 2 2 3 4 3" xfId="18680" xr:uid="{28D0278F-6946-4CD3-9F9D-6D763F3238DA}"/>
    <cellStyle name="Normal 9 2 2 2 2 3 5" xfId="28144" xr:uid="{B3B5E61C-A453-4838-8523-0A02866EB24A}"/>
    <cellStyle name="Normal 9 2 2 2 2 3 6" xfId="19697" xr:uid="{F79C0962-847B-4324-A9D7-4F8B42EECC6A}"/>
    <cellStyle name="Normal 9 2 2 2 2 3 7" xfId="10400" xr:uid="{CAC2ED58-7C26-4B0B-8FEA-26365F369062}"/>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43367" xr:uid="{D8C14214-1500-48E8-9049-130E3521F3D2}"/>
    <cellStyle name="Normal 9 2 2 2 2 4 2 2 3" xfId="34920" xr:uid="{92411401-E798-4CF0-BCEE-0016E1B411A3}"/>
    <cellStyle name="Normal 9 2 2 2 2 4 2 2 4" xfId="26472" xr:uid="{DBB2CCA6-2A59-444E-A3EE-3D0D9A9E17AC}"/>
    <cellStyle name="Normal 9 2 2 2 2 4 2 2 5" xfId="17175" xr:uid="{7A6D7E2E-2587-4CB3-B87C-1C6AF2915BFA}"/>
    <cellStyle name="Normal 9 2 2 2 2 4 2 3" xfId="39150" xr:uid="{BE259528-BBBF-4F82-A617-FA273D78DC9E}"/>
    <cellStyle name="Normal 9 2 2 2 2 4 2 4" xfId="30702" xr:uid="{BEFA759E-D23C-48B4-A564-4544FCA0FF9D}"/>
    <cellStyle name="Normal 9 2 2 2 2 4 2 5" xfId="22255" xr:uid="{9CF5CCEB-13A6-46BD-9717-D8AC9BDCD529}"/>
    <cellStyle name="Normal 9 2 2 2 2 4 2 6" xfId="12958" xr:uid="{DBDD5468-073F-4C0E-9648-56FF0126EE92}"/>
    <cellStyle name="Normal 9 2 2 2 2 4 3" xfId="5704" xr:uid="{00000000-0005-0000-0000-00008B1E0000}"/>
    <cellStyle name="Normal 9 2 2 2 2 4 3 2" xfId="41222" xr:uid="{A5D156E2-2B75-4BAE-A205-B43F9B5E9BE3}"/>
    <cellStyle name="Normal 9 2 2 2 2 4 3 3" xfId="32775" xr:uid="{28925B36-C5B9-41FF-8F60-4B8582FEA809}"/>
    <cellStyle name="Normal 9 2 2 2 2 4 3 4" xfId="24327" xr:uid="{51E79BF6-365B-490D-933D-A8661BA99788}"/>
    <cellStyle name="Normal 9 2 2 2 2 4 3 5" xfId="15030" xr:uid="{CD159048-F446-4956-B165-1B6C996B337F}"/>
    <cellStyle name="Normal 9 2 2 2 2 4 4" xfId="37005" xr:uid="{FBBD1D7A-6717-4CB2-A26D-B53AA4615FCC}"/>
    <cellStyle name="Normal 9 2 2 2 2 4 5" xfId="28557" xr:uid="{56E7481A-65E6-4351-8E7D-C167F0642530}"/>
    <cellStyle name="Normal 9 2 2 2 2 4 6" xfId="20110" xr:uid="{A7BEA885-2A3C-4426-BEEC-6B4AF43704BB}"/>
    <cellStyle name="Normal 9 2 2 2 2 4 7" xfId="10813" xr:uid="{F73EB7B1-E5A6-4CF2-8629-7B83824FE3E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43780" xr:uid="{1B907F10-8CF4-45F6-AF3B-35FB902162AD}"/>
    <cellStyle name="Normal 9 2 2 2 2 5 2 2 3" xfId="35333" xr:uid="{69FD67AF-7799-4BF4-B3E0-A20BDE65C9EC}"/>
    <cellStyle name="Normal 9 2 2 2 2 5 2 2 4" xfId="26885" xr:uid="{7577C22A-30A9-468F-8758-193FBB75EA71}"/>
    <cellStyle name="Normal 9 2 2 2 2 5 2 2 5" xfId="17588" xr:uid="{E9AF4190-B17F-47FE-8F25-B2F886EA1F25}"/>
    <cellStyle name="Normal 9 2 2 2 2 5 2 3" xfId="39563" xr:uid="{EDB75543-0751-45BF-BB29-1D0949EF8D86}"/>
    <cellStyle name="Normal 9 2 2 2 2 5 2 4" xfId="31115" xr:uid="{A90478A1-B82B-4AD0-BA08-6A17F2F45B3E}"/>
    <cellStyle name="Normal 9 2 2 2 2 5 2 5" xfId="22668" xr:uid="{59F589F8-A334-43D7-9D6D-7C08FE89C36F}"/>
    <cellStyle name="Normal 9 2 2 2 2 5 2 6" xfId="13371" xr:uid="{EC02CEFB-33C8-4F96-8D11-35042C578291}"/>
    <cellStyle name="Normal 9 2 2 2 2 5 3" xfId="6117" xr:uid="{00000000-0005-0000-0000-00008F1E0000}"/>
    <cellStyle name="Normal 9 2 2 2 2 5 3 2" xfId="41635" xr:uid="{43FF4EEF-B1D8-49BE-AEA9-FE2AC87C3E24}"/>
    <cellStyle name="Normal 9 2 2 2 2 5 3 3" xfId="33188" xr:uid="{6DE1B20E-3100-4407-95A9-4F53E3E7561D}"/>
    <cellStyle name="Normal 9 2 2 2 2 5 3 4" xfId="24740" xr:uid="{15260790-253F-4D41-87D0-C95F747F8230}"/>
    <cellStyle name="Normal 9 2 2 2 2 5 3 5" xfId="15443" xr:uid="{E9BC4D78-3A1C-4694-B7D6-C3DBD97BE5A7}"/>
    <cellStyle name="Normal 9 2 2 2 2 5 4" xfId="37418" xr:uid="{472D3DBB-5C42-4419-AF1A-D10B0334CBE3}"/>
    <cellStyle name="Normal 9 2 2 2 2 5 5" xfId="28970" xr:uid="{EE618D71-D83A-4A0F-AAFB-065DE84AB81D}"/>
    <cellStyle name="Normal 9 2 2 2 2 5 6" xfId="20523" xr:uid="{D635C7C1-B24E-40D0-A327-094696B0E39D}"/>
    <cellStyle name="Normal 9 2 2 2 2 5 7" xfId="11226" xr:uid="{C29B8719-26CB-488F-A858-066441C42013}"/>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44193" xr:uid="{FC6859F3-4B1C-40C0-82CB-F6623D94BE4E}"/>
    <cellStyle name="Normal 9 2 2 2 2 6 2 2 3" xfId="35746" xr:uid="{DBC288E8-6629-48E1-86C3-670508052AFF}"/>
    <cellStyle name="Normal 9 2 2 2 2 6 2 2 4" xfId="27298" xr:uid="{3472A664-6CC5-4C5F-BB7B-D863795DEDBD}"/>
    <cellStyle name="Normal 9 2 2 2 2 6 2 2 5" xfId="18001" xr:uid="{A8D0BE0B-7310-4579-A9C5-C039406D57F1}"/>
    <cellStyle name="Normal 9 2 2 2 2 6 2 3" xfId="39976" xr:uid="{75D36B62-FC57-443D-B984-7305EE4B1FB6}"/>
    <cellStyle name="Normal 9 2 2 2 2 6 2 4" xfId="31528" xr:uid="{BEC21911-3B74-4EB9-84FF-3CBF72F30D7C}"/>
    <cellStyle name="Normal 9 2 2 2 2 6 2 5" xfId="23081" xr:uid="{A13CF354-6B1F-49A5-96EF-8C82B3E2E691}"/>
    <cellStyle name="Normal 9 2 2 2 2 6 2 6" xfId="13784" xr:uid="{7CB2953E-94A6-422D-B568-758519AD0A0C}"/>
    <cellStyle name="Normal 9 2 2 2 2 6 3" xfId="6530" xr:uid="{00000000-0005-0000-0000-0000931E0000}"/>
    <cellStyle name="Normal 9 2 2 2 2 6 3 2" xfId="42048" xr:uid="{5699F764-EEF5-42C9-977D-D6633D423EDD}"/>
    <cellStyle name="Normal 9 2 2 2 2 6 3 3" xfId="33601" xr:uid="{64BE4330-E0D3-474D-AC7D-1E3062559D07}"/>
    <cellStyle name="Normal 9 2 2 2 2 6 3 4" xfId="25153" xr:uid="{E920E60C-9ADA-4FDB-8A9F-061FE7D81DA3}"/>
    <cellStyle name="Normal 9 2 2 2 2 6 3 5" xfId="15856" xr:uid="{0244314B-80E5-4D61-AD54-AF5E749184EC}"/>
    <cellStyle name="Normal 9 2 2 2 2 6 4" xfId="37831" xr:uid="{9EF72ACF-B134-455D-9750-9C84BEBC8314}"/>
    <cellStyle name="Normal 9 2 2 2 2 6 5" xfId="29383" xr:uid="{6DC53A11-5DBA-4626-9329-8AD0AFA55228}"/>
    <cellStyle name="Normal 9 2 2 2 2 6 6" xfId="20936" xr:uid="{61C90A07-BB57-4FD5-A5EA-47AFBEA5414D}"/>
    <cellStyle name="Normal 9 2 2 2 2 6 7" xfId="11639" xr:uid="{3806B444-CC79-49A0-A8E6-BBEED70BB264}"/>
    <cellStyle name="Normal 9 2 2 2 2 7" xfId="2660" xr:uid="{00000000-0005-0000-0000-0000941E0000}"/>
    <cellStyle name="Normal 9 2 2 2 2 7 2" xfId="6943" xr:uid="{00000000-0005-0000-0000-0000951E0000}"/>
    <cellStyle name="Normal 9 2 2 2 2 7 2 2" xfId="42461" xr:uid="{933CDA86-5C1D-4E25-BAEA-781846C14414}"/>
    <cellStyle name="Normal 9 2 2 2 2 7 2 3" xfId="34014" xr:uid="{FCAFC700-1C7C-4CB4-AA09-9E67D4360705}"/>
    <cellStyle name="Normal 9 2 2 2 2 7 2 4" xfId="25566" xr:uid="{C2CBD0AB-0607-4B45-83BB-E0E61E92CFFA}"/>
    <cellStyle name="Normal 9 2 2 2 2 7 2 5" xfId="16269" xr:uid="{2F194B89-79A5-4B2E-8B55-93BF65352539}"/>
    <cellStyle name="Normal 9 2 2 2 2 7 3" xfId="38244" xr:uid="{11079835-0633-47D0-BACA-17908DCADDAE}"/>
    <cellStyle name="Normal 9 2 2 2 2 7 4" xfId="29796" xr:uid="{45CECB52-083A-40D6-9549-A7C9357E1031}"/>
    <cellStyle name="Normal 9 2 2 2 2 7 5" xfId="21349" xr:uid="{BB4942FC-D8FF-4404-97B2-3624097BA104}"/>
    <cellStyle name="Normal 9 2 2 2 2 7 6" xfId="12052" xr:uid="{ACF25ED0-95FF-4AAF-A2F4-EE86E5705E9C}"/>
    <cellStyle name="Normal 9 2 2 2 2 8" xfId="4878" xr:uid="{00000000-0005-0000-0000-0000961E0000}"/>
    <cellStyle name="Normal 9 2 2 2 2 8 2" xfId="40396" xr:uid="{29A80190-2DF2-49D6-9B00-F5BFE27A0FB8}"/>
    <cellStyle name="Normal 9 2 2 2 2 8 3" xfId="31949" xr:uid="{94599EB9-5326-4B06-9438-B33CB1FE67BC}"/>
    <cellStyle name="Normal 9 2 2 2 2 8 4" xfId="23501" xr:uid="{AD178ED4-2FF2-4C8E-8A0D-63220D526268}"/>
    <cellStyle name="Normal 9 2 2 2 2 8 5" xfId="14204" xr:uid="{088A940E-D149-4CAA-8A55-FFA02B7C965C}"/>
    <cellStyle name="Normal 9 2 2 2 2 9" xfId="8942" xr:uid="{0DE8A022-819C-4D6A-B102-31C1C7F429A5}"/>
    <cellStyle name="Normal 9 2 2 2 2 9 2" xfId="36179" xr:uid="{EF1209F0-8BC6-46A5-A573-C6E1CC71BB97}"/>
    <cellStyle name="Normal 9 2 2 2 2 9 3" xfId="18265" xr:uid="{927F518B-3D4C-4DB7-805D-1F7A75101348}"/>
    <cellStyle name="Normal 9 2 2 2 3" xfId="516" xr:uid="{00000000-0005-0000-0000-0000971E0000}"/>
    <cellStyle name="Normal 9 2 2 2 3 10" xfId="19286" xr:uid="{7C4857F3-8788-4503-A566-7184A6EB3840}"/>
    <cellStyle name="Normal 9 2 2 2 3 11" xfId="9989" xr:uid="{3940EA82-7338-4D89-92E0-5B1CC004229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42956" xr:uid="{19839386-8B47-445D-8E33-4598B486735D}"/>
    <cellStyle name="Normal 9 2 2 2 3 2 2 2 3" xfId="34509" xr:uid="{A16B79BD-3904-474E-A2EC-62C78E2D97FA}"/>
    <cellStyle name="Normal 9 2 2 2 3 2 2 2 4" xfId="26061" xr:uid="{2310AA4C-4440-40A9-B885-972B912FA77D}"/>
    <cellStyle name="Normal 9 2 2 2 3 2 2 2 5" xfId="16764" xr:uid="{1364EB9C-E050-4C9E-A005-1FF01C0D210D}"/>
    <cellStyle name="Normal 9 2 2 2 3 2 2 3" xfId="38739" xr:uid="{DD362B31-891A-4B51-B969-529898F6798D}"/>
    <cellStyle name="Normal 9 2 2 2 3 2 2 4" xfId="30291" xr:uid="{F625C886-8197-440C-BB6D-B4D81DFFDBBB}"/>
    <cellStyle name="Normal 9 2 2 2 3 2 2 5" xfId="21844" xr:uid="{1586B5EE-94D4-4F40-AB73-15276FF3A9EE}"/>
    <cellStyle name="Normal 9 2 2 2 3 2 2 6" xfId="12547" xr:uid="{AE7118DF-BB59-4995-B6CB-4F8F071A86B3}"/>
    <cellStyle name="Normal 9 2 2 2 3 2 3" xfId="5293" xr:uid="{00000000-0005-0000-0000-00009B1E0000}"/>
    <cellStyle name="Normal 9 2 2 2 3 2 3 2" xfId="40811" xr:uid="{B848F048-105B-4192-8EC0-95A1593A84E8}"/>
    <cellStyle name="Normal 9 2 2 2 3 2 3 3" xfId="32364" xr:uid="{5F1D7AD2-7615-4478-BE84-E19B9C6883A2}"/>
    <cellStyle name="Normal 9 2 2 2 3 2 3 4" xfId="23916" xr:uid="{CB521377-BF88-4D6C-B810-4D2466CF86B1}"/>
    <cellStyle name="Normal 9 2 2 2 3 2 3 5" xfId="14619" xr:uid="{1712DB2F-77F6-4442-AA0E-EC2A0E4E9233}"/>
    <cellStyle name="Normal 9 2 2 2 3 2 4" xfId="9471" xr:uid="{E472D827-532E-42C0-B781-9E63FEBCFCF5}"/>
    <cellStyle name="Normal 9 2 2 2 3 2 4 2" xfId="36594" xr:uid="{F358F36C-82CE-4C08-854A-E5C434F47E13}"/>
    <cellStyle name="Normal 9 2 2 2 3 2 4 3" xfId="18784" xr:uid="{83F7D6FE-FF3A-495A-AD71-36EFCB8C861E}"/>
    <cellStyle name="Normal 9 2 2 2 3 2 5" xfId="28146" xr:uid="{C33D1120-3EB6-4AC1-B8E1-B053D2BB1467}"/>
    <cellStyle name="Normal 9 2 2 2 3 2 6" xfId="19699" xr:uid="{84459084-1C06-4DA7-9069-457E4C703852}"/>
    <cellStyle name="Normal 9 2 2 2 3 2 7" xfId="10402" xr:uid="{9E8E7527-3530-4835-92B1-252E0B5F87EF}"/>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43369" xr:uid="{CBF2EE22-6714-49BD-90AF-E40943DFD716}"/>
    <cellStyle name="Normal 9 2 2 2 3 3 2 2 3" xfId="34922" xr:uid="{E45048F5-B7C6-4062-B6E5-19B6139910FF}"/>
    <cellStyle name="Normal 9 2 2 2 3 3 2 2 4" xfId="26474" xr:uid="{9EB7EA07-19FC-44AB-877E-DE34057B8610}"/>
    <cellStyle name="Normal 9 2 2 2 3 3 2 2 5" xfId="17177" xr:uid="{1AA53CD0-75A1-4B8A-A0E3-1BC5DCD76440}"/>
    <cellStyle name="Normal 9 2 2 2 3 3 2 3" xfId="39152" xr:uid="{6350CF94-4F2D-4F3D-9B03-F34AC431D904}"/>
    <cellStyle name="Normal 9 2 2 2 3 3 2 4" xfId="30704" xr:uid="{0C31D269-7EDB-4041-9463-FC1068037880}"/>
    <cellStyle name="Normal 9 2 2 2 3 3 2 5" xfId="22257" xr:uid="{869600A6-6823-4F02-9139-956A64DE7C8D}"/>
    <cellStyle name="Normal 9 2 2 2 3 3 2 6" xfId="12960" xr:uid="{1575DDEB-F0A4-4BD6-897B-3B4453F3CF80}"/>
    <cellStyle name="Normal 9 2 2 2 3 3 3" xfId="5706" xr:uid="{00000000-0005-0000-0000-00009F1E0000}"/>
    <cellStyle name="Normal 9 2 2 2 3 3 3 2" xfId="41224" xr:uid="{452A6457-BCF5-4AB0-B541-4E320CA9DE52}"/>
    <cellStyle name="Normal 9 2 2 2 3 3 3 3" xfId="32777" xr:uid="{045AD7AD-6841-439A-B043-9777EFF3C3FF}"/>
    <cellStyle name="Normal 9 2 2 2 3 3 3 4" xfId="24329" xr:uid="{92C1E3A9-9347-4505-A730-C59899D7446F}"/>
    <cellStyle name="Normal 9 2 2 2 3 3 3 5" xfId="15032" xr:uid="{BD98CF26-DB6F-44D9-B734-7C3FF9FA1B15}"/>
    <cellStyle name="Normal 9 2 2 2 3 3 4" xfId="37007" xr:uid="{ECAF34E7-F2C9-4DEB-A60F-D5F2806B1B0C}"/>
    <cellStyle name="Normal 9 2 2 2 3 3 5" xfId="28559" xr:uid="{106533B5-F368-4124-877B-2A6C6E9728F3}"/>
    <cellStyle name="Normal 9 2 2 2 3 3 6" xfId="20112" xr:uid="{7D6CD81C-031A-441F-AA03-E26D80B6BABE}"/>
    <cellStyle name="Normal 9 2 2 2 3 3 7" xfId="10815" xr:uid="{333802B7-A5FD-4ED9-BD68-BF7A8F4A0A9A}"/>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43782" xr:uid="{813A6886-5B79-421D-9DBC-3FDF0E05F97F}"/>
    <cellStyle name="Normal 9 2 2 2 3 4 2 2 3" xfId="35335" xr:uid="{9F39A15F-F28E-4A89-AC06-C71B7D417817}"/>
    <cellStyle name="Normal 9 2 2 2 3 4 2 2 4" xfId="26887" xr:uid="{F6FA288B-EE31-4D78-B050-5075F4618EDD}"/>
    <cellStyle name="Normal 9 2 2 2 3 4 2 2 5" xfId="17590" xr:uid="{FF816501-E9F7-48DF-8AD5-D1484E58695E}"/>
    <cellStyle name="Normal 9 2 2 2 3 4 2 3" xfId="39565" xr:uid="{80928BEB-A13D-4BCD-A6B3-ADF7EE790225}"/>
    <cellStyle name="Normal 9 2 2 2 3 4 2 4" xfId="31117" xr:uid="{99CCCFE7-6AC1-4C65-92EC-13F38C21AA28}"/>
    <cellStyle name="Normal 9 2 2 2 3 4 2 5" xfId="22670" xr:uid="{992F6D0F-05F5-4174-A25F-74D5A2860EA8}"/>
    <cellStyle name="Normal 9 2 2 2 3 4 2 6" xfId="13373" xr:uid="{C5C9876E-DDB0-41B4-B453-10946D154890}"/>
    <cellStyle name="Normal 9 2 2 2 3 4 3" xfId="6119" xr:uid="{00000000-0005-0000-0000-0000A31E0000}"/>
    <cellStyle name="Normal 9 2 2 2 3 4 3 2" xfId="41637" xr:uid="{CD613433-E6A5-4BAD-B7D2-4E977842800B}"/>
    <cellStyle name="Normal 9 2 2 2 3 4 3 3" xfId="33190" xr:uid="{2B77DD01-4A00-4A5A-901A-AF59E32F3179}"/>
    <cellStyle name="Normal 9 2 2 2 3 4 3 4" xfId="24742" xr:uid="{8349D621-E8B5-4A0F-B7ED-A4A829030450}"/>
    <cellStyle name="Normal 9 2 2 2 3 4 3 5" xfId="15445" xr:uid="{69C89B88-442B-4C30-A894-5F411B0D989C}"/>
    <cellStyle name="Normal 9 2 2 2 3 4 4" xfId="37420" xr:uid="{65151423-1ABC-445C-AC8F-C631F82E29BD}"/>
    <cellStyle name="Normal 9 2 2 2 3 4 5" xfId="28972" xr:uid="{D60928F9-3E0B-40B5-8770-B7D63A448FFF}"/>
    <cellStyle name="Normal 9 2 2 2 3 4 6" xfId="20525" xr:uid="{AE7F91E5-486E-4EE3-8DF6-AFCEEF86B0E4}"/>
    <cellStyle name="Normal 9 2 2 2 3 4 7" xfId="11228" xr:uid="{D7A7646D-F34E-4D0B-A127-E090BE04DE8A}"/>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44195" xr:uid="{CC06DC39-5B58-407B-A1B6-2272C6B0F740}"/>
    <cellStyle name="Normal 9 2 2 2 3 5 2 2 3" xfId="35748" xr:uid="{EB1494AA-0296-46B0-946B-2946B9A15C88}"/>
    <cellStyle name="Normal 9 2 2 2 3 5 2 2 4" xfId="27300" xr:uid="{BA7F46F6-AF04-4952-AFD9-8D2EEFD8B52C}"/>
    <cellStyle name="Normal 9 2 2 2 3 5 2 2 5" xfId="18003" xr:uid="{4FF87985-43ED-4F1B-9135-9B0F3ECEDE3D}"/>
    <cellStyle name="Normal 9 2 2 2 3 5 2 3" xfId="39978" xr:uid="{3963BB8D-C6DC-41FC-BB8B-D5CAE9A6930F}"/>
    <cellStyle name="Normal 9 2 2 2 3 5 2 4" xfId="31530" xr:uid="{F5E675BC-598B-4816-910D-174F281D4666}"/>
    <cellStyle name="Normal 9 2 2 2 3 5 2 5" xfId="23083" xr:uid="{0ED0BD0F-88D0-4E17-92BB-739FF58241AE}"/>
    <cellStyle name="Normal 9 2 2 2 3 5 2 6" xfId="13786" xr:uid="{1BB0B59C-9291-4186-83EF-DA30CA725414}"/>
    <cellStyle name="Normal 9 2 2 2 3 5 3" xfId="6532" xr:uid="{00000000-0005-0000-0000-0000A71E0000}"/>
    <cellStyle name="Normal 9 2 2 2 3 5 3 2" xfId="42050" xr:uid="{D93BD4ED-82BC-4D32-8D90-F4825FF328D5}"/>
    <cellStyle name="Normal 9 2 2 2 3 5 3 3" xfId="33603" xr:uid="{5FF8C57B-7A2A-448F-A4B5-D3AE5E07590B}"/>
    <cellStyle name="Normal 9 2 2 2 3 5 3 4" xfId="25155" xr:uid="{84C51644-AF90-4E4B-B0E4-BFEEAC7B9085}"/>
    <cellStyle name="Normal 9 2 2 2 3 5 3 5" xfId="15858" xr:uid="{C42F50E8-ACBB-47B9-9158-65175D9DFC0E}"/>
    <cellStyle name="Normal 9 2 2 2 3 5 4" xfId="37833" xr:uid="{B07E0376-3DDD-41A8-8264-A6BF42924E89}"/>
    <cellStyle name="Normal 9 2 2 2 3 5 5" xfId="29385" xr:uid="{373A1935-EF3B-40E8-AB40-DD751C2B1D89}"/>
    <cellStyle name="Normal 9 2 2 2 3 5 6" xfId="20938" xr:uid="{CE5127EC-62A6-41E8-811E-A2B923847231}"/>
    <cellStyle name="Normal 9 2 2 2 3 5 7" xfId="11641" xr:uid="{DA7877EE-E72B-41A8-927A-6AEAA024A07C}"/>
    <cellStyle name="Normal 9 2 2 2 3 6" xfId="2662" xr:uid="{00000000-0005-0000-0000-0000A81E0000}"/>
    <cellStyle name="Normal 9 2 2 2 3 6 2" xfId="6945" xr:uid="{00000000-0005-0000-0000-0000A91E0000}"/>
    <cellStyle name="Normal 9 2 2 2 3 6 2 2" xfId="42463" xr:uid="{2FCFF87C-107E-48AF-991D-DF9C472656A8}"/>
    <cellStyle name="Normal 9 2 2 2 3 6 2 3" xfId="34016" xr:uid="{97AFD7D6-5F87-45B7-90E4-81287F3E49CB}"/>
    <cellStyle name="Normal 9 2 2 2 3 6 2 4" xfId="25568" xr:uid="{51A59E47-92E6-4BDE-99E8-9D594F2B8FE8}"/>
    <cellStyle name="Normal 9 2 2 2 3 6 2 5" xfId="16271" xr:uid="{5A834BBC-7DE3-47A7-B8B2-917F228EDDED}"/>
    <cellStyle name="Normal 9 2 2 2 3 6 3" xfId="38246" xr:uid="{6FA25280-EA2D-4960-BF72-FC73F3046168}"/>
    <cellStyle name="Normal 9 2 2 2 3 6 4" xfId="29798" xr:uid="{48C0B242-C258-45DF-A482-F624B74E4ABF}"/>
    <cellStyle name="Normal 9 2 2 2 3 6 5" xfId="21351" xr:uid="{E37EC96B-BDF6-445F-AA42-B5BEA6F9FC4D}"/>
    <cellStyle name="Normal 9 2 2 2 3 6 6" xfId="12054" xr:uid="{802B38FD-EB2C-4C37-906E-2278A076AE4A}"/>
    <cellStyle name="Normal 9 2 2 2 3 7" xfId="4880" xr:uid="{00000000-0005-0000-0000-0000AA1E0000}"/>
    <cellStyle name="Normal 9 2 2 2 3 7 2" xfId="40398" xr:uid="{DE79426E-A8B3-4D55-82C4-F16CA0E00956}"/>
    <cellStyle name="Normal 9 2 2 2 3 7 3" xfId="31951" xr:uid="{8142E267-0498-4074-894E-CD582C5FD041}"/>
    <cellStyle name="Normal 9 2 2 2 3 7 4" xfId="23503" xr:uid="{D745AAB8-84CE-44DF-88A6-C07C341CB2A4}"/>
    <cellStyle name="Normal 9 2 2 2 3 7 5" xfId="14206" xr:uid="{0E1DF437-F45D-48CB-B1B9-0C4FB284CE83}"/>
    <cellStyle name="Normal 9 2 2 2 3 8" xfId="9046" xr:uid="{6B7E07C7-E90B-4AE9-8FE8-76EF28E8FC85}"/>
    <cellStyle name="Normal 9 2 2 2 3 8 2" xfId="36181" xr:uid="{6F991069-A996-4D20-BA9F-05062700B179}"/>
    <cellStyle name="Normal 9 2 2 2 3 8 3" xfId="18369" xr:uid="{3169581C-B910-476A-AA01-5D1A253CD0B5}"/>
    <cellStyle name="Normal 9 2 2 2 3 9" xfId="27733" xr:uid="{CFCDF880-C6A0-4183-8361-4170DF53A080}"/>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42953" xr:uid="{A435585B-2FE1-40D6-90B2-5ABA7359C636}"/>
    <cellStyle name="Normal 9 2 2 2 4 2 2 3" xfId="34506" xr:uid="{2D08C899-0B3D-46FE-9CE8-2DBF5C15D57E}"/>
    <cellStyle name="Normal 9 2 2 2 4 2 2 4" xfId="26058" xr:uid="{C5846F64-FC59-4945-9CEB-CAC5EC9266B6}"/>
    <cellStyle name="Normal 9 2 2 2 4 2 2 5" xfId="16761" xr:uid="{25C0AAE9-332B-483E-AA95-1B04948CA781}"/>
    <cellStyle name="Normal 9 2 2 2 4 2 3" xfId="38736" xr:uid="{A34CF26A-DC9F-4F5F-83BA-5BB43589D5B2}"/>
    <cellStyle name="Normal 9 2 2 2 4 2 4" xfId="30288" xr:uid="{CC34CBB3-8D73-40DE-BCF7-051AF3A8FA2D}"/>
    <cellStyle name="Normal 9 2 2 2 4 2 5" xfId="21841" xr:uid="{08D234BA-9BEE-476F-8A0B-B2426A92FA95}"/>
    <cellStyle name="Normal 9 2 2 2 4 2 6" xfId="12544" xr:uid="{BB0DF4CC-EB64-481D-9150-A612B0DF7A86}"/>
    <cellStyle name="Normal 9 2 2 2 4 3" xfId="5290" xr:uid="{00000000-0005-0000-0000-0000AE1E0000}"/>
    <cellStyle name="Normal 9 2 2 2 4 3 2" xfId="40808" xr:uid="{D8E5BFA0-02E5-43B1-AD0E-E74B22547D5F}"/>
    <cellStyle name="Normal 9 2 2 2 4 3 3" xfId="32361" xr:uid="{97C8A847-AE8E-4B63-8D0E-E1250A63EC63}"/>
    <cellStyle name="Normal 9 2 2 2 4 3 4" xfId="23913" xr:uid="{15210DAB-E6E2-4C44-93E7-A4BD95340076}"/>
    <cellStyle name="Normal 9 2 2 2 4 3 5" xfId="14616" xr:uid="{24E3A78A-B727-40D5-97B4-D6015E58DA31}"/>
    <cellStyle name="Normal 9 2 2 2 4 4" xfId="9264" xr:uid="{0137E036-48D9-4B3B-9B73-0002A19DDE9E}"/>
    <cellStyle name="Normal 9 2 2 2 4 4 2" xfId="36591" xr:uid="{BD3E086A-0C7A-4046-952F-4FB8BBDDDDF1}"/>
    <cellStyle name="Normal 9 2 2 2 4 4 3" xfId="18577" xr:uid="{EED22EAF-9B2B-44D5-B209-E1585875E76D}"/>
    <cellStyle name="Normal 9 2 2 2 4 5" xfId="28143" xr:uid="{8A9C358A-0122-49C4-AD14-3A31E485202F}"/>
    <cellStyle name="Normal 9 2 2 2 4 6" xfId="19696" xr:uid="{754EFAAB-0484-4983-AE60-876EBAACB52F}"/>
    <cellStyle name="Normal 9 2 2 2 4 7" xfId="10399" xr:uid="{528D9460-907F-4531-8B78-6B7AD6A535CC}"/>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43366" xr:uid="{114A01B4-1566-4B89-AB0C-1B4CE6F4D46A}"/>
    <cellStyle name="Normal 9 2 2 2 5 2 2 3" xfId="34919" xr:uid="{1990A976-18A7-48AB-9FDD-6865B4190792}"/>
    <cellStyle name="Normal 9 2 2 2 5 2 2 4" xfId="26471" xr:uid="{43F6C734-36FA-4D6A-A450-5D33903873B6}"/>
    <cellStyle name="Normal 9 2 2 2 5 2 2 5" xfId="17174" xr:uid="{160CEE46-D3ED-4376-B20A-316C85269673}"/>
    <cellStyle name="Normal 9 2 2 2 5 2 3" xfId="39149" xr:uid="{7365E322-1BC1-447E-B5DD-61C025478015}"/>
    <cellStyle name="Normal 9 2 2 2 5 2 4" xfId="30701" xr:uid="{A61CA094-144D-4943-8CA8-F9FA39350D52}"/>
    <cellStyle name="Normal 9 2 2 2 5 2 5" xfId="22254" xr:uid="{950D186C-9C07-41E0-833C-8CAE5972CA87}"/>
    <cellStyle name="Normal 9 2 2 2 5 2 6" xfId="12957" xr:uid="{B03900D5-797C-4AF8-A93D-CD9604957852}"/>
    <cellStyle name="Normal 9 2 2 2 5 3" xfId="5703" xr:uid="{00000000-0005-0000-0000-0000B21E0000}"/>
    <cellStyle name="Normal 9 2 2 2 5 3 2" xfId="41221" xr:uid="{2ADEBD30-BEA7-461E-8654-CA6DCAAF0A36}"/>
    <cellStyle name="Normal 9 2 2 2 5 3 3" xfId="32774" xr:uid="{D23C0BAB-B082-4B3A-A655-F81FAB77E5B4}"/>
    <cellStyle name="Normal 9 2 2 2 5 3 4" xfId="24326" xr:uid="{ED69875D-19C1-4075-B79E-153BBC485AB9}"/>
    <cellStyle name="Normal 9 2 2 2 5 3 5" xfId="15029" xr:uid="{E859B36C-B742-4AA3-A1E1-A28C04E6AADD}"/>
    <cellStyle name="Normal 9 2 2 2 5 4" xfId="37004" xr:uid="{74A74F7E-32C5-4003-B035-70405C7DD53B}"/>
    <cellStyle name="Normal 9 2 2 2 5 5" xfId="28556" xr:uid="{491DE96D-1B08-4D5E-85CA-3DDDE9BABDFC}"/>
    <cellStyle name="Normal 9 2 2 2 5 6" xfId="20109" xr:uid="{9D4E6394-1E0C-4261-B9E4-5F562B406AB8}"/>
    <cellStyle name="Normal 9 2 2 2 5 7" xfId="10812" xr:uid="{9FBC62B7-E852-4987-8993-B4C56AA3F97D}"/>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43779" xr:uid="{245046AE-C47A-4BD6-B335-ED6A4CD89784}"/>
    <cellStyle name="Normal 9 2 2 2 6 2 2 3" xfId="35332" xr:uid="{148D55C6-230A-42AB-BF1D-D594DA1F1394}"/>
    <cellStyle name="Normal 9 2 2 2 6 2 2 4" xfId="26884" xr:uid="{2BF49287-661C-45EE-9D97-30BF390C2477}"/>
    <cellStyle name="Normal 9 2 2 2 6 2 2 5" xfId="17587" xr:uid="{65BD98A7-90D4-4BC8-B922-5523EBCF52ED}"/>
    <cellStyle name="Normal 9 2 2 2 6 2 3" xfId="39562" xr:uid="{ED56DF61-F4F1-4DA2-9C5A-B3BC4C0F5FC4}"/>
    <cellStyle name="Normal 9 2 2 2 6 2 4" xfId="31114" xr:uid="{D3C3B7BE-2956-43F1-9649-EB79F208A246}"/>
    <cellStyle name="Normal 9 2 2 2 6 2 5" xfId="22667" xr:uid="{607C59FC-0C9E-4AD7-B912-00706B08F121}"/>
    <cellStyle name="Normal 9 2 2 2 6 2 6" xfId="13370" xr:uid="{0EC9E854-80AB-4C90-A20D-FCD8EB4AD3B2}"/>
    <cellStyle name="Normal 9 2 2 2 6 3" xfId="6116" xr:uid="{00000000-0005-0000-0000-0000B61E0000}"/>
    <cellStyle name="Normal 9 2 2 2 6 3 2" xfId="41634" xr:uid="{D91E1E5A-CC42-4C07-941F-52AA88D70E3E}"/>
    <cellStyle name="Normal 9 2 2 2 6 3 3" xfId="33187" xr:uid="{A3B2E19B-BC9D-4B82-8CE4-B3B858916243}"/>
    <cellStyle name="Normal 9 2 2 2 6 3 4" xfId="24739" xr:uid="{1858BDFC-BC3F-418B-B01B-B207B6ECA196}"/>
    <cellStyle name="Normal 9 2 2 2 6 3 5" xfId="15442" xr:uid="{7C6F1E9C-E17D-4B30-927A-8CB2EAA0E37E}"/>
    <cellStyle name="Normal 9 2 2 2 6 4" xfId="37417" xr:uid="{9AE5E594-682C-4A53-A939-89EC8FA8962C}"/>
    <cellStyle name="Normal 9 2 2 2 6 5" xfId="28969" xr:uid="{D6D281D7-55A7-4D3E-9ADD-E243083F60BE}"/>
    <cellStyle name="Normal 9 2 2 2 6 6" xfId="20522" xr:uid="{C87ADB80-D0B6-4DBD-BA2D-E139644058E5}"/>
    <cellStyle name="Normal 9 2 2 2 6 7" xfId="11225" xr:uid="{82650B6E-3807-4F07-84CD-59E214C3FA74}"/>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44192" xr:uid="{02A0F7BF-1732-4AE6-94F4-9A18D896353B}"/>
    <cellStyle name="Normal 9 2 2 2 7 2 2 3" xfId="35745" xr:uid="{3BBA738B-A3CA-4914-BD3C-932EACD840E4}"/>
    <cellStyle name="Normal 9 2 2 2 7 2 2 4" xfId="27297" xr:uid="{1E5915A4-1B64-411F-8CF3-333A36960953}"/>
    <cellStyle name="Normal 9 2 2 2 7 2 2 5" xfId="18000" xr:uid="{AE7D08FB-2E79-4509-AC77-9E2CC5FCAE70}"/>
    <cellStyle name="Normal 9 2 2 2 7 2 3" xfId="39975" xr:uid="{CD4336C5-2D6E-4D7D-93BF-F31E6CF28936}"/>
    <cellStyle name="Normal 9 2 2 2 7 2 4" xfId="31527" xr:uid="{CD7F588C-499E-493B-A62A-15FFF379713E}"/>
    <cellStyle name="Normal 9 2 2 2 7 2 5" xfId="23080" xr:uid="{9F71CC99-8026-4F53-BC3C-B62DBFC42E12}"/>
    <cellStyle name="Normal 9 2 2 2 7 2 6" xfId="13783" xr:uid="{7DC169BF-3EEE-4416-B04A-0E87CFC70BB2}"/>
    <cellStyle name="Normal 9 2 2 2 7 3" xfId="6529" xr:uid="{00000000-0005-0000-0000-0000BA1E0000}"/>
    <cellStyle name="Normal 9 2 2 2 7 3 2" xfId="42047" xr:uid="{530C5233-3A1D-420B-80CC-4DF473CF8165}"/>
    <cellStyle name="Normal 9 2 2 2 7 3 3" xfId="33600" xr:uid="{1AEB1CA9-4495-4BDF-9A94-54C3C24635AF}"/>
    <cellStyle name="Normal 9 2 2 2 7 3 4" xfId="25152" xr:uid="{64F67CA0-7ADA-446D-A142-59E0331F6771}"/>
    <cellStyle name="Normal 9 2 2 2 7 3 5" xfId="15855" xr:uid="{1F5EEE89-D58B-44BF-A52E-1F4B2596DE96}"/>
    <cellStyle name="Normal 9 2 2 2 7 4" xfId="37830" xr:uid="{FC9804C5-DF4C-4820-9029-E094F9D0B220}"/>
    <cellStyle name="Normal 9 2 2 2 7 5" xfId="29382" xr:uid="{DA74BE5F-89C4-4DB7-92BA-BA854A5FF0B9}"/>
    <cellStyle name="Normal 9 2 2 2 7 6" xfId="20935" xr:uid="{F6E05BA7-3178-4FBA-904E-D7F393C35C06}"/>
    <cellStyle name="Normal 9 2 2 2 7 7" xfId="11638" xr:uid="{80F9227C-043C-4F9A-8946-43B6DA168B35}"/>
    <cellStyle name="Normal 9 2 2 2 8" xfId="2659" xr:uid="{00000000-0005-0000-0000-0000BB1E0000}"/>
    <cellStyle name="Normal 9 2 2 2 8 2" xfId="6942" xr:uid="{00000000-0005-0000-0000-0000BC1E0000}"/>
    <cellStyle name="Normal 9 2 2 2 8 2 2" xfId="42460" xr:uid="{F30C3F2E-545D-4C5C-9C97-A9587AAB74F8}"/>
    <cellStyle name="Normal 9 2 2 2 8 2 3" xfId="34013" xr:uid="{5DD028CE-6F1D-42AE-89E9-90458FF610B3}"/>
    <cellStyle name="Normal 9 2 2 2 8 2 4" xfId="25565" xr:uid="{BAF199CD-DB1D-4BAE-B9C1-DDE378C03CC0}"/>
    <cellStyle name="Normal 9 2 2 2 8 2 5" xfId="16268" xr:uid="{37086CC0-32CE-4AC6-A932-C3CFA32F52D7}"/>
    <cellStyle name="Normal 9 2 2 2 8 3" xfId="38243" xr:uid="{96960798-E2C8-4520-8668-1C8F627E0DA7}"/>
    <cellStyle name="Normal 9 2 2 2 8 4" xfId="29795" xr:uid="{2A753F5C-9D6B-4C98-B425-6969358ACA65}"/>
    <cellStyle name="Normal 9 2 2 2 8 5" xfId="21348" xr:uid="{FADD5FB9-F175-4F8E-8569-F46ECC78F5E4}"/>
    <cellStyle name="Normal 9 2 2 2 8 6" xfId="12051" xr:uid="{65D58C15-2E3B-4757-A9ED-8081157BFC90}"/>
    <cellStyle name="Normal 9 2 2 2 9" xfId="4877" xr:uid="{00000000-0005-0000-0000-0000BD1E0000}"/>
    <cellStyle name="Normal 9 2 2 2 9 2" xfId="40395" xr:uid="{64DB0AB0-12A2-4EE3-986A-621AFEBDC754}"/>
    <cellStyle name="Normal 9 2 2 2 9 3" xfId="31948" xr:uid="{7C7AF760-023F-441E-BF52-099F5B98E8B5}"/>
    <cellStyle name="Normal 9 2 2 2 9 4" xfId="23500" xr:uid="{924C1EC1-6D31-4DB6-AF3F-E5AB428E06E3}"/>
    <cellStyle name="Normal 9 2 2 2 9 5" xfId="14203" xr:uid="{16352528-8821-4F6B-B511-9AA30DE87429}"/>
    <cellStyle name="Normal 9 2 2 3" xfId="517" xr:uid="{00000000-0005-0000-0000-0000BE1E0000}"/>
    <cellStyle name="Normal 9 2 2 3 10" xfId="27734" xr:uid="{841F73A0-9F85-4498-9633-6E01E38C999B}"/>
    <cellStyle name="Normal 9 2 2 3 11" xfId="19287" xr:uid="{FA66449C-7501-44BC-B07B-97D035911900}"/>
    <cellStyle name="Normal 9 2 2 3 12" xfId="9990" xr:uid="{BC83E0B0-51F7-48BE-81DC-A8EF018332FE}"/>
    <cellStyle name="Normal 9 2 2 3 2" xfId="518" xr:uid="{00000000-0005-0000-0000-0000BF1E0000}"/>
    <cellStyle name="Normal 9 2 2 3 2 10" xfId="19288" xr:uid="{3AD2FAD9-D2D8-461A-90C8-7D83E6595675}"/>
    <cellStyle name="Normal 9 2 2 3 2 11" xfId="9991" xr:uid="{61882A9C-52ED-4652-8168-774EE7FBFC91}"/>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42958" xr:uid="{874DD180-6BB8-4054-B5D8-FC296C296AAB}"/>
    <cellStyle name="Normal 9 2 2 3 2 2 2 2 3" xfId="34511" xr:uid="{464C0FC5-E474-41DD-8EAC-A6072F657762}"/>
    <cellStyle name="Normal 9 2 2 3 2 2 2 2 4" xfId="26063" xr:uid="{8B8C4231-2925-40CA-A490-3931782CE49A}"/>
    <cellStyle name="Normal 9 2 2 3 2 2 2 2 5" xfId="16766" xr:uid="{C0CF9E01-31D8-4F2D-AA97-9F89DB21C5FC}"/>
    <cellStyle name="Normal 9 2 2 3 2 2 2 3" xfId="38741" xr:uid="{A3CDA1E9-272C-44A9-9915-712E548CAA5B}"/>
    <cellStyle name="Normal 9 2 2 3 2 2 2 4" xfId="30293" xr:uid="{8D171CB7-45E8-46FA-9782-CD6B4379F146}"/>
    <cellStyle name="Normal 9 2 2 3 2 2 2 5" xfId="21846" xr:uid="{7034B5B0-BA65-428B-B280-F132F9ACC16A}"/>
    <cellStyle name="Normal 9 2 2 3 2 2 2 6" xfId="12549" xr:uid="{95711385-4912-4804-8D0D-1ACFE2253D6C}"/>
    <cellStyle name="Normal 9 2 2 3 2 2 3" xfId="5295" xr:uid="{00000000-0005-0000-0000-0000C31E0000}"/>
    <cellStyle name="Normal 9 2 2 3 2 2 3 2" xfId="40813" xr:uid="{55D77FCD-4806-44D3-A23D-7D9AB6FF4249}"/>
    <cellStyle name="Normal 9 2 2 3 2 2 3 3" xfId="32366" xr:uid="{77BEBE4E-E7A3-4CBF-BF4C-87A0D8837462}"/>
    <cellStyle name="Normal 9 2 2 3 2 2 3 4" xfId="23918" xr:uid="{D8648072-1F9E-4783-A4FA-BDAA9343A296}"/>
    <cellStyle name="Normal 9 2 2 3 2 2 3 5" xfId="14621" xr:uid="{75D92986-4087-4BC4-9CE4-F3A066242EA1}"/>
    <cellStyle name="Normal 9 2 2 3 2 2 4" xfId="9520" xr:uid="{57CFBD10-691F-4DF8-8020-B75E98FF60DD}"/>
    <cellStyle name="Normal 9 2 2 3 2 2 4 2" xfId="36596" xr:uid="{DA88B42A-B330-45B5-BDDC-74156DBBA8B4}"/>
    <cellStyle name="Normal 9 2 2 3 2 2 4 3" xfId="18833" xr:uid="{232510FB-C6CC-4429-B0D7-CF9610F702B8}"/>
    <cellStyle name="Normal 9 2 2 3 2 2 5" xfId="28148" xr:uid="{EFF29552-AA22-4AAC-8C3E-32C556A3460B}"/>
    <cellStyle name="Normal 9 2 2 3 2 2 6" xfId="19701" xr:uid="{3DD9554F-2AFE-4A75-B511-8E08BD562A50}"/>
    <cellStyle name="Normal 9 2 2 3 2 2 7" xfId="10404" xr:uid="{125ACCBC-6A34-4156-B4B8-ADD3612C29E8}"/>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43371" xr:uid="{AFB04F91-C365-4DF4-B78E-E57EBB0D72C9}"/>
    <cellStyle name="Normal 9 2 2 3 2 3 2 2 3" xfId="34924" xr:uid="{E35FD220-1232-4C46-9521-43C82DB3A9FA}"/>
    <cellStyle name="Normal 9 2 2 3 2 3 2 2 4" xfId="26476" xr:uid="{6DABC481-CFC0-44A9-B771-8AFCB397F64C}"/>
    <cellStyle name="Normal 9 2 2 3 2 3 2 2 5" xfId="17179" xr:uid="{6B1B5634-3CF1-4336-9C62-640E8B25731C}"/>
    <cellStyle name="Normal 9 2 2 3 2 3 2 3" xfId="39154" xr:uid="{1C22AAF8-2848-42A1-B7C4-B7C1863EB698}"/>
    <cellStyle name="Normal 9 2 2 3 2 3 2 4" xfId="30706" xr:uid="{581783EB-70B9-41DD-B3D9-9F52C50637F8}"/>
    <cellStyle name="Normal 9 2 2 3 2 3 2 5" xfId="22259" xr:uid="{013A2884-821D-4B4C-A55F-52D3A5ECB0A6}"/>
    <cellStyle name="Normal 9 2 2 3 2 3 2 6" xfId="12962" xr:uid="{AA695EB1-EA3D-4B7D-AF7B-650516A1DD7B}"/>
    <cellStyle name="Normal 9 2 2 3 2 3 3" xfId="5708" xr:uid="{00000000-0005-0000-0000-0000C71E0000}"/>
    <cellStyle name="Normal 9 2 2 3 2 3 3 2" xfId="41226" xr:uid="{F1EE636F-14D2-482B-ADDB-1EF594755DE8}"/>
    <cellStyle name="Normal 9 2 2 3 2 3 3 3" xfId="32779" xr:uid="{FBF2DA35-0BB6-4E10-8980-33538AD2C0E1}"/>
    <cellStyle name="Normal 9 2 2 3 2 3 3 4" xfId="24331" xr:uid="{107F42E9-75C1-4A5C-87B3-FF8AAED7D118}"/>
    <cellStyle name="Normal 9 2 2 3 2 3 3 5" xfId="15034" xr:uid="{4AE35E8C-C6F7-4B5C-9251-7C5D82B5E9E8}"/>
    <cellStyle name="Normal 9 2 2 3 2 3 4" xfId="37009" xr:uid="{C874F977-DEA9-4C51-B9EB-1ED980199CAF}"/>
    <cellStyle name="Normal 9 2 2 3 2 3 5" xfId="28561" xr:uid="{C5CE30CC-BE2C-464F-8C8F-C737EAFE12DA}"/>
    <cellStyle name="Normal 9 2 2 3 2 3 6" xfId="20114" xr:uid="{A583C2C2-DA93-41DF-9188-9F19EE330B6E}"/>
    <cellStyle name="Normal 9 2 2 3 2 3 7" xfId="10817" xr:uid="{8EFA18CB-51AA-4BCB-B56E-8A01B3A67CA3}"/>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43784" xr:uid="{D8F510D9-8A24-4FD3-91D5-5B59F01895F0}"/>
    <cellStyle name="Normal 9 2 2 3 2 4 2 2 3" xfId="35337" xr:uid="{EF8DCE5F-A213-442F-9D7A-3891812EFCE6}"/>
    <cellStyle name="Normal 9 2 2 3 2 4 2 2 4" xfId="26889" xr:uid="{2FBDD973-ADAA-4BBB-9F9F-A6665C567EDA}"/>
    <cellStyle name="Normal 9 2 2 3 2 4 2 2 5" xfId="17592" xr:uid="{99E23E2D-39A0-4C5F-B8A6-066E45C86F36}"/>
    <cellStyle name="Normal 9 2 2 3 2 4 2 3" xfId="39567" xr:uid="{8CC156E9-CCFB-4E58-973F-507BBF12C31B}"/>
    <cellStyle name="Normal 9 2 2 3 2 4 2 4" xfId="31119" xr:uid="{14AF0B18-12F6-4602-9089-C483A0147922}"/>
    <cellStyle name="Normal 9 2 2 3 2 4 2 5" xfId="22672" xr:uid="{A4EF52F3-60DF-49C1-BB49-16FD92990BAD}"/>
    <cellStyle name="Normal 9 2 2 3 2 4 2 6" xfId="13375" xr:uid="{0F36B903-ED77-4D94-8121-FF43E690F8CE}"/>
    <cellStyle name="Normal 9 2 2 3 2 4 3" xfId="6121" xr:uid="{00000000-0005-0000-0000-0000CB1E0000}"/>
    <cellStyle name="Normal 9 2 2 3 2 4 3 2" xfId="41639" xr:uid="{D825A0D1-70C2-438F-A36D-58550E741D12}"/>
    <cellStyle name="Normal 9 2 2 3 2 4 3 3" xfId="33192" xr:uid="{F480CD07-BCB2-4511-B422-3941657E42A5}"/>
    <cellStyle name="Normal 9 2 2 3 2 4 3 4" xfId="24744" xr:uid="{ED423A84-8532-4857-908A-BAEFF497CBE3}"/>
    <cellStyle name="Normal 9 2 2 3 2 4 3 5" xfId="15447" xr:uid="{A0B35674-E5F7-41FD-B630-F3BB9C9F89C5}"/>
    <cellStyle name="Normal 9 2 2 3 2 4 4" xfId="37422" xr:uid="{7E7ABFB3-986F-4C72-BEC1-53E29482C311}"/>
    <cellStyle name="Normal 9 2 2 3 2 4 5" xfId="28974" xr:uid="{B0F0B8E3-4E10-4EA8-959F-C5C386F83813}"/>
    <cellStyle name="Normal 9 2 2 3 2 4 6" xfId="20527" xr:uid="{2A5B9F7D-2656-48EE-9039-56801C81BB8B}"/>
    <cellStyle name="Normal 9 2 2 3 2 4 7" xfId="11230" xr:uid="{60C26EDD-6755-44FE-9891-D846F9203655}"/>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44197" xr:uid="{AC5E64F1-1F11-4907-BEF1-7181128C3974}"/>
    <cellStyle name="Normal 9 2 2 3 2 5 2 2 3" xfId="35750" xr:uid="{F6FAA992-A160-4CE0-973F-CA931C3B3B18}"/>
    <cellStyle name="Normal 9 2 2 3 2 5 2 2 4" xfId="27302" xr:uid="{46B243AC-ACB5-43B6-9039-A3C225E0F818}"/>
    <cellStyle name="Normal 9 2 2 3 2 5 2 2 5" xfId="18005" xr:uid="{DC018A1E-9D77-465F-B5F9-5902351513D6}"/>
    <cellStyle name="Normal 9 2 2 3 2 5 2 3" xfId="39980" xr:uid="{280857A2-0FE9-43F2-B4FD-434BA8CBE6A6}"/>
    <cellStyle name="Normal 9 2 2 3 2 5 2 4" xfId="31532" xr:uid="{72A3381A-42BD-4F85-82DA-3EB08FE8276D}"/>
    <cellStyle name="Normal 9 2 2 3 2 5 2 5" xfId="23085" xr:uid="{B06585AD-99DA-4C6C-87EB-8C55AD1CA539}"/>
    <cellStyle name="Normal 9 2 2 3 2 5 2 6" xfId="13788" xr:uid="{2496386C-D313-4CAF-8CF8-D8C7D8202B2C}"/>
    <cellStyle name="Normal 9 2 2 3 2 5 3" xfId="6534" xr:uid="{00000000-0005-0000-0000-0000CF1E0000}"/>
    <cellStyle name="Normal 9 2 2 3 2 5 3 2" xfId="42052" xr:uid="{4E78DB6D-5B98-42DD-8BB8-0056C7F859B7}"/>
    <cellStyle name="Normal 9 2 2 3 2 5 3 3" xfId="33605" xr:uid="{034264C2-CCDC-4DBC-85AC-23B9A02F4D81}"/>
    <cellStyle name="Normal 9 2 2 3 2 5 3 4" xfId="25157" xr:uid="{4A530F09-84A0-45F3-954F-BE6DAC05C167}"/>
    <cellStyle name="Normal 9 2 2 3 2 5 3 5" xfId="15860" xr:uid="{B9577558-C86B-4B47-9B83-B3484C7ACD2B}"/>
    <cellStyle name="Normal 9 2 2 3 2 5 4" xfId="37835" xr:uid="{BD30A46C-25B5-4079-A58C-4B26D8FF4652}"/>
    <cellStyle name="Normal 9 2 2 3 2 5 5" xfId="29387" xr:uid="{ACA8F40E-FED4-446B-B271-638D753FBD56}"/>
    <cellStyle name="Normal 9 2 2 3 2 5 6" xfId="20940" xr:uid="{0187D0CD-3A28-43B9-98BA-B06F5E4573DF}"/>
    <cellStyle name="Normal 9 2 2 3 2 5 7" xfId="11643" xr:uid="{CBDF486A-B4E7-4A43-B7DF-CF36C229F10C}"/>
    <cellStyle name="Normal 9 2 2 3 2 6" xfId="2664" xr:uid="{00000000-0005-0000-0000-0000D01E0000}"/>
    <cellStyle name="Normal 9 2 2 3 2 6 2" xfId="6947" xr:uid="{00000000-0005-0000-0000-0000D11E0000}"/>
    <cellStyle name="Normal 9 2 2 3 2 6 2 2" xfId="42465" xr:uid="{F43214B6-684C-4C11-8BC5-587BB4247885}"/>
    <cellStyle name="Normal 9 2 2 3 2 6 2 3" xfId="34018" xr:uid="{EFDF147E-749E-4DEA-AEBC-EDF6275EC235}"/>
    <cellStyle name="Normal 9 2 2 3 2 6 2 4" xfId="25570" xr:uid="{BA9327E1-7781-4987-84C0-CE8BD5D5E612}"/>
    <cellStyle name="Normal 9 2 2 3 2 6 2 5" xfId="16273" xr:uid="{4468F036-CF35-4B67-BAD8-FCA903D64F34}"/>
    <cellStyle name="Normal 9 2 2 3 2 6 3" xfId="38248" xr:uid="{C554C83F-C874-4832-B88F-B9A50C200F84}"/>
    <cellStyle name="Normal 9 2 2 3 2 6 4" xfId="29800" xr:uid="{C87E1B28-2DA9-4F3B-AFAE-6889DAC05832}"/>
    <cellStyle name="Normal 9 2 2 3 2 6 5" xfId="21353" xr:uid="{8FF8090F-889A-4022-B872-DCAFB3557A62}"/>
    <cellStyle name="Normal 9 2 2 3 2 6 6" xfId="12056" xr:uid="{07689E15-CE9E-4A8D-90F1-145AAC221C91}"/>
    <cellStyle name="Normal 9 2 2 3 2 7" xfId="4882" xr:uid="{00000000-0005-0000-0000-0000D21E0000}"/>
    <cellStyle name="Normal 9 2 2 3 2 7 2" xfId="40400" xr:uid="{84D7A0E1-DFA1-41B0-BFA6-72E821E4655F}"/>
    <cellStyle name="Normal 9 2 2 3 2 7 3" xfId="31953" xr:uid="{7F89603B-F9A0-4859-8F5F-528025476F93}"/>
    <cellStyle name="Normal 9 2 2 3 2 7 4" xfId="23505" xr:uid="{B00003F4-C3C3-4A82-8634-1E50E2666FA8}"/>
    <cellStyle name="Normal 9 2 2 3 2 7 5" xfId="14208" xr:uid="{3F5CFB5F-E7A5-4BFE-AE6E-38C093AE41DA}"/>
    <cellStyle name="Normal 9 2 2 3 2 8" xfId="9095" xr:uid="{D95088B7-D227-4E97-A9B9-DA61436DD386}"/>
    <cellStyle name="Normal 9 2 2 3 2 8 2" xfId="36183" xr:uid="{35AB25E9-D5AB-442F-954C-AF8608DE013D}"/>
    <cellStyle name="Normal 9 2 2 3 2 8 3" xfId="18418" xr:uid="{C3CCED4D-5D75-47F3-81F2-1B6284DDD222}"/>
    <cellStyle name="Normal 9 2 2 3 2 9" xfId="27735" xr:uid="{9829B2C4-6357-4149-BAA0-9B01E7BE442E}"/>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42957" xr:uid="{43B9EBBC-7EE4-4178-B950-26C14ECDC894}"/>
    <cellStyle name="Normal 9 2 2 3 3 2 2 3" xfId="34510" xr:uid="{FFA5B2A2-F553-4E54-AB00-9C49522F964A}"/>
    <cellStyle name="Normal 9 2 2 3 3 2 2 4" xfId="26062" xr:uid="{E5F155AF-3BB4-42F8-B7E6-B97195E6D387}"/>
    <cellStyle name="Normal 9 2 2 3 3 2 2 5" xfId="16765" xr:uid="{7174ADBD-0E59-4DED-9929-F90DA9B6E2A8}"/>
    <cellStyle name="Normal 9 2 2 3 3 2 3" xfId="38740" xr:uid="{10FD8EA7-626F-455D-BBBD-2AA3562B13E2}"/>
    <cellStyle name="Normal 9 2 2 3 3 2 4" xfId="30292" xr:uid="{E9DFB8F7-7BD2-40BE-9BF6-A8462B432CBF}"/>
    <cellStyle name="Normal 9 2 2 3 3 2 5" xfId="21845" xr:uid="{63EEA92B-4629-46C8-9E71-FFE6C165B9FD}"/>
    <cellStyle name="Normal 9 2 2 3 3 2 6" xfId="12548" xr:uid="{53CBD88B-6C49-4C6C-95F3-F2B597174053}"/>
    <cellStyle name="Normal 9 2 2 3 3 3" xfId="5294" xr:uid="{00000000-0005-0000-0000-0000D61E0000}"/>
    <cellStyle name="Normal 9 2 2 3 3 3 2" xfId="40812" xr:uid="{2C45F082-BA4E-4FF2-9A6F-AEE7716D0007}"/>
    <cellStyle name="Normal 9 2 2 3 3 3 3" xfId="32365" xr:uid="{77F06A51-7E1A-40EE-8341-6F8765D49EC2}"/>
    <cellStyle name="Normal 9 2 2 3 3 3 4" xfId="23917" xr:uid="{D2204795-F104-4DD6-8CAB-1D5D6ABB2E1B}"/>
    <cellStyle name="Normal 9 2 2 3 3 3 5" xfId="14620" xr:uid="{17EE4BA8-3BED-4572-8714-BC28FE275D0D}"/>
    <cellStyle name="Normal 9 2 2 3 3 4" xfId="9313" xr:uid="{FDDC600D-FDDD-4FFC-9820-DFD7E0768F33}"/>
    <cellStyle name="Normal 9 2 2 3 3 4 2" xfId="36595" xr:uid="{9CE5CAB8-FEC9-4B83-8265-91C666F528E8}"/>
    <cellStyle name="Normal 9 2 2 3 3 4 3" xfId="18626" xr:uid="{40C9E3E5-F72F-4374-8762-450BCC3FC8FA}"/>
    <cellStyle name="Normal 9 2 2 3 3 5" xfId="28147" xr:uid="{B3C9188A-2884-4B5E-8C5C-E7819EA5BFDD}"/>
    <cellStyle name="Normal 9 2 2 3 3 6" xfId="19700" xr:uid="{5C976D1E-2014-42DA-B62D-6D480A91419E}"/>
    <cellStyle name="Normal 9 2 2 3 3 7" xfId="10403" xr:uid="{4BA09778-D580-4F35-B6BC-F96B7A83BB81}"/>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43370" xr:uid="{CDB8D5B0-85F6-4DD2-BBDC-C47564F7008A}"/>
    <cellStyle name="Normal 9 2 2 3 4 2 2 3" xfId="34923" xr:uid="{159EACAC-FB3B-4180-9321-1866FE7923CD}"/>
    <cellStyle name="Normal 9 2 2 3 4 2 2 4" xfId="26475" xr:uid="{3AD44A26-629B-45AF-B05C-56679E3C38FB}"/>
    <cellStyle name="Normal 9 2 2 3 4 2 2 5" xfId="17178" xr:uid="{C8EA8728-25AA-4D10-B420-2E2664BA3E70}"/>
    <cellStyle name="Normal 9 2 2 3 4 2 3" xfId="39153" xr:uid="{A9246A54-1193-41EE-899A-7FB9ABA623AC}"/>
    <cellStyle name="Normal 9 2 2 3 4 2 4" xfId="30705" xr:uid="{16512A6F-2B98-482F-A1E3-78AC3FC43E77}"/>
    <cellStyle name="Normal 9 2 2 3 4 2 5" xfId="22258" xr:uid="{85EBD01D-FD30-4716-9B42-195A04BC7E0A}"/>
    <cellStyle name="Normal 9 2 2 3 4 2 6" xfId="12961" xr:uid="{A18C8999-06A5-47F9-BAB3-89C3DC25BD7D}"/>
    <cellStyle name="Normal 9 2 2 3 4 3" xfId="5707" xr:uid="{00000000-0005-0000-0000-0000DA1E0000}"/>
    <cellStyle name="Normal 9 2 2 3 4 3 2" xfId="41225" xr:uid="{CFC68CEC-0A55-4279-84EB-D0E2EC4FEB87}"/>
    <cellStyle name="Normal 9 2 2 3 4 3 3" xfId="32778" xr:uid="{9058CBE8-D19B-4DBA-A3BD-D6A27563CBEE}"/>
    <cellStyle name="Normal 9 2 2 3 4 3 4" xfId="24330" xr:uid="{F180E5EA-31B6-4A92-A9D8-F20FEACECE5E}"/>
    <cellStyle name="Normal 9 2 2 3 4 3 5" xfId="15033" xr:uid="{AED05B48-0BAA-46A6-8052-914E248EFB11}"/>
    <cellStyle name="Normal 9 2 2 3 4 4" xfId="37008" xr:uid="{3BBB340E-E09A-43CC-8BFD-C70A3B5C470B}"/>
    <cellStyle name="Normal 9 2 2 3 4 5" xfId="28560" xr:uid="{9133AE13-4C2D-4FDB-8204-26A89C35F860}"/>
    <cellStyle name="Normal 9 2 2 3 4 6" xfId="20113" xr:uid="{AC7A849F-029A-46CA-AE77-3E981CBD5DF6}"/>
    <cellStyle name="Normal 9 2 2 3 4 7" xfId="10816" xr:uid="{78E61004-837F-4C93-9876-D47D6B5DC7CD}"/>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43783" xr:uid="{6BFBC349-6792-466E-9DD6-F001CB36012E}"/>
    <cellStyle name="Normal 9 2 2 3 5 2 2 3" xfId="35336" xr:uid="{E01C2F08-121E-4541-B80D-00585F029252}"/>
    <cellStyle name="Normal 9 2 2 3 5 2 2 4" xfId="26888" xr:uid="{52EE0ED6-FF57-490A-80FE-10C6921F1B12}"/>
    <cellStyle name="Normal 9 2 2 3 5 2 2 5" xfId="17591" xr:uid="{55FAEA08-7B9D-427C-A97E-0800968F1C1B}"/>
    <cellStyle name="Normal 9 2 2 3 5 2 3" xfId="39566" xr:uid="{CEBF72F1-E11F-42C0-A356-6C9D18F8239F}"/>
    <cellStyle name="Normal 9 2 2 3 5 2 4" xfId="31118" xr:uid="{C2AA90F8-AE1B-40C2-83DE-9683CA060BCC}"/>
    <cellStyle name="Normal 9 2 2 3 5 2 5" xfId="22671" xr:uid="{8C7B5597-DF86-4355-849B-8E4FFCCC09FF}"/>
    <cellStyle name="Normal 9 2 2 3 5 2 6" xfId="13374" xr:uid="{61254D4C-2035-4CAD-9157-0852F0449D63}"/>
    <cellStyle name="Normal 9 2 2 3 5 3" xfId="6120" xr:uid="{00000000-0005-0000-0000-0000DE1E0000}"/>
    <cellStyle name="Normal 9 2 2 3 5 3 2" xfId="41638" xr:uid="{92734887-EF32-40DB-8FB8-0A353EF50675}"/>
    <cellStyle name="Normal 9 2 2 3 5 3 3" xfId="33191" xr:uid="{4A3C0A19-D084-4224-8177-A6BE24653014}"/>
    <cellStyle name="Normal 9 2 2 3 5 3 4" xfId="24743" xr:uid="{26BFFFA5-5B9B-42AC-9BBC-0DB44AF706B4}"/>
    <cellStyle name="Normal 9 2 2 3 5 3 5" xfId="15446" xr:uid="{AEE4B9C4-9B29-414B-BAED-10C5AE90CD3A}"/>
    <cellStyle name="Normal 9 2 2 3 5 4" xfId="37421" xr:uid="{97E20752-7B5E-4166-B715-97284EACDC6D}"/>
    <cellStyle name="Normal 9 2 2 3 5 5" xfId="28973" xr:uid="{E2FF2C08-2CC9-41C3-A618-F2EC3258E9C3}"/>
    <cellStyle name="Normal 9 2 2 3 5 6" xfId="20526" xr:uid="{38F85049-B733-481C-8F8A-9B556DC1F44D}"/>
    <cellStyle name="Normal 9 2 2 3 5 7" xfId="11229" xr:uid="{46F45748-425A-44C2-B599-376D3D4ED31C}"/>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44196" xr:uid="{8897EA81-5711-43AF-B3E3-87DAC964DCB2}"/>
    <cellStyle name="Normal 9 2 2 3 6 2 2 3" xfId="35749" xr:uid="{6FD92077-CDFE-4210-8D81-3B9180FA1BF9}"/>
    <cellStyle name="Normal 9 2 2 3 6 2 2 4" xfId="27301" xr:uid="{78729540-2EEA-4ACA-AD5C-B371BDE2B7C5}"/>
    <cellStyle name="Normal 9 2 2 3 6 2 2 5" xfId="18004" xr:uid="{3BFF996B-83FE-4E01-B24C-A78F9CB3598E}"/>
    <cellStyle name="Normal 9 2 2 3 6 2 3" xfId="39979" xr:uid="{F0B73C2D-0DFF-4169-BF64-25C42EE5DA97}"/>
    <cellStyle name="Normal 9 2 2 3 6 2 4" xfId="31531" xr:uid="{84B7AD86-1C6C-4010-B32A-3C110111B606}"/>
    <cellStyle name="Normal 9 2 2 3 6 2 5" xfId="23084" xr:uid="{F2EC0719-96FC-44A0-9722-C1079512394D}"/>
    <cellStyle name="Normal 9 2 2 3 6 2 6" xfId="13787" xr:uid="{76A20152-4DD5-4870-B62C-22D24779E3AC}"/>
    <cellStyle name="Normal 9 2 2 3 6 3" xfId="6533" xr:uid="{00000000-0005-0000-0000-0000E21E0000}"/>
    <cellStyle name="Normal 9 2 2 3 6 3 2" xfId="42051" xr:uid="{CEAB383C-29FA-4053-B5A3-E07499C24DD8}"/>
    <cellStyle name="Normal 9 2 2 3 6 3 3" xfId="33604" xr:uid="{D816CA46-393C-4424-8EC4-3F1F810B5A87}"/>
    <cellStyle name="Normal 9 2 2 3 6 3 4" xfId="25156" xr:uid="{39EDBD3C-2533-40E5-9341-4DF417E2F4C8}"/>
    <cellStyle name="Normal 9 2 2 3 6 3 5" xfId="15859" xr:uid="{C0A8D21A-E387-49CF-8266-267144259E75}"/>
    <cellStyle name="Normal 9 2 2 3 6 4" xfId="37834" xr:uid="{FD6E65E2-0859-4232-B25E-8B18E1FC6366}"/>
    <cellStyle name="Normal 9 2 2 3 6 5" xfId="29386" xr:uid="{B0C43C58-CB2D-4F7F-A7AA-60FFED59E18A}"/>
    <cellStyle name="Normal 9 2 2 3 6 6" xfId="20939" xr:uid="{52D61604-8643-4A03-9C7B-52D0DABB9690}"/>
    <cellStyle name="Normal 9 2 2 3 6 7" xfId="11642" xr:uid="{94C2CAAB-312E-49A6-B6CC-0838478FF316}"/>
    <cellStyle name="Normal 9 2 2 3 7" xfId="2663" xr:uid="{00000000-0005-0000-0000-0000E31E0000}"/>
    <cellStyle name="Normal 9 2 2 3 7 2" xfId="6946" xr:uid="{00000000-0005-0000-0000-0000E41E0000}"/>
    <cellStyle name="Normal 9 2 2 3 7 2 2" xfId="42464" xr:uid="{7E2FD931-8CE1-48BB-A180-C3015044BDD8}"/>
    <cellStyle name="Normal 9 2 2 3 7 2 3" xfId="34017" xr:uid="{A75BA458-CF3F-49DB-A558-0D2141324380}"/>
    <cellStyle name="Normal 9 2 2 3 7 2 4" xfId="25569" xr:uid="{1F9D24BD-8550-439B-ACC0-94214456B9D7}"/>
    <cellStyle name="Normal 9 2 2 3 7 2 5" xfId="16272" xr:uid="{713A4CAF-CF76-4ED7-860F-F5ED0C44D686}"/>
    <cellStyle name="Normal 9 2 2 3 7 3" xfId="38247" xr:uid="{0267CBD4-4F16-4097-B71E-0B764AE4AE81}"/>
    <cellStyle name="Normal 9 2 2 3 7 4" xfId="29799" xr:uid="{EAFB7ABD-647D-4DFB-8C4A-7EF2FCC6C281}"/>
    <cellStyle name="Normal 9 2 2 3 7 5" xfId="21352" xr:uid="{15B64DD9-676F-4D3F-AA33-CDF069142EF6}"/>
    <cellStyle name="Normal 9 2 2 3 7 6" xfId="12055" xr:uid="{2E83C624-6B35-4981-9D60-E0497822E396}"/>
    <cellStyle name="Normal 9 2 2 3 8" xfId="4881" xr:uid="{00000000-0005-0000-0000-0000E51E0000}"/>
    <cellStyle name="Normal 9 2 2 3 8 2" xfId="40399" xr:uid="{AC948AF2-7D66-4707-A163-235DFCEC74F5}"/>
    <cellStyle name="Normal 9 2 2 3 8 3" xfId="31952" xr:uid="{84054C45-037F-4FE1-A8B2-868B976F7633}"/>
    <cellStyle name="Normal 9 2 2 3 8 4" xfId="23504" xr:uid="{347DE9BD-4709-4F12-A844-9CC97303588F}"/>
    <cellStyle name="Normal 9 2 2 3 8 5" xfId="14207" xr:uid="{1187BB78-AC44-4F08-A979-E49D85E2F3BA}"/>
    <cellStyle name="Normal 9 2 2 3 9" xfId="8888" xr:uid="{47457178-62A7-4ACA-95A1-433BF4FD3D65}"/>
    <cellStyle name="Normal 9 2 2 3 9 2" xfId="36182" xr:uid="{7494DBA5-1D7E-4E54-AD39-B89BCB915284}"/>
    <cellStyle name="Normal 9 2 2 3 9 3" xfId="18211" xr:uid="{0CFA5746-7969-48DE-8DC3-3923F75C6DF3}"/>
    <cellStyle name="Normal 9 2 2 4" xfId="519" xr:uid="{00000000-0005-0000-0000-0000E61E0000}"/>
    <cellStyle name="Normal 9 2 2 4 10" xfId="19289" xr:uid="{C8053EAD-4D60-4A52-AA0B-8A5132FD3287}"/>
    <cellStyle name="Normal 9 2 2 4 11" xfId="9992" xr:uid="{1E23AF7B-F861-4F5B-AE4F-0E4F2477115E}"/>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42959" xr:uid="{791A1BE3-EEBF-4D00-BC63-64C897151947}"/>
    <cellStyle name="Normal 9 2 2 4 2 2 2 3" xfId="34512" xr:uid="{7DB2F067-DDEB-4BE8-A3C6-EBF6D0FE37D2}"/>
    <cellStyle name="Normal 9 2 2 4 2 2 2 4" xfId="26064" xr:uid="{E5B59F74-B3CC-47BD-84AF-1BA80FB5A03E}"/>
    <cellStyle name="Normal 9 2 2 4 2 2 2 5" xfId="16767" xr:uid="{6558A3B2-0678-4E19-804E-021FAAD9DAC9}"/>
    <cellStyle name="Normal 9 2 2 4 2 2 3" xfId="38742" xr:uid="{C1E3037B-66EC-4619-AAC7-BE1D6E894BD0}"/>
    <cellStyle name="Normal 9 2 2 4 2 2 4" xfId="30294" xr:uid="{914161A4-BE54-4FF0-9F39-8D9769133DC4}"/>
    <cellStyle name="Normal 9 2 2 4 2 2 5" xfId="21847" xr:uid="{C6B11B57-6FBA-4952-94CC-556CDA819D02}"/>
    <cellStyle name="Normal 9 2 2 4 2 2 6" xfId="12550" xr:uid="{8CD718AF-AD94-4108-A080-3AF3690D8B67}"/>
    <cellStyle name="Normal 9 2 2 4 2 3" xfId="5296" xr:uid="{00000000-0005-0000-0000-0000EA1E0000}"/>
    <cellStyle name="Normal 9 2 2 4 2 3 2" xfId="40814" xr:uid="{A052744C-AE4C-43E3-BAE3-282920D8009D}"/>
    <cellStyle name="Normal 9 2 2 4 2 3 3" xfId="32367" xr:uid="{E108C7C7-C255-40A8-BCDF-3CD3AE1DE868}"/>
    <cellStyle name="Normal 9 2 2 4 2 3 4" xfId="23919" xr:uid="{94E6ABF1-55AA-48A9-843B-636F7108B658}"/>
    <cellStyle name="Normal 9 2 2 4 2 3 5" xfId="14622" xr:uid="{DBC159AF-18C5-4DC7-8D0B-D32203DB2DC1}"/>
    <cellStyle name="Normal 9 2 2 4 2 4" xfId="9417" xr:uid="{FDB8A679-B5B8-4E9B-808D-E68F6CA01958}"/>
    <cellStyle name="Normal 9 2 2 4 2 4 2" xfId="36597" xr:uid="{E5EC1529-DCC4-48E1-BAE8-0E5F10448831}"/>
    <cellStyle name="Normal 9 2 2 4 2 4 3" xfId="18730" xr:uid="{FED7291F-0A78-4FFF-AAF3-1CBD10677D3E}"/>
    <cellStyle name="Normal 9 2 2 4 2 5" xfId="28149" xr:uid="{E4ADF106-40A3-4B69-AEBF-18DCCDB9F0C9}"/>
    <cellStyle name="Normal 9 2 2 4 2 6" xfId="19702" xr:uid="{854F96B5-5B39-4596-9DA5-0F4756DB9716}"/>
    <cellStyle name="Normal 9 2 2 4 2 7" xfId="10405" xr:uid="{BC45E6E7-E759-43EB-9F43-3D13F3030428}"/>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43372" xr:uid="{2405CF98-BFED-4722-9247-38E608FD5834}"/>
    <cellStyle name="Normal 9 2 2 4 3 2 2 3" xfId="34925" xr:uid="{F0948B93-A7BA-4554-BE1C-F6D99110946C}"/>
    <cellStyle name="Normal 9 2 2 4 3 2 2 4" xfId="26477" xr:uid="{B3CC4886-CA4A-4936-893A-B86740800B63}"/>
    <cellStyle name="Normal 9 2 2 4 3 2 2 5" xfId="17180" xr:uid="{B604E079-373D-4AB7-8297-946C579B6684}"/>
    <cellStyle name="Normal 9 2 2 4 3 2 3" xfId="39155" xr:uid="{2F79243F-59ED-4185-9E29-E90B851AE9FC}"/>
    <cellStyle name="Normal 9 2 2 4 3 2 4" xfId="30707" xr:uid="{C4AB42AF-78D2-4FE7-B17E-F92F0203F8A9}"/>
    <cellStyle name="Normal 9 2 2 4 3 2 5" xfId="22260" xr:uid="{6C67AFB8-575B-4D12-8B49-DF0A660B83DB}"/>
    <cellStyle name="Normal 9 2 2 4 3 2 6" xfId="12963" xr:uid="{5240B033-25AD-495C-A5E5-9824985CCC6D}"/>
    <cellStyle name="Normal 9 2 2 4 3 3" xfId="5709" xr:uid="{00000000-0005-0000-0000-0000EE1E0000}"/>
    <cellStyle name="Normal 9 2 2 4 3 3 2" xfId="41227" xr:uid="{455A7080-21D7-429C-B810-EE4F0E07590D}"/>
    <cellStyle name="Normal 9 2 2 4 3 3 3" xfId="32780" xr:uid="{F22D61EF-A8E1-475C-A060-C9B4022B0E38}"/>
    <cellStyle name="Normal 9 2 2 4 3 3 4" xfId="24332" xr:uid="{26D1E3B4-564C-4621-AE21-7FA378EF9B0B}"/>
    <cellStyle name="Normal 9 2 2 4 3 3 5" xfId="15035" xr:uid="{DCF41F8F-971D-4F60-AE54-C562EBBB96F8}"/>
    <cellStyle name="Normal 9 2 2 4 3 4" xfId="37010" xr:uid="{E56589A5-DD54-4572-B501-1B9E2C9EC7BF}"/>
    <cellStyle name="Normal 9 2 2 4 3 5" xfId="28562" xr:uid="{09B3AA3B-1660-4204-9026-7C5E8F619807}"/>
    <cellStyle name="Normal 9 2 2 4 3 6" xfId="20115" xr:uid="{EEADD713-6082-443D-ADE5-7C629B3AAE19}"/>
    <cellStyle name="Normal 9 2 2 4 3 7" xfId="10818" xr:uid="{DD4EBC03-9870-4CC4-B467-D29915E9570D}"/>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43785" xr:uid="{670C136C-D3C4-453E-A3FC-7192767AEF77}"/>
    <cellStyle name="Normal 9 2 2 4 4 2 2 3" xfId="35338" xr:uid="{A1FA2203-60EF-4410-95B0-A1509A089C09}"/>
    <cellStyle name="Normal 9 2 2 4 4 2 2 4" xfId="26890" xr:uid="{5A77FA37-AAAF-4104-8C37-3C01880BCEEA}"/>
    <cellStyle name="Normal 9 2 2 4 4 2 2 5" xfId="17593" xr:uid="{B84997A5-56D4-4D34-8CD8-1A67B4A59705}"/>
    <cellStyle name="Normal 9 2 2 4 4 2 3" xfId="39568" xr:uid="{26F96589-C756-444B-AE3F-0182F5164520}"/>
    <cellStyle name="Normal 9 2 2 4 4 2 4" xfId="31120" xr:uid="{CC13AD0B-CE2A-4967-8EBA-7D367077C451}"/>
    <cellStyle name="Normal 9 2 2 4 4 2 5" xfId="22673" xr:uid="{83C4E47C-D5B6-4268-8F82-5E980A006919}"/>
    <cellStyle name="Normal 9 2 2 4 4 2 6" xfId="13376" xr:uid="{478D3611-09DC-4CE9-9305-F648C36F6CCE}"/>
    <cellStyle name="Normal 9 2 2 4 4 3" xfId="6122" xr:uid="{00000000-0005-0000-0000-0000F21E0000}"/>
    <cellStyle name="Normal 9 2 2 4 4 3 2" xfId="41640" xr:uid="{538E30AD-881A-4E11-B5D2-AA9E0924A61D}"/>
    <cellStyle name="Normal 9 2 2 4 4 3 3" xfId="33193" xr:uid="{98F9946C-4162-4F67-922A-C39AE47F996A}"/>
    <cellStyle name="Normal 9 2 2 4 4 3 4" xfId="24745" xr:uid="{33249021-4284-463A-B6D9-22E943E95CA4}"/>
    <cellStyle name="Normal 9 2 2 4 4 3 5" xfId="15448" xr:uid="{BC504F8D-784F-4AEE-914B-0D12E82B76D5}"/>
    <cellStyle name="Normal 9 2 2 4 4 4" xfId="37423" xr:uid="{212B9ABD-8D56-4912-8BE7-EC12537696A3}"/>
    <cellStyle name="Normal 9 2 2 4 4 5" xfId="28975" xr:uid="{7BFBFE74-EF50-4668-80E1-354DE08E7EB1}"/>
    <cellStyle name="Normal 9 2 2 4 4 6" xfId="20528" xr:uid="{F8A0BCD3-5D18-4E1F-BAC0-A3BA953F561A}"/>
    <cellStyle name="Normal 9 2 2 4 4 7" xfId="11231" xr:uid="{7227098F-0AD2-4CDC-8C59-9430193F4A9D}"/>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44198" xr:uid="{E5026624-D0DB-428D-8A0F-CDE8B4101E8C}"/>
    <cellStyle name="Normal 9 2 2 4 5 2 2 3" xfId="35751" xr:uid="{EFA5F7A2-7349-4E67-9B01-B7B1D82B5336}"/>
    <cellStyle name="Normal 9 2 2 4 5 2 2 4" xfId="27303" xr:uid="{C858DFE5-EB5C-4BD6-8DB6-28759255ACFE}"/>
    <cellStyle name="Normal 9 2 2 4 5 2 2 5" xfId="18006" xr:uid="{482237F1-3F1C-4BFC-906F-88E1009F6F7B}"/>
    <cellStyle name="Normal 9 2 2 4 5 2 3" xfId="39981" xr:uid="{4673419A-AD0A-4F07-98E0-E2ACDD0BC7AA}"/>
    <cellStyle name="Normal 9 2 2 4 5 2 4" xfId="31533" xr:uid="{80871D46-64A2-446B-9D2E-928BA6BBF126}"/>
    <cellStyle name="Normal 9 2 2 4 5 2 5" xfId="23086" xr:uid="{6D577488-B043-4C92-9E17-9C5EA6FA7474}"/>
    <cellStyle name="Normal 9 2 2 4 5 2 6" xfId="13789" xr:uid="{BFFDEE1B-6E31-498E-A632-CA4A5B23A2A5}"/>
    <cellStyle name="Normal 9 2 2 4 5 3" xfId="6535" xr:uid="{00000000-0005-0000-0000-0000F61E0000}"/>
    <cellStyle name="Normal 9 2 2 4 5 3 2" xfId="42053" xr:uid="{2E15F971-068B-4A8A-8C78-DE94CE96A5C0}"/>
    <cellStyle name="Normal 9 2 2 4 5 3 3" xfId="33606" xr:uid="{78068B18-0299-4B1C-8E9C-7C404C4310A5}"/>
    <cellStyle name="Normal 9 2 2 4 5 3 4" xfId="25158" xr:uid="{49D129B4-4C25-4923-8F46-1450F6B35E41}"/>
    <cellStyle name="Normal 9 2 2 4 5 3 5" xfId="15861" xr:uid="{1CA4E199-D011-437C-B402-6B544E81054F}"/>
    <cellStyle name="Normal 9 2 2 4 5 4" xfId="37836" xr:uid="{400DE702-5D41-4D0B-9AA0-DF07B7AD1ABE}"/>
    <cellStyle name="Normal 9 2 2 4 5 5" xfId="29388" xr:uid="{38612585-9DB9-41D9-B3B4-2ED041DE8F0D}"/>
    <cellStyle name="Normal 9 2 2 4 5 6" xfId="20941" xr:uid="{AA798EC7-C73B-4148-8D50-809ED4F5764F}"/>
    <cellStyle name="Normal 9 2 2 4 5 7" xfId="11644" xr:uid="{66F3E131-329B-4CCB-84F3-25859052798D}"/>
    <cellStyle name="Normal 9 2 2 4 6" xfId="2665" xr:uid="{00000000-0005-0000-0000-0000F71E0000}"/>
    <cellStyle name="Normal 9 2 2 4 6 2" xfId="6948" xr:uid="{00000000-0005-0000-0000-0000F81E0000}"/>
    <cellStyle name="Normal 9 2 2 4 6 2 2" xfId="42466" xr:uid="{0C2FCC71-9FDC-475C-B2CF-B3FE250C782B}"/>
    <cellStyle name="Normal 9 2 2 4 6 2 3" xfId="34019" xr:uid="{9379C0D1-FF36-468F-8A50-999A313A7F9F}"/>
    <cellStyle name="Normal 9 2 2 4 6 2 4" xfId="25571" xr:uid="{F603FCA2-3AFF-42AD-9E06-F9D6C0776004}"/>
    <cellStyle name="Normal 9 2 2 4 6 2 5" xfId="16274" xr:uid="{C7E24F41-C579-4E35-BE66-8E88074221C1}"/>
    <cellStyle name="Normal 9 2 2 4 6 3" xfId="38249" xr:uid="{D763C61A-993A-4014-B259-F9D1279AB0FC}"/>
    <cellStyle name="Normal 9 2 2 4 6 4" xfId="29801" xr:uid="{D129B15C-0002-4BA6-BE22-1F0B1E58CE5C}"/>
    <cellStyle name="Normal 9 2 2 4 6 5" xfId="21354" xr:uid="{57196D71-3BBD-49FF-B5CB-DB297CF8D5E1}"/>
    <cellStyle name="Normal 9 2 2 4 6 6" xfId="12057" xr:uid="{86926CFC-AA5E-4F2C-85E9-02363CB020F7}"/>
    <cellStyle name="Normal 9 2 2 4 7" xfId="4883" xr:uid="{00000000-0005-0000-0000-0000F91E0000}"/>
    <cellStyle name="Normal 9 2 2 4 7 2" xfId="40401" xr:uid="{D767A130-BFCD-4ED0-A131-565B63C00D03}"/>
    <cellStyle name="Normal 9 2 2 4 7 3" xfId="31954" xr:uid="{AE90F108-9F42-4B3D-A1F9-A1E52B9FAF3E}"/>
    <cellStyle name="Normal 9 2 2 4 7 4" xfId="23506" xr:uid="{BA6D2B5C-33EC-47FA-A5CE-B2D6140DF025}"/>
    <cellStyle name="Normal 9 2 2 4 7 5" xfId="14209" xr:uid="{A9A9AE9F-5F24-4EC6-B25B-01AE1290233E}"/>
    <cellStyle name="Normal 9 2 2 4 8" xfId="8992" xr:uid="{8AFFF8AD-8552-4B33-AAFF-7DACAE25085E}"/>
    <cellStyle name="Normal 9 2 2 4 8 2" xfId="36184" xr:uid="{87FC2EEA-6F51-4895-B887-A2BF3397E1FC}"/>
    <cellStyle name="Normal 9 2 2 4 8 3" xfId="18315" xr:uid="{76431300-7225-4A67-9E55-454C6E9C6C2D}"/>
    <cellStyle name="Normal 9 2 2 4 9" xfId="27736" xr:uid="{42AA30DE-A613-47FA-9AA7-008C47B85460}"/>
    <cellStyle name="Normal 9 2 2 5" xfId="979" xr:uid="{00000000-0005-0000-0000-0000FA1E0000}"/>
    <cellStyle name="Normal 9 2 2 5 2" xfId="3212" xr:uid="{00000000-0005-0000-0000-0000FB1E0000}"/>
    <cellStyle name="Normal 9 2 2 5 2 2" xfId="7434" xr:uid="{00000000-0005-0000-0000-0000FC1E0000}"/>
    <cellStyle name="Normal 9 2 2 5 2 2 2" xfId="42952" xr:uid="{CC66663F-2F14-45AA-A90B-B26CFC58FA04}"/>
    <cellStyle name="Normal 9 2 2 5 2 2 3" xfId="34505" xr:uid="{72F2842A-24B2-456E-95CA-7A5AA1A4FCDC}"/>
    <cellStyle name="Normal 9 2 2 5 2 2 4" xfId="26057" xr:uid="{8ED8EE26-56CA-4F83-B395-80FC85D81320}"/>
    <cellStyle name="Normal 9 2 2 5 2 2 5" xfId="16760" xr:uid="{97A372CA-C5A5-4D4C-9158-09BAA352743A}"/>
    <cellStyle name="Normal 9 2 2 5 2 3" xfId="38735" xr:uid="{30D75C9D-43D3-430F-BD27-6C9E5295BCD8}"/>
    <cellStyle name="Normal 9 2 2 5 2 4" xfId="30287" xr:uid="{C3668A0E-EFB3-4988-BCDA-3959F50CC0B4}"/>
    <cellStyle name="Normal 9 2 2 5 2 5" xfId="21840" xr:uid="{8BDB738B-67EE-40C2-9C08-361CDBAD64D2}"/>
    <cellStyle name="Normal 9 2 2 5 2 6" xfId="12543" xr:uid="{003E1141-87E6-48E5-AACC-E0B84E349D27}"/>
    <cellStyle name="Normal 9 2 2 5 3" xfId="5289" xr:uid="{00000000-0005-0000-0000-0000FD1E0000}"/>
    <cellStyle name="Normal 9 2 2 5 3 2" xfId="40807" xr:uid="{3F54E85D-E895-4B28-AF99-986D8D369506}"/>
    <cellStyle name="Normal 9 2 2 5 3 3" xfId="32360" xr:uid="{4330C881-85FF-41EF-8FC7-2A7DFECDDDEE}"/>
    <cellStyle name="Normal 9 2 2 5 3 4" xfId="23912" xr:uid="{66646806-929C-4167-91D4-FAD0CB86E7A3}"/>
    <cellStyle name="Normal 9 2 2 5 3 5" xfId="14615" xr:uid="{126B67D8-51D4-4305-8BD5-75699BE48122}"/>
    <cellStyle name="Normal 9 2 2 5 4" xfId="9209" xr:uid="{66E66B93-842C-41D8-A807-A065C03CFEBD}"/>
    <cellStyle name="Normal 9 2 2 5 4 2" xfId="36590" xr:uid="{F808E8E6-BA9D-4480-88BB-059A3F8454F2}"/>
    <cellStyle name="Normal 9 2 2 5 4 3" xfId="18523" xr:uid="{DC6BFB29-079D-4D34-B405-96F4262CDE74}"/>
    <cellStyle name="Normal 9 2 2 5 5" xfId="28142" xr:uid="{798C464E-DAF6-47A0-8A05-04F01BA43011}"/>
    <cellStyle name="Normal 9 2 2 5 6" xfId="19695" xr:uid="{FCCB7C70-247D-433E-B943-D325B2A16555}"/>
    <cellStyle name="Normal 9 2 2 5 7" xfId="10398" xr:uid="{D8D0B329-4967-453C-9723-B9FF1B59A590}"/>
    <cellStyle name="Normal 9 2 2 6" xfId="1395" xr:uid="{00000000-0005-0000-0000-0000FE1E0000}"/>
    <cellStyle name="Normal 9 2 2 6 2" xfId="3625" xr:uid="{00000000-0005-0000-0000-0000FF1E0000}"/>
    <cellStyle name="Normal 9 2 2 6 2 2" xfId="7847" xr:uid="{00000000-0005-0000-0000-0000001F0000}"/>
    <cellStyle name="Normal 9 2 2 6 2 2 2" xfId="43365" xr:uid="{189CB79D-3FD5-4E10-B13A-42409DD7E03B}"/>
    <cellStyle name="Normal 9 2 2 6 2 2 3" xfId="34918" xr:uid="{43FE0D8E-E5D3-4444-A9EB-7D7E329A1270}"/>
    <cellStyle name="Normal 9 2 2 6 2 2 4" xfId="26470" xr:uid="{A7C38A3E-583D-4843-A4E9-4B8BC786561F}"/>
    <cellStyle name="Normal 9 2 2 6 2 2 5" xfId="17173" xr:uid="{04AA46C4-5EF9-402A-8D95-8EB5FCB9145A}"/>
    <cellStyle name="Normal 9 2 2 6 2 3" xfId="39148" xr:uid="{B66A81E8-284E-4689-AEEE-9FEE58E8BCEF}"/>
    <cellStyle name="Normal 9 2 2 6 2 4" xfId="30700" xr:uid="{A4FCC91D-2667-48D5-9AB5-DB81536BBA88}"/>
    <cellStyle name="Normal 9 2 2 6 2 5" xfId="22253" xr:uid="{9CCD928C-9B66-4BB7-BDE6-00B6B0FB7984}"/>
    <cellStyle name="Normal 9 2 2 6 2 6" xfId="12956" xr:uid="{9D430D82-61B5-4E56-B312-D7E9F82DF5A4}"/>
    <cellStyle name="Normal 9 2 2 6 3" xfId="5702" xr:uid="{00000000-0005-0000-0000-0000011F0000}"/>
    <cellStyle name="Normal 9 2 2 6 3 2" xfId="41220" xr:uid="{2E736030-C14F-4CF4-B63E-FB31AF9DF713}"/>
    <cellStyle name="Normal 9 2 2 6 3 3" xfId="32773" xr:uid="{F2C66DE1-4BD7-4A57-93EF-63FF15744426}"/>
    <cellStyle name="Normal 9 2 2 6 3 4" xfId="24325" xr:uid="{8AF38C95-0C44-4F11-97F5-F463831509AA}"/>
    <cellStyle name="Normal 9 2 2 6 3 5" xfId="15028" xr:uid="{8F017846-4A2A-4681-9088-3142CBC094CA}"/>
    <cellStyle name="Normal 9 2 2 6 4" xfId="37003" xr:uid="{062FCF10-433A-42E2-B2D1-D9344BE44392}"/>
    <cellStyle name="Normal 9 2 2 6 5" xfId="28555" xr:uid="{FACBC9A5-71C0-4378-89F6-47D4B98B0396}"/>
    <cellStyle name="Normal 9 2 2 6 6" xfId="20108" xr:uid="{5A8CA03B-3E99-45D4-A01D-C3AAF9D93AF7}"/>
    <cellStyle name="Normal 9 2 2 6 7" xfId="10811" xr:uid="{6D852FB4-14F2-48A4-8FBB-5550B086884B}"/>
    <cellStyle name="Normal 9 2 2 7" xfId="1808" xr:uid="{00000000-0005-0000-0000-0000021F0000}"/>
    <cellStyle name="Normal 9 2 2 7 2" xfId="4038" xr:uid="{00000000-0005-0000-0000-0000031F0000}"/>
    <cellStyle name="Normal 9 2 2 7 2 2" xfId="8260" xr:uid="{00000000-0005-0000-0000-0000041F0000}"/>
    <cellStyle name="Normal 9 2 2 7 2 2 2" xfId="43778" xr:uid="{8B88DC5C-72EA-4B61-B39D-078968A9D80B}"/>
    <cellStyle name="Normal 9 2 2 7 2 2 3" xfId="35331" xr:uid="{3A7919C9-F82A-4E14-A6C1-EF229FB441EA}"/>
    <cellStyle name="Normal 9 2 2 7 2 2 4" xfId="26883" xr:uid="{7567FFF2-A009-4AAF-AEF2-5B1A866CA6A9}"/>
    <cellStyle name="Normal 9 2 2 7 2 2 5" xfId="17586" xr:uid="{8CF07B4E-67F7-43A0-A7A0-EDED4A4D2944}"/>
    <cellStyle name="Normal 9 2 2 7 2 3" xfId="39561" xr:uid="{B3686FF3-C477-47F4-8C08-3180A5ED96A3}"/>
    <cellStyle name="Normal 9 2 2 7 2 4" xfId="31113" xr:uid="{1B80A9F6-6879-4D4C-A1F0-A63189E98DB4}"/>
    <cellStyle name="Normal 9 2 2 7 2 5" xfId="22666" xr:uid="{6E225799-D477-4070-A42F-4F075BB698E8}"/>
    <cellStyle name="Normal 9 2 2 7 2 6" xfId="13369" xr:uid="{9655F2F1-EFDE-41E4-8575-85AE0B19CB2F}"/>
    <cellStyle name="Normal 9 2 2 7 3" xfId="6115" xr:uid="{00000000-0005-0000-0000-0000051F0000}"/>
    <cellStyle name="Normal 9 2 2 7 3 2" xfId="41633" xr:uid="{A84D6A69-9BDA-43DF-8F1D-E0DBD9292AD3}"/>
    <cellStyle name="Normal 9 2 2 7 3 3" xfId="33186" xr:uid="{84000F9F-9963-49FF-B04D-BF5F8A629D43}"/>
    <cellStyle name="Normal 9 2 2 7 3 4" xfId="24738" xr:uid="{BDBE15EF-B73C-417A-B86E-EAE54EC654CB}"/>
    <cellStyle name="Normal 9 2 2 7 3 5" xfId="15441" xr:uid="{D1EAFF0B-86C6-4DA8-A880-2226B933A5E9}"/>
    <cellStyle name="Normal 9 2 2 7 4" xfId="37416" xr:uid="{6C008CAD-DA0C-44A6-ACA4-454E39E9AADD}"/>
    <cellStyle name="Normal 9 2 2 7 5" xfId="28968" xr:uid="{7BF0DE00-20E9-473F-BD41-6D1B557329E7}"/>
    <cellStyle name="Normal 9 2 2 7 6" xfId="20521" xr:uid="{B6B012D7-C453-4E27-B41E-1643FC26363B}"/>
    <cellStyle name="Normal 9 2 2 7 7" xfId="11224" xr:uid="{86C415B0-F589-48FB-8FEF-76ACF8F6B148}"/>
    <cellStyle name="Normal 9 2 2 8" xfId="2222" xr:uid="{00000000-0005-0000-0000-0000061F0000}"/>
    <cellStyle name="Normal 9 2 2 8 2" xfId="4451" xr:uid="{00000000-0005-0000-0000-0000071F0000}"/>
    <cellStyle name="Normal 9 2 2 8 2 2" xfId="8673" xr:uid="{00000000-0005-0000-0000-0000081F0000}"/>
    <cellStyle name="Normal 9 2 2 8 2 2 2" xfId="44191" xr:uid="{1F183882-9CAD-4C1E-A1FF-EF5650A3523E}"/>
    <cellStyle name="Normal 9 2 2 8 2 2 3" xfId="35744" xr:uid="{F85FD290-9953-44B4-8B30-40FA9E89475B}"/>
    <cellStyle name="Normal 9 2 2 8 2 2 4" xfId="27296" xr:uid="{F4F6AB5C-D124-447A-AC80-165585CF22BF}"/>
    <cellStyle name="Normal 9 2 2 8 2 2 5" xfId="17999" xr:uid="{43E8D262-0E34-4A56-B934-C41AE437438C}"/>
    <cellStyle name="Normal 9 2 2 8 2 3" xfId="39974" xr:uid="{9678AFE6-2C68-4F37-BE08-E37AECAEED0C}"/>
    <cellStyle name="Normal 9 2 2 8 2 4" xfId="31526" xr:uid="{CB435C8B-181A-4D6F-8BF1-825A75CD26FD}"/>
    <cellStyle name="Normal 9 2 2 8 2 5" xfId="23079" xr:uid="{8C742186-DD6F-4814-9734-A186F3355EED}"/>
    <cellStyle name="Normal 9 2 2 8 2 6" xfId="13782" xr:uid="{2805F06D-A730-43B2-B40B-90EC833D22DF}"/>
    <cellStyle name="Normal 9 2 2 8 3" xfId="6528" xr:uid="{00000000-0005-0000-0000-0000091F0000}"/>
    <cellStyle name="Normal 9 2 2 8 3 2" xfId="42046" xr:uid="{8285BD31-C7F0-429F-BEA4-D8C9EA71FCB6}"/>
    <cellStyle name="Normal 9 2 2 8 3 3" xfId="33599" xr:uid="{9B6223E3-9B9E-4124-99CF-E98B15FE851D}"/>
    <cellStyle name="Normal 9 2 2 8 3 4" xfId="25151" xr:uid="{72009ADF-2437-496B-BB64-046A5582749B}"/>
    <cellStyle name="Normal 9 2 2 8 3 5" xfId="15854" xr:uid="{F306B571-1BBA-491D-8C02-4C08A8722D27}"/>
    <cellStyle name="Normal 9 2 2 8 4" xfId="37829" xr:uid="{463F8ABA-A870-4855-B4C9-396EE438E85F}"/>
    <cellStyle name="Normal 9 2 2 8 5" xfId="29381" xr:uid="{B853F1DD-B8E2-45AD-8D7D-ED466A6DD2FD}"/>
    <cellStyle name="Normal 9 2 2 8 6" xfId="20934" xr:uid="{694028BD-B3F8-45A5-A74D-7ED496AF1879}"/>
    <cellStyle name="Normal 9 2 2 8 7" xfId="11637" xr:uid="{B5D361DE-CE1A-4B3B-A072-3BA48C1DAD07}"/>
    <cellStyle name="Normal 9 2 2 9" xfId="2658" xr:uid="{00000000-0005-0000-0000-00000A1F0000}"/>
    <cellStyle name="Normal 9 2 2 9 2" xfId="6941" xr:uid="{00000000-0005-0000-0000-00000B1F0000}"/>
    <cellStyle name="Normal 9 2 2 9 2 2" xfId="42459" xr:uid="{079501FF-C23F-4E8F-8C48-4170F3BBF433}"/>
    <cellStyle name="Normal 9 2 2 9 2 3" xfId="34012" xr:uid="{26F1A57F-0403-45BD-A800-8ADC8AA2A3FB}"/>
    <cellStyle name="Normal 9 2 2 9 2 4" xfId="25564" xr:uid="{41B4D339-99B6-492B-8640-F82A7E909F54}"/>
    <cellStyle name="Normal 9 2 2 9 2 5" xfId="16267" xr:uid="{524A6DF2-991D-4F64-818C-541844AD592F}"/>
    <cellStyle name="Normal 9 2 2 9 3" xfId="38242" xr:uid="{E900AE04-F4FC-4FE4-B43B-9FD513CB7A22}"/>
    <cellStyle name="Normal 9 2 2 9 4" xfId="29794" xr:uid="{6282FBA6-EA3F-4DB4-98B8-DEC08A30CD5C}"/>
    <cellStyle name="Normal 9 2 2 9 5" xfId="21347" xr:uid="{081E7E61-0CA4-4A1A-88EF-F455EB99728F}"/>
    <cellStyle name="Normal 9 2 2 9 6" xfId="12050" xr:uid="{5AFD5721-4C51-4A80-9215-B499F674620D}"/>
    <cellStyle name="Normal 9 2 3" xfId="520" xr:uid="{00000000-0005-0000-0000-00000C1F0000}"/>
    <cellStyle name="Normal 9 2 3 10" xfId="8838" xr:uid="{3F59BADF-95CF-4831-9CE1-8ACBDD585DF1}"/>
    <cellStyle name="Normal 9 2 3 10 2" xfId="36185" xr:uid="{4A2164ED-CBB0-47B0-A1C2-BA66DB23A521}"/>
    <cellStyle name="Normal 9 2 3 10 3" xfId="18161" xr:uid="{1F8773F8-37E4-46BF-85F0-40D38A38779A}"/>
    <cellStyle name="Normal 9 2 3 11" xfId="27737" xr:uid="{70BAB314-2E9D-440E-8B31-9141059ED2B1}"/>
    <cellStyle name="Normal 9 2 3 12" xfId="19290" xr:uid="{F173F5F9-7751-46D6-8302-E5033109C850}"/>
    <cellStyle name="Normal 9 2 3 13" xfId="9993" xr:uid="{F446227D-58D7-4C5A-8049-11FB4D853835}"/>
    <cellStyle name="Normal 9 2 3 2" xfId="521" xr:uid="{00000000-0005-0000-0000-00000D1F0000}"/>
    <cellStyle name="Normal 9 2 3 2 10" xfId="27738" xr:uid="{0CFDA5D8-4162-4206-97BB-BAED009D57C3}"/>
    <cellStyle name="Normal 9 2 3 2 11" xfId="19291" xr:uid="{64E9D3CE-56BD-40B9-AF50-8CD62132585E}"/>
    <cellStyle name="Normal 9 2 3 2 12" xfId="9994" xr:uid="{515FCC87-FE70-472F-AC81-A85336A53E70}"/>
    <cellStyle name="Normal 9 2 3 2 2" xfId="522" xr:uid="{00000000-0005-0000-0000-00000E1F0000}"/>
    <cellStyle name="Normal 9 2 3 2 2 10" xfId="19292" xr:uid="{10A93289-D0EE-402D-9B6F-BEBE4544E661}"/>
    <cellStyle name="Normal 9 2 3 2 2 11" xfId="9995" xr:uid="{E2B8D172-1B96-4DDA-BD93-31DA1DAA81BF}"/>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42962" xr:uid="{8EA38E0D-4A77-457D-9954-3819082FB643}"/>
    <cellStyle name="Normal 9 2 3 2 2 2 2 2 3" xfId="34515" xr:uid="{E1DD5385-62B5-44C9-B419-5CA3549D7C0D}"/>
    <cellStyle name="Normal 9 2 3 2 2 2 2 2 4" xfId="26067" xr:uid="{9C8E639C-4FA0-4549-94DE-D9B70FE6FEF1}"/>
    <cellStyle name="Normal 9 2 3 2 2 2 2 2 5" xfId="16770" xr:uid="{9191FA6A-8E19-4529-A831-B3A0B33B0FE0}"/>
    <cellStyle name="Normal 9 2 3 2 2 2 2 3" xfId="38745" xr:uid="{736D7A6A-0974-439C-B456-AC060F2DB2AB}"/>
    <cellStyle name="Normal 9 2 3 2 2 2 2 4" xfId="30297" xr:uid="{4A765B73-770C-4BD0-8FBB-6EB939784FE7}"/>
    <cellStyle name="Normal 9 2 3 2 2 2 2 5" xfId="21850" xr:uid="{247DBAB7-3D1A-424A-9579-FF04ECF665B1}"/>
    <cellStyle name="Normal 9 2 3 2 2 2 2 6" xfId="12553" xr:uid="{9BA9ACC2-3C9A-49C5-BBFC-230D88E84775}"/>
    <cellStyle name="Normal 9 2 3 2 2 2 3" xfId="5299" xr:uid="{00000000-0005-0000-0000-0000121F0000}"/>
    <cellStyle name="Normal 9 2 3 2 2 2 3 2" xfId="40817" xr:uid="{E9078871-5A45-40CB-A463-18700295FEAE}"/>
    <cellStyle name="Normal 9 2 3 2 2 2 3 3" xfId="32370" xr:uid="{2E3C166E-6B8F-43CF-B147-4E0EBD4F0522}"/>
    <cellStyle name="Normal 9 2 3 2 2 2 3 4" xfId="23922" xr:uid="{1C4773F8-9C7C-4CE6-A538-748BF6DE2752}"/>
    <cellStyle name="Normal 9 2 3 2 2 2 3 5" xfId="14625" xr:uid="{EC43BE10-0EB8-417F-881E-56FB9F77AAB7}"/>
    <cellStyle name="Normal 9 2 3 2 2 2 4" xfId="9573" xr:uid="{376F8566-2407-40B8-9531-D3E757BE7A23}"/>
    <cellStyle name="Normal 9 2 3 2 2 2 4 2" xfId="36600" xr:uid="{EB4061F7-0CE3-4476-A7B4-2338F55D3CFC}"/>
    <cellStyle name="Normal 9 2 3 2 2 2 4 3" xfId="18886" xr:uid="{50FF3EC4-85C8-48DF-B336-0D12B17F73D7}"/>
    <cellStyle name="Normal 9 2 3 2 2 2 5" xfId="28152" xr:uid="{69C5FBB3-D5B1-4214-AEC6-B06016E76041}"/>
    <cellStyle name="Normal 9 2 3 2 2 2 6" xfId="19705" xr:uid="{E0C1BD60-52E5-4E5B-8EAA-1BADD814BF57}"/>
    <cellStyle name="Normal 9 2 3 2 2 2 7" xfId="10408" xr:uid="{E539EEE4-6161-4472-AD50-F9C5661D2DFD}"/>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43375" xr:uid="{ED0E9052-EB24-4FF2-9999-A5A1F6E47714}"/>
    <cellStyle name="Normal 9 2 3 2 2 3 2 2 3" xfId="34928" xr:uid="{8434511B-D460-4907-82F6-F682E7B5A543}"/>
    <cellStyle name="Normal 9 2 3 2 2 3 2 2 4" xfId="26480" xr:uid="{0221EF57-62D7-415E-A7FD-0DAA8F0AD5F5}"/>
    <cellStyle name="Normal 9 2 3 2 2 3 2 2 5" xfId="17183" xr:uid="{47F5D86B-52F3-4491-8679-2C2F6ED76297}"/>
    <cellStyle name="Normal 9 2 3 2 2 3 2 3" xfId="39158" xr:uid="{2CB41170-2015-4D24-AA68-10BDC0B1068E}"/>
    <cellStyle name="Normal 9 2 3 2 2 3 2 4" xfId="30710" xr:uid="{A4067012-0028-473B-8AD7-D00C2A3A83E4}"/>
    <cellStyle name="Normal 9 2 3 2 2 3 2 5" xfId="22263" xr:uid="{EEB0A5CA-7406-4812-B461-46227BE799CB}"/>
    <cellStyle name="Normal 9 2 3 2 2 3 2 6" xfId="12966" xr:uid="{E3247243-5F9D-487D-B77B-079F83D2BA97}"/>
    <cellStyle name="Normal 9 2 3 2 2 3 3" xfId="5712" xr:uid="{00000000-0005-0000-0000-0000161F0000}"/>
    <cellStyle name="Normal 9 2 3 2 2 3 3 2" xfId="41230" xr:uid="{687188C3-1260-48E5-A25C-475BD6497904}"/>
    <cellStyle name="Normal 9 2 3 2 2 3 3 3" xfId="32783" xr:uid="{BCF0B97E-2EA6-4FBD-9951-CCFB20BFF7F8}"/>
    <cellStyle name="Normal 9 2 3 2 2 3 3 4" xfId="24335" xr:uid="{4B8FA0DB-3A26-43F7-81AB-C62DC846FFF5}"/>
    <cellStyle name="Normal 9 2 3 2 2 3 3 5" xfId="15038" xr:uid="{F83F8EF3-C1EC-4729-BADB-7A1BD5FDFD57}"/>
    <cellStyle name="Normal 9 2 3 2 2 3 4" xfId="37013" xr:uid="{85CE858E-F615-40FD-84A8-761FAB04BAFC}"/>
    <cellStyle name="Normal 9 2 3 2 2 3 5" xfId="28565" xr:uid="{254778DE-5158-46FD-B556-B34A8B1F9BF9}"/>
    <cellStyle name="Normal 9 2 3 2 2 3 6" xfId="20118" xr:uid="{5C25BBE6-97D6-47B3-9EA0-E7410FF0F4FF}"/>
    <cellStyle name="Normal 9 2 3 2 2 3 7" xfId="10821" xr:uid="{9798EFF6-F83D-43EC-AE80-5D54D1B7DBB1}"/>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43788" xr:uid="{C76BB61D-F09B-42CB-A95E-EEE25429466F}"/>
    <cellStyle name="Normal 9 2 3 2 2 4 2 2 3" xfId="35341" xr:uid="{40561501-10A5-4E93-87AE-20E137CFC58A}"/>
    <cellStyle name="Normal 9 2 3 2 2 4 2 2 4" xfId="26893" xr:uid="{DF5FBAB8-FC70-487C-8C6F-7BD8507B6F7A}"/>
    <cellStyle name="Normal 9 2 3 2 2 4 2 2 5" xfId="17596" xr:uid="{C55DF267-A2EE-4406-AAD9-1CD9C0FC475E}"/>
    <cellStyle name="Normal 9 2 3 2 2 4 2 3" xfId="39571" xr:uid="{713D7670-9D09-4C09-B16D-39A0D19CD138}"/>
    <cellStyle name="Normal 9 2 3 2 2 4 2 4" xfId="31123" xr:uid="{232EE5F8-82B6-4AE4-BE55-4D15F87FBBE6}"/>
    <cellStyle name="Normal 9 2 3 2 2 4 2 5" xfId="22676" xr:uid="{DE1A1096-F352-40B9-B70E-3951B71D7F5A}"/>
    <cellStyle name="Normal 9 2 3 2 2 4 2 6" xfId="13379" xr:uid="{02C6D6D0-479E-4E3E-88EF-C64E3DC70DF5}"/>
    <cellStyle name="Normal 9 2 3 2 2 4 3" xfId="6125" xr:uid="{00000000-0005-0000-0000-00001A1F0000}"/>
    <cellStyle name="Normal 9 2 3 2 2 4 3 2" xfId="41643" xr:uid="{CD04A683-6F9F-4A1C-9E19-E1A133B176A1}"/>
    <cellStyle name="Normal 9 2 3 2 2 4 3 3" xfId="33196" xr:uid="{6B2111AD-7E65-442D-A14F-62E9529774C7}"/>
    <cellStyle name="Normal 9 2 3 2 2 4 3 4" xfId="24748" xr:uid="{3C705100-771B-41B6-B934-806068BB7103}"/>
    <cellStyle name="Normal 9 2 3 2 2 4 3 5" xfId="15451" xr:uid="{4E948D4A-541A-4880-A729-E52C3377BA76}"/>
    <cellStyle name="Normal 9 2 3 2 2 4 4" xfId="37426" xr:uid="{EBD5E8F3-FDDE-48F7-A55D-45B769AD8201}"/>
    <cellStyle name="Normal 9 2 3 2 2 4 5" xfId="28978" xr:uid="{BDF9C7EC-0988-4570-835B-1128A4654424}"/>
    <cellStyle name="Normal 9 2 3 2 2 4 6" xfId="20531" xr:uid="{F2B8CDF7-A105-4B4E-BA40-E9CB8AF11B1F}"/>
    <cellStyle name="Normal 9 2 3 2 2 4 7" xfId="11234" xr:uid="{1367A2AF-A9C0-46B7-9926-22D10244DF1B}"/>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44201" xr:uid="{DCC4E425-D9D2-447E-B48D-BC079F89C989}"/>
    <cellStyle name="Normal 9 2 3 2 2 5 2 2 3" xfId="35754" xr:uid="{52A57BAB-B150-44DD-8DF5-482E5532F9D7}"/>
    <cellStyle name="Normal 9 2 3 2 2 5 2 2 4" xfId="27306" xr:uid="{E61A7369-2CE1-4682-B06F-9779CFEBB216}"/>
    <cellStyle name="Normal 9 2 3 2 2 5 2 2 5" xfId="18009" xr:uid="{200D2E4F-5D99-4BBA-B1BB-3E458C368D1B}"/>
    <cellStyle name="Normal 9 2 3 2 2 5 2 3" xfId="39984" xr:uid="{EAC39FB7-B946-467E-984E-35EA4F966144}"/>
    <cellStyle name="Normal 9 2 3 2 2 5 2 4" xfId="31536" xr:uid="{B83E0F93-270D-49D3-813B-58CA25263E5E}"/>
    <cellStyle name="Normal 9 2 3 2 2 5 2 5" xfId="23089" xr:uid="{DEF4FE7A-4311-4263-A00F-B544E470595A}"/>
    <cellStyle name="Normal 9 2 3 2 2 5 2 6" xfId="13792" xr:uid="{4E33D6EE-C6B0-4F1C-B9B4-0976357CBF7E}"/>
    <cellStyle name="Normal 9 2 3 2 2 5 3" xfId="6538" xr:uid="{00000000-0005-0000-0000-00001E1F0000}"/>
    <cellStyle name="Normal 9 2 3 2 2 5 3 2" xfId="42056" xr:uid="{D147D220-812C-4149-9BAE-E5A67D9ABE6F}"/>
    <cellStyle name="Normal 9 2 3 2 2 5 3 3" xfId="33609" xr:uid="{276AE352-DB35-4FF9-888A-AC4FDE32F772}"/>
    <cellStyle name="Normal 9 2 3 2 2 5 3 4" xfId="25161" xr:uid="{381583B7-CA8D-4C60-ADB2-3C68640EF8C4}"/>
    <cellStyle name="Normal 9 2 3 2 2 5 3 5" xfId="15864" xr:uid="{BBE7F0F8-A8CA-46C4-8340-2C298FC0E231}"/>
    <cellStyle name="Normal 9 2 3 2 2 5 4" xfId="37839" xr:uid="{2A2D01C3-A78A-4903-B88D-7351E2AC2299}"/>
    <cellStyle name="Normal 9 2 3 2 2 5 5" xfId="29391" xr:uid="{3759C25F-6F9B-456B-BB7A-C5DA9196E03D}"/>
    <cellStyle name="Normal 9 2 3 2 2 5 6" xfId="20944" xr:uid="{A4B59211-7CC9-4697-AC9A-D3F1DB4EACE2}"/>
    <cellStyle name="Normal 9 2 3 2 2 5 7" xfId="11647" xr:uid="{DDDFFB49-4E73-4D44-AE06-85B2C15FBEC6}"/>
    <cellStyle name="Normal 9 2 3 2 2 6" xfId="2668" xr:uid="{00000000-0005-0000-0000-00001F1F0000}"/>
    <cellStyle name="Normal 9 2 3 2 2 6 2" xfId="6951" xr:uid="{00000000-0005-0000-0000-0000201F0000}"/>
    <cellStyle name="Normal 9 2 3 2 2 6 2 2" xfId="42469" xr:uid="{C2965BBA-DA60-4A1B-B861-AECF1CCFA7D0}"/>
    <cellStyle name="Normal 9 2 3 2 2 6 2 3" xfId="34022" xr:uid="{2ADEF3F0-76C4-4310-8C16-BD688EB13CD3}"/>
    <cellStyle name="Normal 9 2 3 2 2 6 2 4" xfId="25574" xr:uid="{6340AC10-E5F9-4FBD-8D9D-0013846131EF}"/>
    <cellStyle name="Normal 9 2 3 2 2 6 2 5" xfId="16277" xr:uid="{BB5A43B0-662A-43BA-8FA7-3C60641E283B}"/>
    <cellStyle name="Normal 9 2 3 2 2 6 3" xfId="38252" xr:uid="{48B76AD8-C794-4C78-B1DB-619BE6344311}"/>
    <cellStyle name="Normal 9 2 3 2 2 6 4" xfId="29804" xr:uid="{FE971B65-3E00-48A3-9550-6C23F089AE26}"/>
    <cellStyle name="Normal 9 2 3 2 2 6 5" xfId="21357" xr:uid="{360C3C2D-B761-4A24-A046-0802C316C151}"/>
    <cellStyle name="Normal 9 2 3 2 2 6 6" xfId="12060" xr:uid="{3B786FB8-0DED-46BC-9AAC-C1A4C3E925AC}"/>
    <cellStyle name="Normal 9 2 3 2 2 7" xfId="4886" xr:uid="{00000000-0005-0000-0000-0000211F0000}"/>
    <cellStyle name="Normal 9 2 3 2 2 7 2" xfId="40404" xr:uid="{E7B7AC4D-C582-4DC1-8640-506FF6D7505A}"/>
    <cellStyle name="Normal 9 2 3 2 2 7 3" xfId="31957" xr:uid="{D0ADB5A5-F44B-4ACD-BC49-F5039D6C550C}"/>
    <cellStyle name="Normal 9 2 3 2 2 7 4" xfId="23509" xr:uid="{0E671B37-850F-4A09-9C43-5F306799DEFA}"/>
    <cellStyle name="Normal 9 2 3 2 2 7 5" xfId="14212" xr:uid="{643D1948-6B4F-4EC5-85BE-B4CEAF0C57BD}"/>
    <cellStyle name="Normal 9 2 3 2 2 8" xfId="9148" xr:uid="{E1A2F3F0-C8EA-47FA-BB37-18F117041A87}"/>
    <cellStyle name="Normal 9 2 3 2 2 8 2" xfId="36187" xr:uid="{F839A685-A0A0-48A7-9244-0B476D0E16D6}"/>
    <cellStyle name="Normal 9 2 3 2 2 8 3" xfId="18471" xr:uid="{06DE082B-4E7F-46B8-A5CB-59C278564D9C}"/>
    <cellStyle name="Normal 9 2 3 2 2 9" xfId="27739" xr:uid="{407E23D7-0495-46E5-AD71-F911B2AB6349}"/>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42961" xr:uid="{B24606F0-28A3-4791-9DFF-E2131860998B}"/>
    <cellStyle name="Normal 9 2 3 2 3 2 2 3" xfId="34514" xr:uid="{8E4F72B3-FAFB-4D51-A83C-1CCAEFCB7717}"/>
    <cellStyle name="Normal 9 2 3 2 3 2 2 4" xfId="26066" xr:uid="{52BF6784-3E81-4CF8-91EC-E36BD2A26A39}"/>
    <cellStyle name="Normal 9 2 3 2 3 2 2 5" xfId="16769" xr:uid="{57B65F1D-8EA5-42CB-9FE7-907ADAA06DA3}"/>
    <cellStyle name="Normal 9 2 3 2 3 2 3" xfId="38744" xr:uid="{669F5B02-A665-4167-9A57-554839F5AE44}"/>
    <cellStyle name="Normal 9 2 3 2 3 2 4" xfId="30296" xr:uid="{E4E94338-A229-4769-9F84-E1E6B301DE48}"/>
    <cellStyle name="Normal 9 2 3 2 3 2 5" xfId="21849" xr:uid="{21FB587C-0617-4FE2-BC38-11EFA55D6676}"/>
    <cellStyle name="Normal 9 2 3 2 3 2 6" xfId="12552" xr:uid="{7BAEF45A-158E-4AF5-AD6B-FDE58FE9E2B2}"/>
    <cellStyle name="Normal 9 2 3 2 3 3" xfId="5298" xr:uid="{00000000-0005-0000-0000-0000251F0000}"/>
    <cellStyle name="Normal 9 2 3 2 3 3 2" xfId="40816" xr:uid="{5C63C7C5-C8BD-4211-880E-CF27F1321492}"/>
    <cellStyle name="Normal 9 2 3 2 3 3 3" xfId="32369" xr:uid="{8031311B-B807-4418-8406-AA16558805B7}"/>
    <cellStyle name="Normal 9 2 3 2 3 3 4" xfId="23921" xr:uid="{B3D976CE-F345-4686-A2DE-E403F7D38507}"/>
    <cellStyle name="Normal 9 2 3 2 3 3 5" xfId="14624" xr:uid="{5C6E0609-A695-4320-A099-400134FC742A}"/>
    <cellStyle name="Normal 9 2 3 2 3 4" xfId="9366" xr:uid="{136A6B94-9CAA-4F6C-B09D-7385900FCA38}"/>
    <cellStyle name="Normal 9 2 3 2 3 4 2" xfId="36599" xr:uid="{E9045045-F732-4D70-904B-9288935D5DA2}"/>
    <cellStyle name="Normal 9 2 3 2 3 4 3" xfId="18679" xr:uid="{0490C090-9424-4212-A566-9FEDCF6C7063}"/>
    <cellStyle name="Normal 9 2 3 2 3 5" xfId="28151" xr:uid="{71D3DBD5-B986-4F79-8B71-9AD9D1BBADB9}"/>
    <cellStyle name="Normal 9 2 3 2 3 6" xfId="19704" xr:uid="{7AD28BDC-68D7-47A8-B965-F3157F5A3E2D}"/>
    <cellStyle name="Normal 9 2 3 2 3 7" xfId="10407" xr:uid="{0B76861B-391A-4205-9BBB-6454E605AFBD}"/>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43374" xr:uid="{461F99E5-260B-4C64-8A06-1E1542B68FE3}"/>
    <cellStyle name="Normal 9 2 3 2 4 2 2 3" xfId="34927" xr:uid="{ABF5ED69-2BD7-4AA2-96C0-2ED0BBA370CF}"/>
    <cellStyle name="Normal 9 2 3 2 4 2 2 4" xfId="26479" xr:uid="{C35C8B45-9A9B-46D0-A334-7C639583979C}"/>
    <cellStyle name="Normal 9 2 3 2 4 2 2 5" xfId="17182" xr:uid="{DEB5D8F1-ACF0-4265-9175-2366EB414C24}"/>
    <cellStyle name="Normal 9 2 3 2 4 2 3" xfId="39157" xr:uid="{5A0E3251-2C2B-4331-B46C-4D2289BD4521}"/>
    <cellStyle name="Normal 9 2 3 2 4 2 4" xfId="30709" xr:uid="{0FDD24C4-523F-4523-AD26-9A14AA957587}"/>
    <cellStyle name="Normal 9 2 3 2 4 2 5" xfId="22262" xr:uid="{1956DF16-5910-4B70-BA43-BBEFE3B4B8D6}"/>
    <cellStyle name="Normal 9 2 3 2 4 2 6" xfId="12965" xr:uid="{BCBADE62-90D8-448E-A4CD-707C7DF77412}"/>
    <cellStyle name="Normal 9 2 3 2 4 3" xfId="5711" xr:uid="{00000000-0005-0000-0000-0000291F0000}"/>
    <cellStyle name="Normal 9 2 3 2 4 3 2" xfId="41229" xr:uid="{39D72328-74DA-4600-BF98-5B54513F1A93}"/>
    <cellStyle name="Normal 9 2 3 2 4 3 3" xfId="32782" xr:uid="{A5DFD6D8-AE6E-4EB9-9BF2-830B3DD1F231}"/>
    <cellStyle name="Normal 9 2 3 2 4 3 4" xfId="24334" xr:uid="{7F82E949-22E2-49C4-89ED-067C908CBF13}"/>
    <cellStyle name="Normal 9 2 3 2 4 3 5" xfId="15037" xr:uid="{7A4FD496-4ECD-4576-BE88-31D66EED4D7F}"/>
    <cellStyle name="Normal 9 2 3 2 4 4" xfId="37012" xr:uid="{39CCAB5A-031D-4219-93C3-8C350F9C12C5}"/>
    <cellStyle name="Normal 9 2 3 2 4 5" xfId="28564" xr:uid="{95FB16CA-1CC2-417C-955A-3F971EFF2B2A}"/>
    <cellStyle name="Normal 9 2 3 2 4 6" xfId="20117" xr:uid="{87D16626-0F2A-4BF7-A270-3E1B42FEAFAE}"/>
    <cellStyle name="Normal 9 2 3 2 4 7" xfId="10820" xr:uid="{DF762162-5471-4A1C-8D55-E05EDDD12A69}"/>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43787" xr:uid="{C1420B05-9AF5-42CA-9FED-EE00BBD483D1}"/>
    <cellStyle name="Normal 9 2 3 2 5 2 2 3" xfId="35340" xr:uid="{E4158A30-BFB9-4090-885C-C246ED778796}"/>
    <cellStyle name="Normal 9 2 3 2 5 2 2 4" xfId="26892" xr:uid="{E3B2F3BA-6518-4F3E-B349-A676AE738B11}"/>
    <cellStyle name="Normal 9 2 3 2 5 2 2 5" xfId="17595" xr:uid="{CB3585CB-3FB4-417F-8D5A-70036008E0F1}"/>
    <cellStyle name="Normal 9 2 3 2 5 2 3" xfId="39570" xr:uid="{DAB23DD5-8DE8-47C6-835E-F1108F0085C0}"/>
    <cellStyle name="Normal 9 2 3 2 5 2 4" xfId="31122" xr:uid="{833B92A5-BB97-479B-9706-6529F808848C}"/>
    <cellStyle name="Normal 9 2 3 2 5 2 5" xfId="22675" xr:uid="{88546703-3915-46E6-98D4-101F316621FF}"/>
    <cellStyle name="Normal 9 2 3 2 5 2 6" xfId="13378" xr:uid="{9FC9FA37-D108-405C-8619-E7D8A638F450}"/>
    <cellStyle name="Normal 9 2 3 2 5 3" xfId="6124" xr:uid="{00000000-0005-0000-0000-00002D1F0000}"/>
    <cellStyle name="Normal 9 2 3 2 5 3 2" xfId="41642" xr:uid="{7B9AEE7A-D8A6-4FAD-B21E-5AE73C2FFE6D}"/>
    <cellStyle name="Normal 9 2 3 2 5 3 3" xfId="33195" xr:uid="{C674A4A0-B0F4-4EF7-B275-23B5DA65AD69}"/>
    <cellStyle name="Normal 9 2 3 2 5 3 4" xfId="24747" xr:uid="{7FF7AFBF-9F97-437E-9EAB-B981F38936DD}"/>
    <cellStyle name="Normal 9 2 3 2 5 3 5" xfId="15450" xr:uid="{D31D7A6F-8A40-4966-8552-52CC8D2388E3}"/>
    <cellStyle name="Normal 9 2 3 2 5 4" xfId="37425" xr:uid="{97992E69-A6C6-44CD-B4F4-C642C78CC290}"/>
    <cellStyle name="Normal 9 2 3 2 5 5" xfId="28977" xr:uid="{8C91DCBC-F600-4C46-A325-562B6F961060}"/>
    <cellStyle name="Normal 9 2 3 2 5 6" xfId="20530" xr:uid="{18595444-8C3C-4CBC-A32D-2D91EA839C58}"/>
    <cellStyle name="Normal 9 2 3 2 5 7" xfId="11233" xr:uid="{E19C5E1E-BF2E-464C-8F0E-CDDF0DC666BD}"/>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44200" xr:uid="{4403B557-226D-429D-B502-3FE431078B06}"/>
    <cellStyle name="Normal 9 2 3 2 6 2 2 3" xfId="35753" xr:uid="{DF2CC297-78A3-4DB0-8281-CC899F25A09E}"/>
    <cellStyle name="Normal 9 2 3 2 6 2 2 4" xfId="27305" xr:uid="{79EEE531-7D6A-4745-82F9-289B8C20D6A2}"/>
    <cellStyle name="Normal 9 2 3 2 6 2 2 5" xfId="18008" xr:uid="{2D40CF2C-6D00-422E-A07B-AAFE9C73566D}"/>
    <cellStyle name="Normal 9 2 3 2 6 2 3" xfId="39983" xr:uid="{D47F20D8-D526-4AE0-A05B-DEB12B51E1FA}"/>
    <cellStyle name="Normal 9 2 3 2 6 2 4" xfId="31535" xr:uid="{B15081D4-84F3-4843-8975-B0604F11FA7B}"/>
    <cellStyle name="Normal 9 2 3 2 6 2 5" xfId="23088" xr:uid="{EC93C9D4-F308-4468-A983-276F55176DF8}"/>
    <cellStyle name="Normal 9 2 3 2 6 2 6" xfId="13791" xr:uid="{5BDB1F92-AE94-4DF9-A810-2812F54D428A}"/>
    <cellStyle name="Normal 9 2 3 2 6 3" xfId="6537" xr:uid="{00000000-0005-0000-0000-0000311F0000}"/>
    <cellStyle name="Normal 9 2 3 2 6 3 2" xfId="42055" xr:uid="{55810358-9812-4BBD-8BC0-87C34841501A}"/>
    <cellStyle name="Normal 9 2 3 2 6 3 3" xfId="33608" xr:uid="{6FB3B87A-C815-4456-B260-2BC5827FCF2B}"/>
    <cellStyle name="Normal 9 2 3 2 6 3 4" xfId="25160" xr:uid="{D7004320-8A4C-4273-8604-9DE282E93753}"/>
    <cellStyle name="Normal 9 2 3 2 6 3 5" xfId="15863" xr:uid="{A62C3BBF-6545-4BD6-B15D-56D5695447C8}"/>
    <cellStyle name="Normal 9 2 3 2 6 4" xfId="37838" xr:uid="{1D1F1F8E-E26F-4608-8266-C3E96F6709C4}"/>
    <cellStyle name="Normal 9 2 3 2 6 5" xfId="29390" xr:uid="{B379852E-B2C9-4BBE-BAA3-0AB394D93741}"/>
    <cellStyle name="Normal 9 2 3 2 6 6" xfId="20943" xr:uid="{88BBCBCD-0D07-423C-BA42-D9EEA377AF2F}"/>
    <cellStyle name="Normal 9 2 3 2 6 7" xfId="11646" xr:uid="{81687711-79ED-4A14-9CBD-B2BC2BA04F18}"/>
    <cellStyle name="Normal 9 2 3 2 7" xfId="2667" xr:uid="{00000000-0005-0000-0000-0000321F0000}"/>
    <cellStyle name="Normal 9 2 3 2 7 2" xfId="6950" xr:uid="{00000000-0005-0000-0000-0000331F0000}"/>
    <cellStyle name="Normal 9 2 3 2 7 2 2" xfId="42468" xr:uid="{B17B6AEF-138E-4EAD-8EE3-E7601BE4AA2F}"/>
    <cellStyle name="Normal 9 2 3 2 7 2 3" xfId="34021" xr:uid="{09B9060E-E35E-4976-9512-5BC881815DC6}"/>
    <cellStyle name="Normal 9 2 3 2 7 2 4" xfId="25573" xr:uid="{AA9AB8A2-6D6B-45EC-AF6E-3D7C2165DCCA}"/>
    <cellStyle name="Normal 9 2 3 2 7 2 5" xfId="16276" xr:uid="{126B6779-2EB7-4C84-93EB-DD117DFB05B5}"/>
    <cellStyle name="Normal 9 2 3 2 7 3" xfId="38251" xr:uid="{5F61C2CA-3215-4603-9E1C-7E898AA69608}"/>
    <cellStyle name="Normal 9 2 3 2 7 4" xfId="29803" xr:uid="{0FD77F9D-3B67-4F00-A669-D062EA6453D0}"/>
    <cellStyle name="Normal 9 2 3 2 7 5" xfId="21356" xr:uid="{103701A1-DFE4-4FAD-AA37-BA199EAB49CC}"/>
    <cellStyle name="Normal 9 2 3 2 7 6" xfId="12059" xr:uid="{302798B0-3A89-4024-B847-88B3046B9C12}"/>
    <cellStyle name="Normal 9 2 3 2 8" xfId="4885" xr:uid="{00000000-0005-0000-0000-0000341F0000}"/>
    <cellStyle name="Normal 9 2 3 2 8 2" xfId="40403" xr:uid="{A9F5BDD2-2353-499E-916C-9BD1AC69C1B4}"/>
    <cellStyle name="Normal 9 2 3 2 8 3" xfId="31956" xr:uid="{E4D26B7B-0AC6-47CC-9DCD-5F1A3D1BBB3F}"/>
    <cellStyle name="Normal 9 2 3 2 8 4" xfId="23508" xr:uid="{AF9A54AC-EE32-4132-90B6-E60859BCA619}"/>
    <cellStyle name="Normal 9 2 3 2 8 5" xfId="14211" xr:uid="{81D48BD9-B72E-4B8E-BC34-035A42157332}"/>
    <cellStyle name="Normal 9 2 3 2 9" xfId="8941" xr:uid="{DDA1E375-E708-45D0-9119-207D493A75BA}"/>
    <cellStyle name="Normal 9 2 3 2 9 2" xfId="36186" xr:uid="{4E10428C-1355-421C-9C89-688C17CC6DD6}"/>
    <cellStyle name="Normal 9 2 3 2 9 3" xfId="18264" xr:uid="{FA32EDC2-4B9C-4E99-BD61-681637A049B1}"/>
    <cellStyle name="Normal 9 2 3 3" xfId="523" xr:uid="{00000000-0005-0000-0000-0000351F0000}"/>
    <cellStyle name="Normal 9 2 3 3 10" xfId="19293" xr:uid="{6BCBE746-EDCF-405F-A20C-10833257D915}"/>
    <cellStyle name="Normal 9 2 3 3 11" xfId="9996" xr:uid="{8C504B9E-33A8-4BB4-83E9-956A7523DDD2}"/>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42963" xr:uid="{05AE6BF2-0C46-4C73-95C9-7F3B09318474}"/>
    <cellStyle name="Normal 9 2 3 3 2 2 2 3" xfId="34516" xr:uid="{66C111D9-0BFC-4449-A05C-F1B4433CA9EE}"/>
    <cellStyle name="Normal 9 2 3 3 2 2 2 4" xfId="26068" xr:uid="{25073ACA-3ACF-4F82-A7E8-7210DF1A5143}"/>
    <cellStyle name="Normal 9 2 3 3 2 2 2 5" xfId="16771" xr:uid="{CC26380D-B7C1-4072-93C2-4551A911DD1F}"/>
    <cellStyle name="Normal 9 2 3 3 2 2 3" xfId="38746" xr:uid="{F16997C4-BB1B-4D87-BD6A-87F9A46D7708}"/>
    <cellStyle name="Normal 9 2 3 3 2 2 4" xfId="30298" xr:uid="{18569AED-A8B5-4A08-B164-59742F009418}"/>
    <cellStyle name="Normal 9 2 3 3 2 2 5" xfId="21851" xr:uid="{D4668636-52FA-4941-AE35-CC442AAE2449}"/>
    <cellStyle name="Normal 9 2 3 3 2 2 6" xfId="12554" xr:uid="{7377C352-C466-406D-AA0B-1B1FD658AE43}"/>
    <cellStyle name="Normal 9 2 3 3 2 3" xfId="5300" xr:uid="{00000000-0005-0000-0000-0000391F0000}"/>
    <cellStyle name="Normal 9 2 3 3 2 3 2" xfId="40818" xr:uid="{530C8662-4F99-4141-84A0-2A2F84C87BC5}"/>
    <cellStyle name="Normal 9 2 3 3 2 3 3" xfId="32371" xr:uid="{32157A0D-0E1E-40DC-8B52-6C492218A9D3}"/>
    <cellStyle name="Normal 9 2 3 3 2 3 4" xfId="23923" xr:uid="{DAA25E26-6356-4529-900F-B7BFB3A13B17}"/>
    <cellStyle name="Normal 9 2 3 3 2 3 5" xfId="14626" xr:uid="{C7F3A089-357C-4D78-9712-29B64AD0D048}"/>
    <cellStyle name="Normal 9 2 3 3 2 4" xfId="9470" xr:uid="{B46EA5E7-4A9D-405A-94B0-2C155F0DE1F1}"/>
    <cellStyle name="Normal 9 2 3 3 2 4 2" xfId="36601" xr:uid="{7BF17642-EEF2-4F1E-8E96-D7007472BAA1}"/>
    <cellStyle name="Normal 9 2 3 3 2 4 3" xfId="18783" xr:uid="{A442FB1C-5E53-42D6-B160-C28C0D134A5E}"/>
    <cellStyle name="Normal 9 2 3 3 2 5" xfId="28153" xr:uid="{633B8A81-A2DE-4DE9-A663-98147BA04D7B}"/>
    <cellStyle name="Normal 9 2 3 3 2 6" xfId="19706" xr:uid="{AF7676CF-C241-4A26-90C3-44ABE5142EB2}"/>
    <cellStyle name="Normal 9 2 3 3 2 7" xfId="10409" xr:uid="{FFE67682-CF7D-47BA-926C-7B33774AC9E3}"/>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43376" xr:uid="{58A91659-93F0-4AF0-82D0-F4E3B3BA4E8B}"/>
    <cellStyle name="Normal 9 2 3 3 3 2 2 3" xfId="34929" xr:uid="{14A6AA0E-77B6-4193-97B2-389A5E8D8389}"/>
    <cellStyle name="Normal 9 2 3 3 3 2 2 4" xfId="26481" xr:uid="{5D346CE9-3C20-4A4C-9817-0FC82BE31568}"/>
    <cellStyle name="Normal 9 2 3 3 3 2 2 5" xfId="17184" xr:uid="{5F500DA6-6DA2-4545-8FDE-AD97A5D1C3BB}"/>
    <cellStyle name="Normal 9 2 3 3 3 2 3" xfId="39159" xr:uid="{45138771-2ABD-4127-8769-CF0EC86664C1}"/>
    <cellStyle name="Normal 9 2 3 3 3 2 4" xfId="30711" xr:uid="{DB6779C1-96CE-4ED3-8E35-C4BE9CEF9C8A}"/>
    <cellStyle name="Normal 9 2 3 3 3 2 5" xfId="22264" xr:uid="{04CE76C2-55C9-4772-BCC0-71652FE32D8A}"/>
    <cellStyle name="Normal 9 2 3 3 3 2 6" xfId="12967" xr:uid="{68225022-0AF9-4FFA-B428-F9FC1A034526}"/>
    <cellStyle name="Normal 9 2 3 3 3 3" xfId="5713" xr:uid="{00000000-0005-0000-0000-00003D1F0000}"/>
    <cellStyle name="Normal 9 2 3 3 3 3 2" xfId="41231" xr:uid="{2537A4EE-C24D-4CA6-9F59-9814077385A7}"/>
    <cellStyle name="Normal 9 2 3 3 3 3 3" xfId="32784" xr:uid="{22CA0199-2431-4C0C-80ED-FFD811454639}"/>
    <cellStyle name="Normal 9 2 3 3 3 3 4" xfId="24336" xr:uid="{F43059CB-D140-4FA5-8A1E-7EAA32E33D80}"/>
    <cellStyle name="Normal 9 2 3 3 3 3 5" xfId="15039" xr:uid="{7763F463-531C-4C63-AE4F-DF1EE9B12D42}"/>
    <cellStyle name="Normal 9 2 3 3 3 4" xfId="37014" xr:uid="{C34B61B0-FE54-4750-8EBA-F10D4DC86A2A}"/>
    <cellStyle name="Normal 9 2 3 3 3 5" xfId="28566" xr:uid="{7722E815-F4DA-447F-A188-16814C8E809E}"/>
    <cellStyle name="Normal 9 2 3 3 3 6" xfId="20119" xr:uid="{26CA45A4-5858-41EC-9EA2-9C0F1A00323B}"/>
    <cellStyle name="Normal 9 2 3 3 3 7" xfId="10822" xr:uid="{9551595F-BE78-4AF9-897B-00D49972C916}"/>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43789" xr:uid="{7C9875E4-C8C2-4F69-B9D5-1DF8510FF4A9}"/>
    <cellStyle name="Normal 9 2 3 3 4 2 2 3" xfId="35342" xr:uid="{DDB721FE-9DF9-4456-9B03-2FE9E97723FD}"/>
    <cellStyle name="Normal 9 2 3 3 4 2 2 4" xfId="26894" xr:uid="{FF039766-8051-4A04-8C0E-B36529BA579A}"/>
    <cellStyle name="Normal 9 2 3 3 4 2 2 5" xfId="17597" xr:uid="{4AD36B83-6159-4AB3-8B48-F582CCE17B56}"/>
    <cellStyle name="Normal 9 2 3 3 4 2 3" xfId="39572" xr:uid="{D5439C64-941A-41B4-B377-47E126CBD9B2}"/>
    <cellStyle name="Normal 9 2 3 3 4 2 4" xfId="31124" xr:uid="{4D44A2DF-CA03-4142-A7E5-67F95035565E}"/>
    <cellStyle name="Normal 9 2 3 3 4 2 5" xfId="22677" xr:uid="{C6B3E38A-A5E4-43F6-83F8-D628DD956FC6}"/>
    <cellStyle name="Normal 9 2 3 3 4 2 6" xfId="13380" xr:uid="{9757B9BC-54C9-4F75-96BF-8DF513FBC6D4}"/>
    <cellStyle name="Normal 9 2 3 3 4 3" xfId="6126" xr:uid="{00000000-0005-0000-0000-0000411F0000}"/>
    <cellStyle name="Normal 9 2 3 3 4 3 2" xfId="41644" xr:uid="{D0A0C235-30D3-4DBA-A41D-01F7BD782179}"/>
    <cellStyle name="Normal 9 2 3 3 4 3 3" xfId="33197" xr:uid="{154E9090-B267-4BF5-976D-7F0E1BF4F315}"/>
    <cellStyle name="Normal 9 2 3 3 4 3 4" xfId="24749" xr:uid="{B69C0302-B02C-4954-AE04-DD76E6AC979F}"/>
    <cellStyle name="Normal 9 2 3 3 4 3 5" xfId="15452" xr:uid="{6D17E95A-9D77-42A6-9899-54E57A443EAD}"/>
    <cellStyle name="Normal 9 2 3 3 4 4" xfId="37427" xr:uid="{4BED3E7F-2A63-418B-8EF6-79C1F32A90F9}"/>
    <cellStyle name="Normal 9 2 3 3 4 5" xfId="28979" xr:uid="{8ED2E9F7-C804-4EC7-AF92-47DF9D704F85}"/>
    <cellStyle name="Normal 9 2 3 3 4 6" xfId="20532" xr:uid="{BC205B8F-3D60-4184-B32D-E1A73054A0EC}"/>
    <cellStyle name="Normal 9 2 3 3 4 7" xfId="11235" xr:uid="{11F5E7E8-BD47-4CAA-A97D-7E57D5F80488}"/>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44202" xr:uid="{DE84EDEB-9D51-4490-838B-38711F6CFB87}"/>
    <cellStyle name="Normal 9 2 3 3 5 2 2 3" xfId="35755" xr:uid="{E14D2C10-8812-46BF-A88B-993D9B55EE05}"/>
    <cellStyle name="Normal 9 2 3 3 5 2 2 4" xfId="27307" xr:uid="{DAD3ACA9-4464-44B4-8FBC-C0C431A476F0}"/>
    <cellStyle name="Normal 9 2 3 3 5 2 2 5" xfId="18010" xr:uid="{7E71E285-B86C-4503-9A78-8A9BACE40832}"/>
    <cellStyle name="Normal 9 2 3 3 5 2 3" xfId="39985" xr:uid="{B3269AAB-7B5C-4161-89B9-AABBB33EFAE1}"/>
    <cellStyle name="Normal 9 2 3 3 5 2 4" xfId="31537" xr:uid="{F17E326D-FD29-450E-B1E9-43FC579017A2}"/>
    <cellStyle name="Normal 9 2 3 3 5 2 5" xfId="23090" xr:uid="{71650C36-C22D-4683-AAAD-0331AC8B0BBA}"/>
    <cellStyle name="Normal 9 2 3 3 5 2 6" xfId="13793" xr:uid="{687BD660-8C59-48AA-B4E2-E47216F8C674}"/>
    <cellStyle name="Normal 9 2 3 3 5 3" xfId="6539" xr:uid="{00000000-0005-0000-0000-0000451F0000}"/>
    <cellStyle name="Normal 9 2 3 3 5 3 2" xfId="42057" xr:uid="{BAA71EB9-922D-44DE-8939-52647DE83280}"/>
    <cellStyle name="Normal 9 2 3 3 5 3 3" xfId="33610" xr:uid="{502C34A5-8597-4869-8693-0D7B7114174B}"/>
    <cellStyle name="Normal 9 2 3 3 5 3 4" xfId="25162" xr:uid="{5A510FD6-4BCD-4BF6-A6C9-DBA6F6E1F1A9}"/>
    <cellStyle name="Normal 9 2 3 3 5 3 5" xfId="15865" xr:uid="{21017AF5-6A18-4D2D-AFFC-38A322F494C1}"/>
    <cellStyle name="Normal 9 2 3 3 5 4" xfId="37840" xr:uid="{37551C55-B739-477A-A232-62B39B99627D}"/>
    <cellStyle name="Normal 9 2 3 3 5 5" xfId="29392" xr:uid="{30B6DBB6-14A4-49F4-9A1F-9B9FE959545D}"/>
    <cellStyle name="Normal 9 2 3 3 5 6" xfId="20945" xr:uid="{DD509EA8-27E5-4E03-9521-E0483CD83ABE}"/>
    <cellStyle name="Normal 9 2 3 3 5 7" xfId="11648" xr:uid="{49EB41E6-549D-469B-9992-0EB3CDAAECAA}"/>
    <cellStyle name="Normal 9 2 3 3 6" xfId="2669" xr:uid="{00000000-0005-0000-0000-0000461F0000}"/>
    <cellStyle name="Normal 9 2 3 3 6 2" xfId="6952" xr:uid="{00000000-0005-0000-0000-0000471F0000}"/>
    <cellStyle name="Normal 9 2 3 3 6 2 2" xfId="42470" xr:uid="{C473305C-27DF-4B1A-9D18-069957B0434D}"/>
    <cellStyle name="Normal 9 2 3 3 6 2 3" xfId="34023" xr:uid="{0936C8D1-8BDC-4AB0-94B1-D9C9249740C8}"/>
    <cellStyle name="Normal 9 2 3 3 6 2 4" xfId="25575" xr:uid="{29AD77D0-75DA-4B29-941C-EAB67DCA2B16}"/>
    <cellStyle name="Normal 9 2 3 3 6 2 5" xfId="16278" xr:uid="{8C06E1FA-1F5E-4DD1-A6C0-9D5A50122F54}"/>
    <cellStyle name="Normal 9 2 3 3 6 3" xfId="38253" xr:uid="{994094B2-1D3E-4D94-82DC-3976F5981052}"/>
    <cellStyle name="Normal 9 2 3 3 6 4" xfId="29805" xr:uid="{57C6F6CF-5DF9-4177-8EC7-7788F1C3D0F2}"/>
    <cellStyle name="Normal 9 2 3 3 6 5" xfId="21358" xr:uid="{A04FC0C5-9824-4E90-B629-2B13FBC86355}"/>
    <cellStyle name="Normal 9 2 3 3 6 6" xfId="12061" xr:uid="{A3A32CB2-0FB9-43DF-9EBF-F6381E0DFF3E}"/>
    <cellStyle name="Normal 9 2 3 3 7" xfId="4887" xr:uid="{00000000-0005-0000-0000-0000481F0000}"/>
    <cellStyle name="Normal 9 2 3 3 7 2" xfId="40405" xr:uid="{10491805-D58E-4A39-A38D-6D0BDD4F47BB}"/>
    <cellStyle name="Normal 9 2 3 3 7 3" xfId="31958" xr:uid="{EE6BE499-ACC7-4728-9A16-E9532C9FA8C4}"/>
    <cellStyle name="Normal 9 2 3 3 7 4" xfId="23510" xr:uid="{A37214FC-48E9-4D30-B933-BF38A7809D9D}"/>
    <cellStyle name="Normal 9 2 3 3 7 5" xfId="14213" xr:uid="{D7C9D2FD-9E45-4880-A908-2E0773E6445D}"/>
    <cellStyle name="Normal 9 2 3 3 8" xfId="9045" xr:uid="{CD23D75F-FCE1-471A-A55A-DAC6FB15D069}"/>
    <cellStyle name="Normal 9 2 3 3 8 2" xfId="36188" xr:uid="{F9D55D80-AB27-4AFF-A20D-198DAEAE0C4E}"/>
    <cellStyle name="Normal 9 2 3 3 8 3" xfId="18368" xr:uid="{069EC87D-E774-4F32-88A6-5EC862A6930F}"/>
    <cellStyle name="Normal 9 2 3 3 9" xfId="27740" xr:uid="{3C64BA5A-F068-48D0-97C6-84BA9396D01C}"/>
    <cellStyle name="Normal 9 2 3 4" xfId="987" xr:uid="{00000000-0005-0000-0000-0000491F0000}"/>
    <cellStyle name="Normal 9 2 3 4 2" xfId="3220" xr:uid="{00000000-0005-0000-0000-00004A1F0000}"/>
    <cellStyle name="Normal 9 2 3 4 2 2" xfId="7442" xr:uid="{00000000-0005-0000-0000-00004B1F0000}"/>
    <cellStyle name="Normal 9 2 3 4 2 2 2" xfId="42960" xr:uid="{5C5168A4-6647-434F-90F6-7F8685E2C904}"/>
    <cellStyle name="Normal 9 2 3 4 2 2 3" xfId="34513" xr:uid="{E5A2E6B8-5F52-4C9C-8BB2-115A2DA65BEC}"/>
    <cellStyle name="Normal 9 2 3 4 2 2 4" xfId="26065" xr:uid="{87F06CFF-24B9-4E6A-83F3-62725B565674}"/>
    <cellStyle name="Normal 9 2 3 4 2 2 5" xfId="16768" xr:uid="{158C1DBE-E70E-40C6-B67A-B0716FFE7626}"/>
    <cellStyle name="Normal 9 2 3 4 2 3" xfId="38743" xr:uid="{A3DF9380-4EC8-4D42-9908-9D261BBBBECC}"/>
    <cellStyle name="Normal 9 2 3 4 2 4" xfId="30295" xr:uid="{EBC616AE-559F-4229-A88F-CD251343F449}"/>
    <cellStyle name="Normal 9 2 3 4 2 5" xfId="21848" xr:uid="{682DB3A2-0368-4B86-9BF2-3E3CEA3D1337}"/>
    <cellStyle name="Normal 9 2 3 4 2 6" xfId="12551" xr:uid="{3A9A49CA-D6E3-4F63-A8D5-3AACF26A80E3}"/>
    <cellStyle name="Normal 9 2 3 4 3" xfId="5297" xr:uid="{00000000-0005-0000-0000-00004C1F0000}"/>
    <cellStyle name="Normal 9 2 3 4 3 2" xfId="40815" xr:uid="{34300313-272E-4FB3-8E82-35446DDEB008}"/>
    <cellStyle name="Normal 9 2 3 4 3 3" xfId="32368" xr:uid="{36984FF7-83C3-4D89-ACFE-B41F4230584E}"/>
    <cellStyle name="Normal 9 2 3 4 3 4" xfId="23920" xr:uid="{4DFDD710-4629-435D-A2A9-17C03FA3D87E}"/>
    <cellStyle name="Normal 9 2 3 4 3 5" xfId="14623" xr:uid="{9E7DA660-AA08-401C-9035-532DC9F0B6DE}"/>
    <cellStyle name="Normal 9 2 3 4 4" xfId="9263" xr:uid="{8E7B719A-F76B-4A2B-A5A7-1A883FD6976F}"/>
    <cellStyle name="Normal 9 2 3 4 4 2" xfId="36598" xr:uid="{91880CEB-7731-42C3-AEDA-030AAD79C61B}"/>
    <cellStyle name="Normal 9 2 3 4 4 3" xfId="18576" xr:uid="{E5591D1D-61B2-428A-98C4-0E4F707106C0}"/>
    <cellStyle name="Normal 9 2 3 4 5" xfId="28150" xr:uid="{4751D16F-A87A-4EDB-9825-B6707E199785}"/>
    <cellStyle name="Normal 9 2 3 4 6" xfId="19703" xr:uid="{BA8765DF-3655-40E5-8DB4-015144AE7470}"/>
    <cellStyle name="Normal 9 2 3 4 7" xfId="10406" xr:uid="{8E11F75C-4E4D-43D1-925E-7384328510F3}"/>
    <cellStyle name="Normal 9 2 3 5" xfId="1403" xr:uid="{00000000-0005-0000-0000-00004D1F0000}"/>
    <cellStyle name="Normal 9 2 3 5 2" xfId="3633" xr:uid="{00000000-0005-0000-0000-00004E1F0000}"/>
    <cellStyle name="Normal 9 2 3 5 2 2" xfId="7855" xr:uid="{00000000-0005-0000-0000-00004F1F0000}"/>
    <cellStyle name="Normal 9 2 3 5 2 2 2" xfId="43373" xr:uid="{D39746D8-A428-4B23-89A8-809C6B320C08}"/>
    <cellStyle name="Normal 9 2 3 5 2 2 3" xfId="34926" xr:uid="{8E21AF33-A4DB-4AD7-91C1-E07A045DB20F}"/>
    <cellStyle name="Normal 9 2 3 5 2 2 4" xfId="26478" xr:uid="{38F913F1-5671-4EC3-A068-7AF97AF4B3C6}"/>
    <cellStyle name="Normal 9 2 3 5 2 2 5" xfId="17181" xr:uid="{D9D2DD19-D9A2-484D-868D-08B9EB5A382C}"/>
    <cellStyle name="Normal 9 2 3 5 2 3" xfId="39156" xr:uid="{AC466E46-4060-45DC-91C9-71AC6A628E29}"/>
    <cellStyle name="Normal 9 2 3 5 2 4" xfId="30708" xr:uid="{A10D2757-FF93-42A5-8B73-404A9BAF9C91}"/>
    <cellStyle name="Normal 9 2 3 5 2 5" xfId="22261" xr:uid="{B36FA7D4-F19C-4DA8-B92D-65D9E4D7A481}"/>
    <cellStyle name="Normal 9 2 3 5 2 6" xfId="12964" xr:uid="{DF26C7CE-3C3B-4567-81E2-97C04001430E}"/>
    <cellStyle name="Normal 9 2 3 5 3" xfId="5710" xr:uid="{00000000-0005-0000-0000-0000501F0000}"/>
    <cellStyle name="Normal 9 2 3 5 3 2" xfId="41228" xr:uid="{A327335D-9496-44AB-BBAF-158612FEF7B2}"/>
    <cellStyle name="Normal 9 2 3 5 3 3" xfId="32781" xr:uid="{99B28542-E613-4AB0-ABFA-5D53EB65EB8B}"/>
    <cellStyle name="Normal 9 2 3 5 3 4" xfId="24333" xr:uid="{7B8C4DA3-8FFD-464B-B70D-8EF41D039B82}"/>
    <cellStyle name="Normal 9 2 3 5 3 5" xfId="15036" xr:uid="{257254F5-D2C7-46F8-92B8-80CA52303823}"/>
    <cellStyle name="Normal 9 2 3 5 4" xfId="37011" xr:uid="{54136FB8-3047-4E9C-AE98-76AA9FE511EA}"/>
    <cellStyle name="Normal 9 2 3 5 5" xfId="28563" xr:uid="{22CB45AB-372C-4BD9-96A2-B790551BD913}"/>
    <cellStyle name="Normal 9 2 3 5 6" xfId="20116" xr:uid="{99BB8024-9BC7-4311-B75B-496BA122C434}"/>
    <cellStyle name="Normal 9 2 3 5 7" xfId="10819" xr:uid="{EBD5FC14-3186-4181-B043-9CDDAB65C67E}"/>
    <cellStyle name="Normal 9 2 3 6" xfId="1816" xr:uid="{00000000-0005-0000-0000-0000511F0000}"/>
    <cellStyle name="Normal 9 2 3 6 2" xfId="4046" xr:uid="{00000000-0005-0000-0000-0000521F0000}"/>
    <cellStyle name="Normal 9 2 3 6 2 2" xfId="8268" xr:uid="{00000000-0005-0000-0000-0000531F0000}"/>
    <cellStyle name="Normal 9 2 3 6 2 2 2" xfId="43786" xr:uid="{F66CF71C-E568-476B-89FA-F69BC7830372}"/>
    <cellStyle name="Normal 9 2 3 6 2 2 3" xfId="35339" xr:uid="{6A0A427B-8222-463D-A21F-A1D977675BF5}"/>
    <cellStyle name="Normal 9 2 3 6 2 2 4" xfId="26891" xr:uid="{6C65707A-CBB2-475A-AAAA-A9710E526E33}"/>
    <cellStyle name="Normal 9 2 3 6 2 2 5" xfId="17594" xr:uid="{A1F8A292-7894-4A0A-AC8E-61BF4F88A747}"/>
    <cellStyle name="Normal 9 2 3 6 2 3" xfId="39569" xr:uid="{C102502B-FAFB-4C71-8752-B8918D1CF414}"/>
    <cellStyle name="Normal 9 2 3 6 2 4" xfId="31121" xr:uid="{A537725A-6AB2-4604-BD80-78AAA8C13287}"/>
    <cellStyle name="Normal 9 2 3 6 2 5" xfId="22674" xr:uid="{3A2FE41F-C058-4B92-9526-7B5EA3FEE9B7}"/>
    <cellStyle name="Normal 9 2 3 6 2 6" xfId="13377" xr:uid="{BB37C716-A946-485C-A3F0-611292FECB32}"/>
    <cellStyle name="Normal 9 2 3 6 3" xfId="6123" xr:uid="{00000000-0005-0000-0000-0000541F0000}"/>
    <cellStyle name="Normal 9 2 3 6 3 2" xfId="41641" xr:uid="{9823C01D-D595-4241-B4AF-003A122D0973}"/>
    <cellStyle name="Normal 9 2 3 6 3 3" xfId="33194" xr:uid="{BAF85C4B-CBB1-4C4F-9A4B-CFD5D82B902D}"/>
    <cellStyle name="Normal 9 2 3 6 3 4" xfId="24746" xr:uid="{10A31EC8-2F41-4005-B1B1-4FF28A6D0887}"/>
    <cellStyle name="Normal 9 2 3 6 3 5" xfId="15449" xr:uid="{62D82A16-249A-483A-A3DF-50EC3D864C82}"/>
    <cellStyle name="Normal 9 2 3 6 4" xfId="37424" xr:uid="{41133F31-B5D8-48C4-A6A3-37FB0A4D0853}"/>
    <cellStyle name="Normal 9 2 3 6 5" xfId="28976" xr:uid="{1A73D559-2A82-42CB-8343-C88640CB7FF0}"/>
    <cellStyle name="Normal 9 2 3 6 6" xfId="20529" xr:uid="{6F83E2A9-768D-430F-A2FC-E980986B7B15}"/>
    <cellStyle name="Normal 9 2 3 6 7" xfId="11232" xr:uid="{2CBD889F-C72C-45CE-93E8-8FC1B3C24A54}"/>
    <cellStyle name="Normal 9 2 3 7" xfId="2230" xr:uid="{00000000-0005-0000-0000-0000551F0000}"/>
    <cellStyle name="Normal 9 2 3 7 2" xfId="4459" xr:uid="{00000000-0005-0000-0000-0000561F0000}"/>
    <cellStyle name="Normal 9 2 3 7 2 2" xfId="8681" xr:uid="{00000000-0005-0000-0000-0000571F0000}"/>
    <cellStyle name="Normal 9 2 3 7 2 2 2" xfId="44199" xr:uid="{958EB4AA-D583-4CBA-A41C-EEC21B928FA4}"/>
    <cellStyle name="Normal 9 2 3 7 2 2 3" xfId="35752" xr:uid="{C0F3014D-B7C0-41FC-A07F-A3EDD5E50048}"/>
    <cellStyle name="Normal 9 2 3 7 2 2 4" xfId="27304" xr:uid="{8C4594C9-9E74-412A-AFCF-15F279427AD6}"/>
    <cellStyle name="Normal 9 2 3 7 2 2 5" xfId="18007" xr:uid="{607A1542-1A5F-42B0-8CB3-6DCBA255E124}"/>
    <cellStyle name="Normal 9 2 3 7 2 3" xfId="39982" xr:uid="{E80A2412-4385-470E-8C18-E13CABD96D70}"/>
    <cellStyle name="Normal 9 2 3 7 2 4" xfId="31534" xr:uid="{7185D813-B57A-4815-9E8F-88BBA5C62AC5}"/>
    <cellStyle name="Normal 9 2 3 7 2 5" xfId="23087" xr:uid="{59FF4C35-5B07-4E67-8886-2DB995C67A23}"/>
    <cellStyle name="Normal 9 2 3 7 2 6" xfId="13790" xr:uid="{DBBF1541-ED2C-40C6-8E0C-BE43A4A4BCFC}"/>
    <cellStyle name="Normal 9 2 3 7 3" xfId="6536" xr:uid="{00000000-0005-0000-0000-0000581F0000}"/>
    <cellStyle name="Normal 9 2 3 7 3 2" xfId="42054" xr:uid="{8491BA31-E2EF-4321-A1A0-F0E53237112F}"/>
    <cellStyle name="Normal 9 2 3 7 3 3" xfId="33607" xr:uid="{38E1A640-AF40-4242-84B8-8373BCF4A0E0}"/>
    <cellStyle name="Normal 9 2 3 7 3 4" xfId="25159" xr:uid="{301E811A-E743-416C-B16D-0AA4635BE5B0}"/>
    <cellStyle name="Normal 9 2 3 7 3 5" xfId="15862" xr:uid="{919C6650-76C6-443F-A63B-8407ABA5A74A}"/>
    <cellStyle name="Normal 9 2 3 7 4" xfId="37837" xr:uid="{A64D5EFB-1F24-4383-8A52-0CC5988F8913}"/>
    <cellStyle name="Normal 9 2 3 7 5" xfId="29389" xr:uid="{419FC6D3-5FEB-43B3-A1FB-38883C7FCE00}"/>
    <cellStyle name="Normal 9 2 3 7 6" xfId="20942" xr:uid="{15BE1421-E4BA-4A34-A594-51C6626C9437}"/>
    <cellStyle name="Normal 9 2 3 7 7" xfId="11645" xr:uid="{8229B18B-E8C9-4279-A057-376D5C0D7C7B}"/>
    <cellStyle name="Normal 9 2 3 8" xfId="2666" xr:uid="{00000000-0005-0000-0000-0000591F0000}"/>
    <cellStyle name="Normal 9 2 3 8 2" xfId="6949" xr:uid="{00000000-0005-0000-0000-00005A1F0000}"/>
    <cellStyle name="Normal 9 2 3 8 2 2" xfId="42467" xr:uid="{ABBB460D-4C0D-4D6B-B821-B7B8FB92458A}"/>
    <cellStyle name="Normal 9 2 3 8 2 3" xfId="34020" xr:uid="{FDD5564F-AD21-4E8B-8DAF-3A8E5B05D586}"/>
    <cellStyle name="Normal 9 2 3 8 2 4" xfId="25572" xr:uid="{1F86204F-0ECF-47A4-8B22-13957D28E3BC}"/>
    <cellStyle name="Normal 9 2 3 8 2 5" xfId="16275" xr:uid="{345AF28C-22C1-4F04-A091-DA45CA6CC994}"/>
    <cellStyle name="Normal 9 2 3 8 3" xfId="38250" xr:uid="{59E9530F-9364-42E7-BA2A-BBC2905615E5}"/>
    <cellStyle name="Normal 9 2 3 8 4" xfId="29802" xr:uid="{3EAE5DD2-DF1D-48A4-932B-8E978AC5A2DF}"/>
    <cellStyle name="Normal 9 2 3 8 5" xfId="21355" xr:uid="{A524F740-C265-44A8-95A3-DF3E476A68EA}"/>
    <cellStyle name="Normal 9 2 3 8 6" xfId="12058" xr:uid="{6D922A26-5CFF-4CBF-8BAE-71E1E818697F}"/>
    <cellStyle name="Normal 9 2 3 9" xfId="4884" xr:uid="{00000000-0005-0000-0000-00005B1F0000}"/>
    <cellStyle name="Normal 9 2 3 9 2" xfId="40402" xr:uid="{7E51601E-4E2B-4679-AE0A-E50FCCD9331D}"/>
    <cellStyle name="Normal 9 2 3 9 3" xfId="31955" xr:uid="{23096A38-60D1-45E1-A8FF-A6943B7C5F9D}"/>
    <cellStyle name="Normal 9 2 3 9 4" xfId="23507" xr:uid="{C197CF1D-D01F-4808-B050-368ADD7BA433}"/>
    <cellStyle name="Normal 9 2 3 9 5" xfId="14210" xr:uid="{B914D1CC-2D07-45CE-9FFC-C163B688C114}"/>
    <cellStyle name="Normal 9 2 4" xfId="524" xr:uid="{00000000-0005-0000-0000-00005C1F0000}"/>
    <cellStyle name="Normal 9 2 4 10" xfId="27741" xr:uid="{6A0257F2-8F43-4A99-9A2B-F3AF59E9324B}"/>
    <cellStyle name="Normal 9 2 4 11" xfId="19294" xr:uid="{A1A264A8-050F-4ED8-9BCC-2BD83512079F}"/>
    <cellStyle name="Normal 9 2 4 12" xfId="9997" xr:uid="{3F44ECB6-B15F-4053-AB66-674D712052E9}"/>
    <cellStyle name="Normal 9 2 4 2" xfId="525" xr:uid="{00000000-0005-0000-0000-00005D1F0000}"/>
    <cellStyle name="Normal 9 2 4 2 10" xfId="19295" xr:uid="{20E1F0CE-21B9-4918-92B1-78865850A4B8}"/>
    <cellStyle name="Normal 9 2 4 2 11" xfId="9998" xr:uid="{957AB20A-396F-4B27-8E16-76D6F9672B7C}"/>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42965" xr:uid="{36112E6A-C894-445F-975E-03061C764449}"/>
    <cellStyle name="Normal 9 2 4 2 2 2 2 3" xfId="34518" xr:uid="{D0E56C99-6890-4DB3-842B-2B78330B9D09}"/>
    <cellStyle name="Normal 9 2 4 2 2 2 2 4" xfId="26070" xr:uid="{7FC19FFF-B164-41DF-9EA0-8EB581C1D65E}"/>
    <cellStyle name="Normal 9 2 4 2 2 2 2 5" xfId="16773" xr:uid="{D7A4F485-1F27-4BCC-B17F-DDF92B2B6BB1}"/>
    <cellStyle name="Normal 9 2 4 2 2 2 3" xfId="38748" xr:uid="{CDE2D69C-03A8-4E6E-AC35-1A2DF7167E35}"/>
    <cellStyle name="Normal 9 2 4 2 2 2 4" xfId="30300" xr:uid="{4F1619D6-4124-4DA2-BCFF-77654B3E4914}"/>
    <cellStyle name="Normal 9 2 4 2 2 2 5" xfId="21853" xr:uid="{80E585CD-ADDF-4EAE-9F3C-93D2FCF10107}"/>
    <cellStyle name="Normal 9 2 4 2 2 2 6" xfId="12556" xr:uid="{ECD4336E-E42E-44D5-A5D7-4EB2EB06C066}"/>
    <cellStyle name="Normal 9 2 4 2 2 3" xfId="5302" xr:uid="{00000000-0005-0000-0000-0000611F0000}"/>
    <cellStyle name="Normal 9 2 4 2 2 3 2" xfId="40820" xr:uid="{86713BD1-37B4-4FEE-9D84-278D01D18D1E}"/>
    <cellStyle name="Normal 9 2 4 2 2 3 3" xfId="32373" xr:uid="{4F8C50AA-E391-43CB-AD2A-C2C649B91881}"/>
    <cellStyle name="Normal 9 2 4 2 2 3 4" xfId="23925" xr:uid="{AFAD40CC-806B-4176-BD68-CE9D52455782}"/>
    <cellStyle name="Normal 9 2 4 2 2 3 5" xfId="14628" xr:uid="{F6EC04ED-FA3F-40F4-A60A-8675FBAD803D}"/>
    <cellStyle name="Normal 9 2 4 2 2 4" xfId="9489" xr:uid="{4BA9DC16-58A7-4D6B-90A6-6BB0C51A0279}"/>
    <cellStyle name="Normal 9 2 4 2 2 4 2" xfId="36603" xr:uid="{937D4F09-9CD6-49FC-8794-F73022AA5A05}"/>
    <cellStyle name="Normal 9 2 4 2 2 4 3" xfId="18802" xr:uid="{160FCF04-6C02-401B-AAA7-AA32E59E2F34}"/>
    <cellStyle name="Normal 9 2 4 2 2 5" xfId="28155" xr:uid="{D4F7A9B4-2596-4863-A752-8D6A660E5BC5}"/>
    <cellStyle name="Normal 9 2 4 2 2 6" xfId="19708" xr:uid="{D01F4CF0-7D64-4584-9F0E-7D9647E4D5CE}"/>
    <cellStyle name="Normal 9 2 4 2 2 7" xfId="10411" xr:uid="{BEA31F6C-C2F8-40AD-8AED-3B2A3FF71E41}"/>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43378" xr:uid="{F751C327-ECC2-4307-AAD2-CA7D74512791}"/>
    <cellStyle name="Normal 9 2 4 2 3 2 2 3" xfId="34931" xr:uid="{16CE4435-7C5A-407F-87F0-332DF38D29F9}"/>
    <cellStyle name="Normal 9 2 4 2 3 2 2 4" xfId="26483" xr:uid="{AA9B6836-67F6-4960-A4CC-C9ED4E9D0586}"/>
    <cellStyle name="Normal 9 2 4 2 3 2 2 5" xfId="17186" xr:uid="{A0384CFB-1BBA-49D9-8A91-37D0D8DDE1EC}"/>
    <cellStyle name="Normal 9 2 4 2 3 2 3" xfId="39161" xr:uid="{41696ED4-261C-431E-A8D2-E09115933D92}"/>
    <cellStyle name="Normal 9 2 4 2 3 2 4" xfId="30713" xr:uid="{88F7A4FE-0148-4945-BC89-4D4956F0F08D}"/>
    <cellStyle name="Normal 9 2 4 2 3 2 5" xfId="22266" xr:uid="{1C248027-435D-4553-9AD9-A912B5F6013A}"/>
    <cellStyle name="Normal 9 2 4 2 3 2 6" xfId="12969" xr:uid="{8F120F10-F874-4799-8086-B6EB76FD2129}"/>
    <cellStyle name="Normal 9 2 4 2 3 3" xfId="5715" xr:uid="{00000000-0005-0000-0000-0000651F0000}"/>
    <cellStyle name="Normal 9 2 4 2 3 3 2" xfId="41233" xr:uid="{9259253B-97A1-457A-AF9C-DC5D6816901C}"/>
    <cellStyle name="Normal 9 2 4 2 3 3 3" xfId="32786" xr:uid="{6F1A0D5A-8D45-4D13-A3C5-D106CDFA614E}"/>
    <cellStyle name="Normal 9 2 4 2 3 3 4" xfId="24338" xr:uid="{F10DEA65-4D1F-406F-93C3-008485D7B998}"/>
    <cellStyle name="Normal 9 2 4 2 3 3 5" xfId="15041" xr:uid="{4968B8A5-37DC-485C-A7F0-E095328E3DF9}"/>
    <cellStyle name="Normal 9 2 4 2 3 4" xfId="37016" xr:uid="{5D539C8A-406D-40DE-81E0-34E9A709C3EE}"/>
    <cellStyle name="Normal 9 2 4 2 3 5" xfId="28568" xr:uid="{EB22C40F-8371-4ADC-8235-81C110EA0FF3}"/>
    <cellStyle name="Normal 9 2 4 2 3 6" xfId="20121" xr:uid="{09C37D05-96EC-4918-9DBB-035B8927339B}"/>
    <cellStyle name="Normal 9 2 4 2 3 7" xfId="10824" xr:uid="{F04BA549-9E6D-4A64-92D7-3F15C01ACEAF}"/>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43791" xr:uid="{088D657C-5FC4-41A0-84AD-A0762F73FFF6}"/>
    <cellStyle name="Normal 9 2 4 2 4 2 2 3" xfId="35344" xr:uid="{C8389326-23BC-4EDD-AC51-B50B1B83DC2A}"/>
    <cellStyle name="Normal 9 2 4 2 4 2 2 4" xfId="26896" xr:uid="{5DB6E6CD-FEA1-4907-8A36-F5DCB1B45D44}"/>
    <cellStyle name="Normal 9 2 4 2 4 2 2 5" xfId="17599" xr:uid="{95BF58E9-3F31-40DB-86B2-3AEA0708A45D}"/>
    <cellStyle name="Normal 9 2 4 2 4 2 3" xfId="39574" xr:uid="{61B97B74-2E5A-4697-BF6A-301687D3CFA3}"/>
    <cellStyle name="Normal 9 2 4 2 4 2 4" xfId="31126" xr:uid="{065D9D34-48DB-4EB3-AC4D-B2A1A9416F98}"/>
    <cellStyle name="Normal 9 2 4 2 4 2 5" xfId="22679" xr:uid="{620F7AAE-5648-4822-B735-3F607C6F89CC}"/>
    <cellStyle name="Normal 9 2 4 2 4 2 6" xfId="13382" xr:uid="{328FE4A9-89B0-4FF6-8687-0DFE64656370}"/>
    <cellStyle name="Normal 9 2 4 2 4 3" xfId="6128" xr:uid="{00000000-0005-0000-0000-0000691F0000}"/>
    <cellStyle name="Normal 9 2 4 2 4 3 2" xfId="41646" xr:uid="{90965867-B731-4AEE-BD3D-239D85533090}"/>
    <cellStyle name="Normal 9 2 4 2 4 3 3" xfId="33199" xr:uid="{CFF718DA-1442-4C92-BA3B-1CDA6B9A18E8}"/>
    <cellStyle name="Normal 9 2 4 2 4 3 4" xfId="24751" xr:uid="{AC072E6D-74CD-4946-9A0E-C4EA87805DD6}"/>
    <cellStyle name="Normal 9 2 4 2 4 3 5" xfId="15454" xr:uid="{431D1EF2-9356-4282-BAAC-0CB25E82A227}"/>
    <cellStyle name="Normal 9 2 4 2 4 4" xfId="37429" xr:uid="{3260BDF7-47FC-487D-9413-F8CD715FC290}"/>
    <cellStyle name="Normal 9 2 4 2 4 5" xfId="28981" xr:uid="{65F07A8F-74AB-4065-84DB-58F037239E46}"/>
    <cellStyle name="Normal 9 2 4 2 4 6" xfId="20534" xr:uid="{C056DD3E-CC8C-4F92-8A32-3250A642062B}"/>
    <cellStyle name="Normal 9 2 4 2 4 7" xfId="11237" xr:uid="{6C4F94F3-06C2-4156-84E0-2120E9005CD8}"/>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44204" xr:uid="{736AFC27-504A-4B58-B365-7B0D489C5EF1}"/>
    <cellStyle name="Normal 9 2 4 2 5 2 2 3" xfId="35757" xr:uid="{449134F7-5A83-4669-9242-8673F0E41440}"/>
    <cellStyle name="Normal 9 2 4 2 5 2 2 4" xfId="27309" xr:uid="{31A926F9-CB28-4B51-8A40-8A03E1A4CD1F}"/>
    <cellStyle name="Normal 9 2 4 2 5 2 2 5" xfId="18012" xr:uid="{2854AA25-AFFF-4DF0-80E3-8FD804DDB874}"/>
    <cellStyle name="Normal 9 2 4 2 5 2 3" xfId="39987" xr:uid="{35132B3A-65AE-4FC8-B6E6-767DF185E10F}"/>
    <cellStyle name="Normal 9 2 4 2 5 2 4" xfId="31539" xr:uid="{D4F20185-B79F-4AD6-8ADF-3D8D6258E062}"/>
    <cellStyle name="Normal 9 2 4 2 5 2 5" xfId="23092" xr:uid="{29CA4873-81C3-4EA4-8179-C19D896CB17E}"/>
    <cellStyle name="Normal 9 2 4 2 5 2 6" xfId="13795" xr:uid="{D40E8CF8-FAFA-4B67-8AAC-8BE0384DA5D9}"/>
    <cellStyle name="Normal 9 2 4 2 5 3" xfId="6541" xr:uid="{00000000-0005-0000-0000-00006D1F0000}"/>
    <cellStyle name="Normal 9 2 4 2 5 3 2" xfId="42059" xr:uid="{BADD927C-0ACC-4D87-B48F-48E65B6CC47D}"/>
    <cellStyle name="Normal 9 2 4 2 5 3 3" xfId="33612" xr:uid="{A22D748F-0F1E-4F3B-B444-B40A36A2AFA5}"/>
    <cellStyle name="Normal 9 2 4 2 5 3 4" xfId="25164" xr:uid="{E76F0340-8D09-49EA-B5F7-6E7B17AA1FAA}"/>
    <cellStyle name="Normal 9 2 4 2 5 3 5" xfId="15867" xr:uid="{3B58B7CA-19E1-42FE-93D5-9846BF75EFDD}"/>
    <cellStyle name="Normal 9 2 4 2 5 4" xfId="37842" xr:uid="{F148D576-18EB-4C5B-B6D7-7DB5207094EA}"/>
    <cellStyle name="Normal 9 2 4 2 5 5" xfId="29394" xr:uid="{D4A5A6A7-74B0-4EDA-8B6F-A01F8230F54D}"/>
    <cellStyle name="Normal 9 2 4 2 5 6" xfId="20947" xr:uid="{9A9CD501-B680-4C45-92ED-053D93B0AAC2}"/>
    <cellStyle name="Normal 9 2 4 2 5 7" xfId="11650" xr:uid="{B706FDE8-B4CF-4E46-BFE7-46290ACBE1D9}"/>
    <cellStyle name="Normal 9 2 4 2 6" xfId="2671" xr:uid="{00000000-0005-0000-0000-00006E1F0000}"/>
    <cellStyle name="Normal 9 2 4 2 6 2" xfId="6954" xr:uid="{00000000-0005-0000-0000-00006F1F0000}"/>
    <cellStyle name="Normal 9 2 4 2 6 2 2" xfId="42472" xr:uid="{F6C33E29-2336-4958-871B-CF40DDB07CC8}"/>
    <cellStyle name="Normal 9 2 4 2 6 2 3" xfId="34025" xr:uid="{1E2F1176-1A79-45E6-9A40-C7F9C6D5AD11}"/>
    <cellStyle name="Normal 9 2 4 2 6 2 4" xfId="25577" xr:uid="{1410D0C1-49B8-4313-9BC0-9DB66300C73A}"/>
    <cellStyle name="Normal 9 2 4 2 6 2 5" xfId="16280" xr:uid="{46202A83-C2EA-4888-9614-AD77CD75DC76}"/>
    <cellStyle name="Normal 9 2 4 2 6 3" xfId="38255" xr:uid="{33E1B891-596D-4396-B409-50A6EA064DE1}"/>
    <cellStyle name="Normal 9 2 4 2 6 4" xfId="29807" xr:uid="{2BF14E95-6C95-4A2B-979C-C98421C2FFA7}"/>
    <cellStyle name="Normal 9 2 4 2 6 5" xfId="21360" xr:uid="{9405C50F-934C-429E-88D6-F801E273D1EF}"/>
    <cellStyle name="Normal 9 2 4 2 6 6" xfId="12063" xr:uid="{441C0C08-4127-489D-86D0-D72800A6E063}"/>
    <cellStyle name="Normal 9 2 4 2 7" xfId="4889" xr:uid="{00000000-0005-0000-0000-0000701F0000}"/>
    <cellStyle name="Normal 9 2 4 2 7 2" xfId="40407" xr:uid="{B6796F72-9C2A-4751-B33E-3099B8E0061B}"/>
    <cellStyle name="Normal 9 2 4 2 7 3" xfId="31960" xr:uid="{183A5C5D-AA59-4FA3-B676-235BCC33EB49}"/>
    <cellStyle name="Normal 9 2 4 2 7 4" xfId="23512" xr:uid="{DB1043AA-13DB-4C70-BAED-4CF0EBC6A2DC}"/>
    <cellStyle name="Normal 9 2 4 2 7 5" xfId="14215" xr:uid="{41CD3722-B279-433F-86B6-8943B86ED74B}"/>
    <cellStyle name="Normal 9 2 4 2 8" xfId="9064" xr:uid="{7D4090C3-C767-4FFF-8A1F-282B2C8BAE68}"/>
    <cellStyle name="Normal 9 2 4 2 8 2" xfId="36190" xr:uid="{D87CF92D-DE2D-480A-B894-085F86E5E29B}"/>
    <cellStyle name="Normal 9 2 4 2 8 3" xfId="18387" xr:uid="{952FA25E-B8A2-43D8-9CC4-044C890A2EFD}"/>
    <cellStyle name="Normal 9 2 4 2 9" xfId="27742" xr:uid="{34539ABB-4912-465C-82DE-362CA66F7C52}"/>
    <cellStyle name="Normal 9 2 4 3" xfId="991" xr:uid="{00000000-0005-0000-0000-0000711F0000}"/>
    <cellStyle name="Normal 9 2 4 3 2" xfId="3224" xr:uid="{00000000-0005-0000-0000-0000721F0000}"/>
    <cellStyle name="Normal 9 2 4 3 2 2" xfId="7446" xr:uid="{00000000-0005-0000-0000-0000731F0000}"/>
    <cellStyle name="Normal 9 2 4 3 2 2 2" xfId="42964" xr:uid="{E7F4A8FE-19CC-4482-B2C0-9665D636BACE}"/>
    <cellStyle name="Normal 9 2 4 3 2 2 3" xfId="34517" xr:uid="{F19DA614-C4CD-4743-861E-999826B2BB33}"/>
    <cellStyle name="Normal 9 2 4 3 2 2 4" xfId="26069" xr:uid="{0D4B960B-D6EF-4D1B-8DA1-B0F10206A189}"/>
    <cellStyle name="Normal 9 2 4 3 2 2 5" xfId="16772" xr:uid="{FE869BAE-066E-4944-BF8F-8ACB9ABAD7B1}"/>
    <cellStyle name="Normal 9 2 4 3 2 3" xfId="38747" xr:uid="{3719942C-A35B-49A0-AD07-21C509F1A694}"/>
    <cellStyle name="Normal 9 2 4 3 2 4" xfId="30299" xr:uid="{BD6CF856-C494-4C85-AD44-41A357FC1662}"/>
    <cellStyle name="Normal 9 2 4 3 2 5" xfId="21852" xr:uid="{EE6E56F2-5159-4AED-BB3E-FC0C2585D79C}"/>
    <cellStyle name="Normal 9 2 4 3 2 6" xfId="12555" xr:uid="{0D0886B9-06F2-45F2-8E74-63AC41ABBE34}"/>
    <cellStyle name="Normal 9 2 4 3 3" xfId="5301" xr:uid="{00000000-0005-0000-0000-0000741F0000}"/>
    <cellStyle name="Normal 9 2 4 3 3 2" xfId="40819" xr:uid="{92DBDE7B-0028-4F2B-BAF0-DFD9F96D7A20}"/>
    <cellStyle name="Normal 9 2 4 3 3 3" xfId="32372" xr:uid="{51FC8654-13D6-4D69-AC95-0CA0CB01C9E0}"/>
    <cellStyle name="Normal 9 2 4 3 3 4" xfId="23924" xr:uid="{DD0EF385-7650-48A7-87AB-46CA36975C49}"/>
    <cellStyle name="Normal 9 2 4 3 3 5" xfId="14627" xr:uid="{9FF21C81-0AD7-4E37-9DCE-DE81C44AAA29}"/>
    <cellStyle name="Normal 9 2 4 3 4" xfId="9282" xr:uid="{2471E5AC-3D06-4E90-9462-C54FACA9B22B}"/>
    <cellStyle name="Normal 9 2 4 3 4 2" xfId="36602" xr:uid="{E8A38C57-A0A2-41AD-9D82-E3D74EF86175}"/>
    <cellStyle name="Normal 9 2 4 3 4 3" xfId="18595" xr:uid="{AE2F4E68-BAE0-41CB-B1E5-935D94C5D71C}"/>
    <cellStyle name="Normal 9 2 4 3 5" xfId="28154" xr:uid="{C2523362-39A1-4943-8F3D-E7C70BD50271}"/>
    <cellStyle name="Normal 9 2 4 3 6" xfId="19707" xr:uid="{594765E4-9F20-4621-ACC1-6C6F4B5ADBC0}"/>
    <cellStyle name="Normal 9 2 4 3 7" xfId="10410" xr:uid="{37062AB5-C456-4032-9441-936F17325760}"/>
    <cellStyle name="Normal 9 2 4 4" xfId="1407" xr:uid="{00000000-0005-0000-0000-0000751F0000}"/>
    <cellStyle name="Normal 9 2 4 4 2" xfId="3637" xr:uid="{00000000-0005-0000-0000-0000761F0000}"/>
    <cellStyle name="Normal 9 2 4 4 2 2" xfId="7859" xr:uid="{00000000-0005-0000-0000-0000771F0000}"/>
    <cellStyle name="Normal 9 2 4 4 2 2 2" xfId="43377" xr:uid="{4E3A2373-ACFF-41EE-8188-A4CBEB735968}"/>
    <cellStyle name="Normal 9 2 4 4 2 2 3" xfId="34930" xr:uid="{E925EF95-3DE0-4BA7-ABD5-81177709829A}"/>
    <cellStyle name="Normal 9 2 4 4 2 2 4" xfId="26482" xr:uid="{B67B896A-D718-40AD-A603-19F4DC96F937}"/>
    <cellStyle name="Normal 9 2 4 4 2 2 5" xfId="17185" xr:uid="{147771CC-128A-4BC1-A97C-A5D793163B33}"/>
    <cellStyle name="Normal 9 2 4 4 2 3" xfId="39160" xr:uid="{3B9C81C4-551C-48F5-A3D9-2C433162BF2C}"/>
    <cellStyle name="Normal 9 2 4 4 2 4" xfId="30712" xr:uid="{F6E373CF-7FE5-43D6-8191-2E481349A89C}"/>
    <cellStyle name="Normal 9 2 4 4 2 5" xfId="22265" xr:uid="{E0B77A67-51D7-49EC-81A1-E44A842847E3}"/>
    <cellStyle name="Normal 9 2 4 4 2 6" xfId="12968" xr:uid="{F4C6006F-6348-4567-975E-248F451507F0}"/>
    <cellStyle name="Normal 9 2 4 4 3" xfId="5714" xr:uid="{00000000-0005-0000-0000-0000781F0000}"/>
    <cellStyle name="Normal 9 2 4 4 3 2" xfId="41232" xr:uid="{CDDA28D1-463B-4688-8B58-74721E2016DB}"/>
    <cellStyle name="Normal 9 2 4 4 3 3" xfId="32785" xr:uid="{A3FCF499-6E26-46DC-A80E-27FF3EF3DDC8}"/>
    <cellStyle name="Normal 9 2 4 4 3 4" xfId="24337" xr:uid="{B298A3DF-5E97-42FF-B997-8067CD7722E7}"/>
    <cellStyle name="Normal 9 2 4 4 3 5" xfId="15040" xr:uid="{704CFA35-2FB8-4ABC-BDFF-161F8326BD9D}"/>
    <cellStyle name="Normal 9 2 4 4 4" xfId="37015" xr:uid="{E2EEF333-169D-420A-A1BB-832F66D4F33D}"/>
    <cellStyle name="Normal 9 2 4 4 5" xfId="28567" xr:uid="{7BC0726C-732E-4A9B-B369-054030B053D1}"/>
    <cellStyle name="Normal 9 2 4 4 6" xfId="20120" xr:uid="{30055853-1474-4700-9598-4CBC1E16EDF3}"/>
    <cellStyle name="Normal 9 2 4 4 7" xfId="10823" xr:uid="{CDA0B211-BBD6-493E-BCDD-B11692440097}"/>
    <cellStyle name="Normal 9 2 4 5" xfId="1820" xr:uid="{00000000-0005-0000-0000-0000791F0000}"/>
    <cellStyle name="Normal 9 2 4 5 2" xfId="4050" xr:uid="{00000000-0005-0000-0000-00007A1F0000}"/>
    <cellStyle name="Normal 9 2 4 5 2 2" xfId="8272" xr:uid="{00000000-0005-0000-0000-00007B1F0000}"/>
    <cellStyle name="Normal 9 2 4 5 2 2 2" xfId="43790" xr:uid="{E4DC40C7-A60D-491C-9DBF-737223ECE6DD}"/>
    <cellStyle name="Normal 9 2 4 5 2 2 3" xfId="35343" xr:uid="{F25EA446-F27D-4D16-9050-0D3E6B62A735}"/>
    <cellStyle name="Normal 9 2 4 5 2 2 4" xfId="26895" xr:uid="{FD1DBE5B-C641-4743-BB82-778D7420427E}"/>
    <cellStyle name="Normal 9 2 4 5 2 2 5" xfId="17598" xr:uid="{4C74788E-0EC6-4678-ABF5-EBB617902785}"/>
    <cellStyle name="Normal 9 2 4 5 2 3" xfId="39573" xr:uid="{8B141022-278D-4B9B-BA30-5499F3258615}"/>
    <cellStyle name="Normal 9 2 4 5 2 4" xfId="31125" xr:uid="{97C5E6F7-6721-440E-AF3D-5C721F02955A}"/>
    <cellStyle name="Normal 9 2 4 5 2 5" xfId="22678" xr:uid="{EAA68FE4-F061-460D-9394-166795681D73}"/>
    <cellStyle name="Normal 9 2 4 5 2 6" xfId="13381" xr:uid="{3F69D571-30C0-4DA5-87A4-819E84E1EC9F}"/>
    <cellStyle name="Normal 9 2 4 5 3" xfId="6127" xr:uid="{00000000-0005-0000-0000-00007C1F0000}"/>
    <cellStyle name="Normal 9 2 4 5 3 2" xfId="41645" xr:uid="{51BF0558-457C-4461-9CCB-BD68F778F32E}"/>
    <cellStyle name="Normal 9 2 4 5 3 3" xfId="33198" xr:uid="{D6C9D217-5BD8-4395-83D5-734A0608F2F9}"/>
    <cellStyle name="Normal 9 2 4 5 3 4" xfId="24750" xr:uid="{089339B7-A837-4EF9-ADDE-AD9A6D4C6730}"/>
    <cellStyle name="Normal 9 2 4 5 3 5" xfId="15453" xr:uid="{7151207D-55B6-466F-A371-74393E466DED}"/>
    <cellStyle name="Normal 9 2 4 5 4" xfId="37428" xr:uid="{FB0A309E-771E-41A7-99C8-01DA5173FE38}"/>
    <cellStyle name="Normal 9 2 4 5 5" xfId="28980" xr:uid="{8A808892-4C67-49BF-8AB7-5D300C2AF3A3}"/>
    <cellStyle name="Normal 9 2 4 5 6" xfId="20533" xr:uid="{E57D9017-810B-4E13-AB09-7F97F968DFA7}"/>
    <cellStyle name="Normal 9 2 4 5 7" xfId="11236" xr:uid="{371C43CD-AEF0-4B67-878A-FFA1F1B39758}"/>
    <cellStyle name="Normal 9 2 4 6" xfId="2234" xr:uid="{00000000-0005-0000-0000-00007D1F0000}"/>
    <cellStyle name="Normal 9 2 4 6 2" xfId="4463" xr:uid="{00000000-0005-0000-0000-00007E1F0000}"/>
    <cellStyle name="Normal 9 2 4 6 2 2" xfId="8685" xr:uid="{00000000-0005-0000-0000-00007F1F0000}"/>
    <cellStyle name="Normal 9 2 4 6 2 2 2" xfId="44203" xr:uid="{B71D3739-5B3A-41E7-8A74-B934D2A97F54}"/>
    <cellStyle name="Normal 9 2 4 6 2 2 3" xfId="35756" xr:uid="{37BC114A-F9C7-4D1D-A1B5-F275225D6BBA}"/>
    <cellStyle name="Normal 9 2 4 6 2 2 4" xfId="27308" xr:uid="{347F2963-B341-4EA1-B090-53FA3E34CC00}"/>
    <cellStyle name="Normal 9 2 4 6 2 2 5" xfId="18011" xr:uid="{DB9727AB-8C94-4019-9CAE-B4649E422836}"/>
    <cellStyle name="Normal 9 2 4 6 2 3" xfId="39986" xr:uid="{24A967E7-5124-42F1-9DB5-98291B8C4499}"/>
    <cellStyle name="Normal 9 2 4 6 2 4" xfId="31538" xr:uid="{1D514947-4F69-41E5-A293-97BF82B84ADE}"/>
    <cellStyle name="Normal 9 2 4 6 2 5" xfId="23091" xr:uid="{1BED4BC4-46CE-44A1-AC79-439EC16ED9F4}"/>
    <cellStyle name="Normal 9 2 4 6 2 6" xfId="13794" xr:uid="{35FA8853-2B21-4748-8321-A9D1306FB5A5}"/>
    <cellStyle name="Normal 9 2 4 6 3" xfId="6540" xr:uid="{00000000-0005-0000-0000-0000801F0000}"/>
    <cellStyle name="Normal 9 2 4 6 3 2" xfId="42058" xr:uid="{8CFD538B-111A-4515-B0F3-934DCF25F787}"/>
    <cellStyle name="Normal 9 2 4 6 3 3" xfId="33611" xr:uid="{11E4D71C-43FF-4E45-89CA-58D7FAE953A3}"/>
    <cellStyle name="Normal 9 2 4 6 3 4" xfId="25163" xr:uid="{1E54612F-D39E-4D1A-8EC4-53801B99A828}"/>
    <cellStyle name="Normal 9 2 4 6 3 5" xfId="15866" xr:uid="{B3093A88-C4E9-463E-B474-21494890D012}"/>
    <cellStyle name="Normal 9 2 4 6 4" xfId="37841" xr:uid="{90B67A35-CBE2-4A72-9F15-19250512DEB7}"/>
    <cellStyle name="Normal 9 2 4 6 5" xfId="29393" xr:uid="{760A2D01-8734-49E5-A49A-FF852F3E41EF}"/>
    <cellStyle name="Normal 9 2 4 6 6" xfId="20946" xr:uid="{C8CA8656-9719-4CAB-BA15-BADADAEDF680}"/>
    <cellStyle name="Normal 9 2 4 6 7" xfId="11649" xr:uid="{661A9DAF-4C4B-4CD7-81DB-44B08EA1F51E}"/>
    <cellStyle name="Normal 9 2 4 7" xfId="2670" xr:uid="{00000000-0005-0000-0000-0000811F0000}"/>
    <cellStyle name="Normal 9 2 4 7 2" xfId="6953" xr:uid="{00000000-0005-0000-0000-0000821F0000}"/>
    <cellStyle name="Normal 9 2 4 7 2 2" xfId="42471" xr:uid="{8FC05EDE-725D-4971-B028-0CC877C29E29}"/>
    <cellStyle name="Normal 9 2 4 7 2 3" xfId="34024" xr:uid="{9631C9F2-7F65-4D45-AFB9-DC7E456A1DCB}"/>
    <cellStyle name="Normal 9 2 4 7 2 4" xfId="25576" xr:uid="{E915DC15-32A9-481F-A0A8-1694072830BB}"/>
    <cellStyle name="Normal 9 2 4 7 2 5" xfId="16279" xr:uid="{6AEC9149-C5F8-4A21-8D64-9F7056B7ED7F}"/>
    <cellStyle name="Normal 9 2 4 7 3" xfId="38254" xr:uid="{EC05CB93-D12A-4372-BAA3-D52396F800B7}"/>
    <cellStyle name="Normal 9 2 4 7 4" xfId="29806" xr:uid="{E006C995-AA12-41BA-A18A-AC7F7C219A0A}"/>
    <cellStyle name="Normal 9 2 4 7 5" xfId="21359" xr:uid="{4A8ABF6E-5C08-47A6-88E5-829DC8B0A39B}"/>
    <cellStyle name="Normal 9 2 4 7 6" xfId="12062" xr:uid="{251F0B03-01AB-4D93-8CF3-FE709D4211D9}"/>
    <cellStyle name="Normal 9 2 4 8" xfId="4888" xr:uid="{00000000-0005-0000-0000-0000831F0000}"/>
    <cellStyle name="Normal 9 2 4 8 2" xfId="40406" xr:uid="{0DC2DF0F-3BF0-4FFF-A8DE-2C8E5FAB286C}"/>
    <cellStyle name="Normal 9 2 4 8 3" xfId="31959" xr:uid="{ED26CA8A-7A43-4048-A9DC-7CF83D300451}"/>
    <cellStyle name="Normal 9 2 4 8 4" xfId="23511" xr:uid="{8EA23A84-5CB9-4AD1-9876-325BEF786FA6}"/>
    <cellStyle name="Normal 9 2 4 8 5" xfId="14214" xr:uid="{587FAEE6-4DDF-46E9-9486-E95BC53509E5}"/>
    <cellStyle name="Normal 9 2 4 9" xfId="8857" xr:uid="{D785C0E6-B403-4CCC-AB0B-78E822EF1E40}"/>
    <cellStyle name="Normal 9 2 4 9 2" xfId="36189" xr:uid="{88E936FB-BB3E-4E4C-9F39-DB0C812A7357}"/>
    <cellStyle name="Normal 9 2 4 9 3" xfId="18180" xr:uid="{8ED5182B-643E-46C0-B006-C4940DCED51D}"/>
    <cellStyle name="Normal 9 2 5" xfId="526" xr:uid="{00000000-0005-0000-0000-0000841F0000}"/>
    <cellStyle name="Normal 9 2 5 10" xfId="19296" xr:uid="{66193E76-ACA7-4AA7-8CCF-CF2E447D0761}"/>
    <cellStyle name="Normal 9 2 5 11" xfId="9999" xr:uid="{6E82F32B-8900-4F41-8255-C4FEEF846521}"/>
    <cellStyle name="Normal 9 2 5 2" xfId="993" xr:uid="{00000000-0005-0000-0000-0000851F0000}"/>
    <cellStyle name="Normal 9 2 5 2 2" xfId="3226" xr:uid="{00000000-0005-0000-0000-0000861F0000}"/>
    <cellStyle name="Normal 9 2 5 2 2 2" xfId="7448" xr:uid="{00000000-0005-0000-0000-0000871F0000}"/>
    <cellStyle name="Normal 9 2 5 2 2 2 2" xfId="42966" xr:uid="{FA160FD7-B95E-46E1-A23F-D5FA08E3A701}"/>
    <cellStyle name="Normal 9 2 5 2 2 2 3" xfId="34519" xr:uid="{F4639B6D-88B1-4791-B787-06FD3B98C7DF}"/>
    <cellStyle name="Normal 9 2 5 2 2 2 4" xfId="26071" xr:uid="{52B337F8-7701-4CB3-9BA7-74F3CB559422}"/>
    <cellStyle name="Normal 9 2 5 2 2 2 5" xfId="16774" xr:uid="{D404D7FD-A808-42AD-BE35-7CA39C850E9E}"/>
    <cellStyle name="Normal 9 2 5 2 2 3" xfId="38749" xr:uid="{CA466C30-BBDD-46EB-A01C-736FD01C2694}"/>
    <cellStyle name="Normal 9 2 5 2 2 4" xfId="30301" xr:uid="{D757533B-1A4F-439B-B06E-FE6738942500}"/>
    <cellStyle name="Normal 9 2 5 2 2 5" xfId="21854" xr:uid="{017B1A3C-76DD-453A-B5AB-DCD519EDB3A6}"/>
    <cellStyle name="Normal 9 2 5 2 2 6" xfId="12557" xr:uid="{CFE8A200-F0D5-49FC-959D-0861DA82E391}"/>
    <cellStyle name="Normal 9 2 5 2 3" xfId="5303" xr:uid="{00000000-0005-0000-0000-0000881F0000}"/>
    <cellStyle name="Normal 9 2 5 2 3 2" xfId="40821" xr:uid="{018495DC-E216-4033-8FAB-863A1CDF1F84}"/>
    <cellStyle name="Normal 9 2 5 2 3 3" xfId="32374" xr:uid="{EF11BCB4-F313-48E5-8767-7FFE5D8D4DB5}"/>
    <cellStyle name="Normal 9 2 5 2 3 4" xfId="23926" xr:uid="{D13AE8CC-F795-4438-BB88-BFBE0A7D42D6}"/>
    <cellStyle name="Normal 9 2 5 2 3 5" xfId="14629" xr:uid="{BEB978A6-CC07-4619-AAAF-D3E6A9F4664E}"/>
    <cellStyle name="Normal 9 2 5 2 4" xfId="9398" xr:uid="{5B2A416E-986C-4898-8893-9EAFDDDBCDD4}"/>
    <cellStyle name="Normal 9 2 5 2 4 2" xfId="36604" xr:uid="{8CD61499-8E6E-4C6C-89B0-1538DBB32141}"/>
    <cellStyle name="Normal 9 2 5 2 4 3" xfId="18711" xr:uid="{742657A6-7FF3-4156-92D9-9683CDE56E76}"/>
    <cellStyle name="Normal 9 2 5 2 5" xfId="28156" xr:uid="{E3EF718A-836D-4806-A95A-BAE3855A2AA5}"/>
    <cellStyle name="Normal 9 2 5 2 6" xfId="19709" xr:uid="{22D086B4-1957-478D-B2F8-955A440352EE}"/>
    <cellStyle name="Normal 9 2 5 2 7" xfId="10412" xr:uid="{371A837C-946A-4EE5-9544-19C63740874A}"/>
    <cellStyle name="Normal 9 2 5 3" xfId="1409" xr:uid="{00000000-0005-0000-0000-0000891F0000}"/>
    <cellStyle name="Normal 9 2 5 3 2" xfId="3639" xr:uid="{00000000-0005-0000-0000-00008A1F0000}"/>
    <cellStyle name="Normal 9 2 5 3 2 2" xfId="7861" xr:uid="{00000000-0005-0000-0000-00008B1F0000}"/>
    <cellStyle name="Normal 9 2 5 3 2 2 2" xfId="43379" xr:uid="{9CEAB7B4-9271-4ADF-810C-4028DA5508BA}"/>
    <cellStyle name="Normal 9 2 5 3 2 2 3" xfId="34932" xr:uid="{27432605-47C6-4341-9D65-40F2D5D670EA}"/>
    <cellStyle name="Normal 9 2 5 3 2 2 4" xfId="26484" xr:uid="{47BAA56E-BFC5-4E18-94BB-E4AF5A20B5A4}"/>
    <cellStyle name="Normal 9 2 5 3 2 2 5" xfId="17187" xr:uid="{57E96448-70F4-49FB-81A5-A38144B69EC9}"/>
    <cellStyle name="Normal 9 2 5 3 2 3" xfId="39162" xr:uid="{763B2328-6AB4-4181-8D1E-4181AB6D27C5}"/>
    <cellStyle name="Normal 9 2 5 3 2 4" xfId="30714" xr:uid="{1043E864-56D2-403F-96E3-4F39DFE8144C}"/>
    <cellStyle name="Normal 9 2 5 3 2 5" xfId="22267" xr:uid="{9EA76A05-E6F0-49AB-A22F-EC68DBCDEC4F}"/>
    <cellStyle name="Normal 9 2 5 3 2 6" xfId="12970" xr:uid="{126B75E4-C44B-4F93-BF37-B82E05F36FC1}"/>
    <cellStyle name="Normal 9 2 5 3 3" xfId="5716" xr:uid="{00000000-0005-0000-0000-00008C1F0000}"/>
    <cellStyle name="Normal 9 2 5 3 3 2" xfId="41234" xr:uid="{204EFEB1-8075-4D98-9157-DECCB19AEB82}"/>
    <cellStyle name="Normal 9 2 5 3 3 3" xfId="32787" xr:uid="{E1B65850-E129-4EB1-A654-00F2508C40A1}"/>
    <cellStyle name="Normal 9 2 5 3 3 4" xfId="24339" xr:uid="{0239D625-4734-4415-965A-666B189C7631}"/>
    <cellStyle name="Normal 9 2 5 3 3 5" xfId="15042" xr:uid="{FC689B0B-AF41-4047-B882-81ABF4228676}"/>
    <cellStyle name="Normal 9 2 5 3 4" xfId="37017" xr:uid="{B2010ACA-FC55-427C-8FCC-B44F286E2B35}"/>
    <cellStyle name="Normal 9 2 5 3 5" xfId="28569" xr:uid="{0ADFAE3E-B0AE-41AA-931B-1B8F6BDA239F}"/>
    <cellStyle name="Normal 9 2 5 3 6" xfId="20122" xr:uid="{0A878F53-91EB-4245-9C1A-F2A3F13F8738}"/>
    <cellStyle name="Normal 9 2 5 3 7" xfId="10825" xr:uid="{1E66B020-ABF5-4704-B248-E370AAB052CA}"/>
    <cellStyle name="Normal 9 2 5 4" xfId="1822" xr:uid="{00000000-0005-0000-0000-00008D1F0000}"/>
    <cellStyle name="Normal 9 2 5 4 2" xfId="4052" xr:uid="{00000000-0005-0000-0000-00008E1F0000}"/>
    <cellStyle name="Normal 9 2 5 4 2 2" xfId="8274" xr:uid="{00000000-0005-0000-0000-00008F1F0000}"/>
    <cellStyle name="Normal 9 2 5 4 2 2 2" xfId="43792" xr:uid="{E0736781-C439-4FE9-96B3-E4793AB6FDDA}"/>
    <cellStyle name="Normal 9 2 5 4 2 2 3" xfId="35345" xr:uid="{1815672B-291F-4565-9F16-056F4E2C1228}"/>
    <cellStyle name="Normal 9 2 5 4 2 2 4" xfId="26897" xr:uid="{F53DEAA8-F9FC-4C33-BEA4-2812C710762B}"/>
    <cellStyle name="Normal 9 2 5 4 2 2 5" xfId="17600" xr:uid="{EB2043BD-D185-403B-8390-BDC8B9206159}"/>
    <cellStyle name="Normal 9 2 5 4 2 3" xfId="39575" xr:uid="{788B6DCB-CB90-47D0-ADEF-28627543FCC4}"/>
    <cellStyle name="Normal 9 2 5 4 2 4" xfId="31127" xr:uid="{BC8AB8FE-EC73-40B5-9EE2-79BF87ADBF98}"/>
    <cellStyle name="Normal 9 2 5 4 2 5" xfId="22680" xr:uid="{C6983C7F-8094-4B42-B027-339652CC5452}"/>
    <cellStyle name="Normal 9 2 5 4 2 6" xfId="13383" xr:uid="{A4CF0354-33E2-4DE0-9939-27649876E8B1}"/>
    <cellStyle name="Normal 9 2 5 4 3" xfId="6129" xr:uid="{00000000-0005-0000-0000-0000901F0000}"/>
    <cellStyle name="Normal 9 2 5 4 3 2" xfId="41647" xr:uid="{D93A20CA-88EE-44C9-8522-5F4291A5D2EE}"/>
    <cellStyle name="Normal 9 2 5 4 3 3" xfId="33200" xr:uid="{65BF24A3-604A-41CB-8C12-6775AFD6DFBB}"/>
    <cellStyle name="Normal 9 2 5 4 3 4" xfId="24752" xr:uid="{3C792F1D-C218-401E-A9F7-923635CF3F1C}"/>
    <cellStyle name="Normal 9 2 5 4 3 5" xfId="15455" xr:uid="{13EEA699-E27B-448F-A80F-459183D89F4F}"/>
    <cellStyle name="Normal 9 2 5 4 4" xfId="37430" xr:uid="{C353C3DC-5A22-4EB5-ADAF-6D062C8A6261}"/>
    <cellStyle name="Normal 9 2 5 4 5" xfId="28982" xr:uid="{6DA9B628-52E4-4C9F-974E-DBF264C44D6D}"/>
    <cellStyle name="Normal 9 2 5 4 6" xfId="20535" xr:uid="{F64CB395-3095-4F44-9550-50C882F59900}"/>
    <cellStyle name="Normal 9 2 5 4 7" xfId="11238" xr:uid="{91860623-AD8F-4E7C-8D4D-26F6150A8406}"/>
    <cellStyle name="Normal 9 2 5 5" xfId="2236" xr:uid="{00000000-0005-0000-0000-0000911F0000}"/>
    <cellStyle name="Normal 9 2 5 5 2" xfId="4465" xr:uid="{00000000-0005-0000-0000-0000921F0000}"/>
    <cellStyle name="Normal 9 2 5 5 2 2" xfId="8687" xr:uid="{00000000-0005-0000-0000-0000931F0000}"/>
    <cellStyle name="Normal 9 2 5 5 2 2 2" xfId="44205" xr:uid="{F108FA47-A0D4-4DD1-81E6-01B2170ACE6A}"/>
    <cellStyle name="Normal 9 2 5 5 2 2 3" xfId="35758" xr:uid="{A2A8E64F-4494-4804-B1F3-FAD63C4A150E}"/>
    <cellStyle name="Normal 9 2 5 5 2 2 4" xfId="27310" xr:uid="{C7306CFA-0052-4C72-992B-F43FC4C889B3}"/>
    <cellStyle name="Normal 9 2 5 5 2 2 5" xfId="18013" xr:uid="{28C10759-F587-443F-8B95-9677FA743023}"/>
    <cellStyle name="Normal 9 2 5 5 2 3" xfId="39988" xr:uid="{83FCFEBD-77E9-4B6B-BD51-528194E077A1}"/>
    <cellStyle name="Normal 9 2 5 5 2 4" xfId="31540" xr:uid="{4C219D6E-5795-49D2-8494-E8656FD5CB1F}"/>
    <cellStyle name="Normal 9 2 5 5 2 5" xfId="23093" xr:uid="{B39AD2F9-6771-4966-A8DD-C079CB57EE46}"/>
    <cellStyle name="Normal 9 2 5 5 2 6" xfId="13796" xr:uid="{F3F9E679-372D-4AA6-879D-DB21F17C6B66}"/>
    <cellStyle name="Normal 9 2 5 5 3" xfId="6542" xr:uid="{00000000-0005-0000-0000-0000941F0000}"/>
    <cellStyle name="Normal 9 2 5 5 3 2" xfId="42060" xr:uid="{9C2D1A21-E7FA-423D-8129-72053ACF0D55}"/>
    <cellStyle name="Normal 9 2 5 5 3 3" xfId="33613" xr:uid="{6C76CAD5-A32D-4944-A81C-E62740F9B982}"/>
    <cellStyle name="Normal 9 2 5 5 3 4" xfId="25165" xr:uid="{C7BC7613-3F23-4909-AE50-EE3F7CF6DB39}"/>
    <cellStyle name="Normal 9 2 5 5 3 5" xfId="15868" xr:uid="{924E830D-C8FA-4C5A-87B9-58F2F22BD823}"/>
    <cellStyle name="Normal 9 2 5 5 4" xfId="37843" xr:uid="{B7B8DDB5-447F-4733-9517-3540C2B0E4E4}"/>
    <cellStyle name="Normal 9 2 5 5 5" xfId="29395" xr:uid="{581A53B9-9108-49EA-993B-04AC9E683919}"/>
    <cellStyle name="Normal 9 2 5 5 6" xfId="20948" xr:uid="{0B755648-56B2-4E14-833B-E389463A36D4}"/>
    <cellStyle name="Normal 9 2 5 5 7" xfId="11651" xr:uid="{3BD2DBC3-8FAE-42DF-B6D5-B9D43DAC977C}"/>
    <cellStyle name="Normal 9 2 5 6" xfId="2672" xr:uid="{00000000-0005-0000-0000-0000951F0000}"/>
    <cellStyle name="Normal 9 2 5 6 2" xfId="6955" xr:uid="{00000000-0005-0000-0000-0000961F0000}"/>
    <cellStyle name="Normal 9 2 5 6 2 2" xfId="42473" xr:uid="{4E7CC95C-FBEB-4D36-8474-A749C256BEA8}"/>
    <cellStyle name="Normal 9 2 5 6 2 3" xfId="34026" xr:uid="{DDF8C7D4-018F-4552-9917-F0EF4502016D}"/>
    <cellStyle name="Normal 9 2 5 6 2 4" xfId="25578" xr:uid="{BF38A95B-BB09-48CC-B3C9-FFAE0EEF9C25}"/>
    <cellStyle name="Normal 9 2 5 6 2 5" xfId="16281" xr:uid="{59ACCB18-B8AD-45D6-B86F-E4C718C585B3}"/>
    <cellStyle name="Normal 9 2 5 6 3" xfId="38256" xr:uid="{90EDC414-F1B5-422E-90E5-ED46C9CC883F}"/>
    <cellStyle name="Normal 9 2 5 6 4" xfId="29808" xr:uid="{409076F2-1EFC-4105-A923-A1BC5F073165}"/>
    <cellStyle name="Normal 9 2 5 6 5" xfId="21361" xr:uid="{80BF3B6C-165E-4DE7-9E8C-11A4B13852FF}"/>
    <cellStyle name="Normal 9 2 5 6 6" xfId="12064" xr:uid="{EBD7B6B6-96F5-4BEE-B5F8-2E01D4748BB5}"/>
    <cellStyle name="Normal 9 2 5 7" xfId="4890" xr:uid="{00000000-0005-0000-0000-0000971F0000}"/>
    <cellStyle name="Normal 9 2 5 7 2" xfId="40408" xr:uid="{D5F92CFE-9AC9-41E0-A6AD-5184DFECB594}"/>
    <cellStyle name="Normal 9 2 5 7 3" xfId="31961" xr:uid="{798859A9-203F-40E0-A6D8-F3DA796B0514}"/>
    <cellStyle name="Normal 9 2 5 7 4" xfId="23513" xr:uid="{A1AC5B2F-33CF-441A-B3D0-AD16DCDC5F2E}"/>
    <cellStyle name="Normal 9 2 5 7 5" xfId="14216" xr:uid="{FA979E38-7049-43D4-B859-CC1EEB8414FD}"/>
    <cellStyle name="Normal 9 2 5 8" xfId="8973" xr:uid="{BA9464C2-72F7-4B38-B1BD-6986FFA433D9}"/>
    <cellStyle name="Normal 9 2 5 8 2" xfId="36191" xr:uid="{DC6ED044-15E9-4E35-9A3E-3BFCAB1B47C5}"/>
    <cellStyle name="Normal 9 2 5 8 3" xfId="18296" xr:uid="{8A243DD5-A276-47DA-8921-F504DE195CB7}"/>
    <cellStyle name="Normal 9 2 5 9" xfId="27743" xr:uid="{99BD5AF8-56D0-4292-8AA4-6814B258DBD5}"/>
    <cellStyle name="Normal 9 2 6" xfId="978" xr:uid="{00000000-0005-0000-0000-0000981F0000}"/>
    <cellStyle name="Normal 9 2 6 2" xfId="3211" xr:uid="{00000000-0005-0000-0000-0000991F0000}"/>
    <cellStyle name="Normal 9 2 6 2 2" xfId="7433" xr:uid="{00000000-0005-0000-0000-00009A1F0000}"/>
    <cellStyle name="Normal 9 2 6 2 2 2" xfId="42951" xr:uid="{AB0CEB5F-B66F-4E5B-9951-F5D9E66B612A}"/>
    <cellStyle name="Normal 9 2 6 2 2 3" xfId="34504" xr:uid="{F431496C-F7C1-468D-B33A-A11018471646}"/>
    <cellStyle name="Normal 9 2 6 2 2 4" xfId="26056" xr:uid="{71533F3C-59AC-433E-ABFC-B5E8B7D67936}"/>
    <cellStyle name="Normal 9 2 6 2 2 5" xfId="16759" xr:uid="{C2BF7DA8-94F1-4770-AC8A-841F00727419}"/>
    <cellStyle name="Normal 9 2 6 2 3" xfId="38734" xr:uid="{B1539AE7-5637-4323-A17A-0A87202A9B60}"/>
    <cellStyle name="Normal 9 2 6 2 4" xfId="30286" xr:uid="{C744DC6C-3B0A-4997-B1B3-F6904683FE19}"/>
    <cellStyle name="Normal 9 2 6 2 5" xfId="21839" xr:uid="{57C9DDED-BB39-4DB6-AC69-D15B3B798601}"/>
    <cellStyle name="Normal 9 2 6 2 6" xfId="12542" xr:uid="{BBD7654A-98D5-4CAC-A696-F377D2CB7A03}"/>
    <cellStyle name="Normal 9 2 6 3" xfId="5288" xr:uid="{00000000-0005-0000-0000-00009B1F0000}"/>
    <cellStyle name="Normal 9 2 6 3 2" xfId="40806" xr:uid="{92B904FA-5894-4651-BC3C-F88E912931AF}"/>
    <cellStyle name="Normal 9 2 6 3 3" xfId="32359" xr:uid="{09A0AA1D-E9F7-4900-8F8C-9952A29EE83E}"/>
    <cellStyle name="Normal 9 2 6 3 4" xfId="23911" xr:uid="{07DA7EF1-9E5E-4104-BE4C-85BB35BDEFE1}"/>
    <cellStyle name="Normal 9 2 6 3 5" xfId="14614" xr:uid="{3371697C-F0CF-4FBB-920F-69253E2EA8ED}"/>
    <cellStyle name="Normal 9 2 6 4" xfId="9176" xr:uid="{F3933A08-5B20-47C9-B0FC-7B73F4B0BA7D}"/>
    <cellStyle name="Normal 9 2 6 4 2" xfId="36589" xr:uid="{51E7953C-4594-4301-8AC1-0FC37BB45F2F}"/>
    <cellStyle name="Normal 9 2 6 4 3" xfId="18492" xr:uid="{7DBBB1E8-9129-403A-A908-F27558F891C6}"/>
    <cellStyle name="Normal 9 2 6 5" xfId="28141" xr:uid="{2B446B04-DB53-4A39-93EE-DD0486486543}"/>
    <cellStyle name="Normal 9 2 6 6" xfId="19694" xr:uid="{0B030845-5B61-4939-8339-9F2F53ED1DBE}"/>
    <cellStyle name="Normal 9 2 6 7" xfId="10397" xr:uid="{1CCF7882-0319-45ED-83DA-6A2F8B67CEE9}"/>
    <cellStyle name="Normal 9 2 7" xfId="1394" xr:uid="{00000000-0005-0000-0000-00009C1F0000}"/>
    <cellStyle name="Normal 9 2 7 2" xfId="3624" xr:uid="{00000000-0005-0000-0000-00009D1F0000}"/>
    <cellStyle name="Normal 9 2 7 2 2" xfId="7846" xr:uid="{00000000-0005-0000-0000-00009E1F0000}"/>
    <cellStyle name="Normal 9 2 7 2 2 2" xfId="43364" xr:uid="{1267151C-3F87-49E4-9EA8-DDFCEA8FEDE6}"/>
    <cellStyle name="Normal 9 2 7 2 2 3" xfId="34917" xr:uid="{4340B07A-F0D4-4335-A7B8-C56F1FD3E42D}"/>
    <cellStyle name="Normal 9 2 7 2 2 4" xfId="26469" xr:uid="{5FBB6426-28D0-42FD-8E07-EA579C561ED5}"/>
    <cellStyle name="Normal 9 2 7 2 2 5" xfId="17172" xr:uid="{15DC3722-0A55-4B54-AB9D-E172E3C5BAA2}"/>
    <cellStyle name="Normal 9 2 7 2 3" xfId="39147" xr:uid="{3D7245D0-7067-4489-AC5C-62B1CF652537}"/>
    <cellStyle name="Normal 9 2 7 2 4" xfId="30699" xr:uid="{D3909F3C-4731-4D41-975D-4C259A859045}"/>
    <cellStyle name="Normal 9 2 7 2 5" xfId="22252" xr:uid="{56321134-AD30-4D83-AE79-90B6DB3A8D0E}"/>
    <cellStyle name="Normal 9 2 7 2 6" xfId="12955" xr:uid="{0C145C63-15C4-4148-BA3F-AA066C8FBF3D}"/>
    <cellStyle name="Normal 9 2 7 3" xfId="5701" xr:uid="{00000000-0005-0000-0000-00009F1F0000}"/>
    <cellStyle name="Normal 9 2 7 3 2" xfId="41219" xr:uid="{F3CFF4C6-DA98-4590-85EB-E4801F5D4F86}"/>
    <cellStyle name="Normal 9 2 7 3 3" xfId="32772" xr:uid="{7E2DD1E3-D8A5-4704-A25A-2CC17338E604}"/>
    <cellStyle name="Normal 9 2 7 3 4" xfId="24324" xr:uid="{FAA210FE-817B-41DD-A613-653A2FD68E8B}"/>
    <cellStyle name="Normal 9 2 7 3 5" xfId="15027" xr:uid="{3870CAED-D1B3-4844-92B3-90C2F4734E81}"/>
    <cellStyle name="Normal 9 2 7 4" xfId="37002" xr:uid="{B8374DB9-DC31-4329-938D-4D343DBABF1A}"/>
    <cellStyle name="Normal 9 2 7 5" xfId="28554" xr:uid="{5BEAAD6E-F11E-4AE2-9094-0C2DF4D825B9}"/>
    <cellStyle name="Normal 9 2 7 6" xfId="20107" xr:uid="{B1B512F3-061A-4CD4-B189-0285439E9F4E}"/>
    <cellStyle name="Normal 9 2 7 7" xfId="10810" xr:uid="{6B69693D-485B-4E7D-B71C-3FDB32A8B1FA}"/>
    <cellStyle name="Normal 9 2 8" xfId="1807" xr:uid="{00000000-0005-0000-0000-0000A01F0000}"/>
    <cellStyle name="Normal 9 2 8 2" xfId="4037" xr:uid="{00000000-0005-0000-0000-0000A11F0000}"/>
    <cellStyle name="Normal 9 2 8 2 2" xfId="8259" xr:uid="{00000000-0005-0000-0000-0000A21F0000}"/>
    <cellStyle name="Normal 9 2 8 2 2 2" xfId="43777" xr:uid="{4D87C9BC-5C7F-4B9E-85A8-EE2D8D214FCF}"/>
    <cellStyle name="Normal 9 2 8 2 2 3" xfId="35330" xr:uid="{445E43E2-09F8-4EB3-8E6F-74C9EDDF5E2F}"/>
    <cellStyle name="Normal 9 2 8 2 2 4" xfId="26882" xr:uid="{BC0D9788-A578-4520-8F68-DD3E31995B0F}"/>
    <cellStyle name="Normal 9 2 8 2 2 5" xfId="17585" xr:uid="{5CE6DF90-0E71-4A8F-91ED-FEA7AA405CA2}"/>
    <cellStyle name="Normal 9 2 8 2 3" xfId="39560" xr:uid="{51FACF66-7F05-4839-8643-AF45BBADDD36}"/>
    <cellStyle name="Normal 9 2 8 2 4" xfId="31112" xr:uid="{A62CD280-D4FB-4B50-91B4-E52ED760926B}"/>
    <cellStyle name="Normal 9 2 8 2 5" xfId="22665" xr:uid="{35292CC7-09A4-490B-A60D-666CB206B5A3}"/>
    <cellStyle name="Normal 9 2 8 2 6" xfId="13368" xr:uid="{1C52DA46-217C-426A-A951-FF4ED21F2C42}"/>
    <cellStyle name="Normal 9 2 8 3" xfId="6114" xr:uid="{00000000-0005-0000-0000-0000A31F0000}"/>
    <cellStyle name="Normal 9 2 8 3 2" xfId="41632" xr:uid="{25C80EF5-40B8-45AE-90DA-87A9AF85C921}"/>
    <cellStyle name="Normal 9 2 8 3 3" xfId="33185" xr:uid="{CE471E4D-B942-4892-A7E1-839D5B2144B7}"/>
    <cellStyle name="Normal 9 2 8 3 4" xfId="24737" xr:uid="{B9A5D4F5-C61D-4409-B7CB-1269480C3A4B}"/>
    <cellStyle name="Normal 9 2 8 3 5" xfId="15440" xr:uid="{7C51D244-A3EA-4937-84BB-7FB697987A37}"/>
    <cellStyle name="Normal 9 2 8 4" xfId="37415" xr:uid="{94F6E461-9908-4949-BD3B-888864D83EE2}"/>
    <cellStyle name="Normal 9 2 8 5" xfId="28967" xr:uid="{26C38F72-DD3A-4B0A-9325-EAA61F947119}"/>
    <cellStyle name="Normal 9 2 8 6" xfId="20520" xr:uid="{D22B03CE-BA27-4E6A-9319-44B1F75D7076}"/>
    <cellStyle name="Normal 9 2 8 7" xfId="11223" xr:uid="{3F8696CD-B789-4C98-816F-D343E923CF68}"/>
    <cellStyle name="Normal 9 2 9" xfId="2221" xr:uid="{00000000-0005-0000-0000-0000A41F0000}"/>
    <cellStyle name="Normal 9 2 9 2" xfId="4450" xr:uid="{00000000-0005-0000-0000-0000A51F0000}"/>
    <cellStyle name="Normal 9 2 9 2 2" xfId="8672" xr:uid="{00000000-0005-0000-0000-0000A61F0000}"/>
    <cellStyle name="Normal 9 2 9 2 2 2" xfId="44190" xr:uid="{8EF11C3D-F652-4AA7-97FF-11E8C2CE4FA5}"/>
    <cellStyle name="Normal 9 2 9 2 2 3" xfId="35743" xr:uid="{F42495E1-7B91-4A8A-B4EF-076E12FE0FFA}"/>
    <cellStyle name="Normal 9 2 9 2 2 4" xfId="27295" xr:uid="{8349D574-D2C2-4E78-9D36-EC127CE53D01}"/>
    <cellStyle name="Normal 9 2 9 2 2 5" xfId="17998" xr:uid="{2FC1FB4D-2614-443F-ACC5-580D88AD71A4}"/>
    <cellStyle name="Normal 9 2 9 2 3" xfId="39973" xr:uid="{C9D0E147-60E2-47BB-B6F6-0923F47DEF44}"/>
    <cellStyle name="Normal 9 2 9 2 4" xfId="31525" xr:uid="{44CF0B98-1A62-4DAB-BB3F-FCAEBA2AF1BE}"/>
    <cellStyle name="Normal 9 2 9 2 5" xfId="23078" xr:uid="{A03815D5-C8BC-4C07-BAB0-BA9AEA8B447A}"/>
    <cellStyle name="Normal 9 2 9 2 6" xfId="13781" xr:uid="{29DE6873-D0FB-4663-B637-4B5141081E5E}"/>
    <cellStyle name="Normal 9 2 9 3" xfId="6527" xr:uid="{00000000-0005-0000-0000-0000A71F0000}"/>
    <cellStyle name="Normal 9 2 9 3 2" xfId="42045" xr:uid="{60DC33E2-E22E-427A-B5E1-DAC15E4131B1}"/>
    <cellStyle name="Normal 9 2 9 3 3" xfId="33598" xr:uid="{4189B6C3-0B44-4EFC-9E85-4A10CFBB6880}"/>
    <cellStyle name="Normal 9 2 9 3 4" xfId="25150" xr:uid="{F1868B8E-B0D6-44D8-A6BF-D9B6FC063C0E}"/>
    <cellStyle name="Normal 9 2 9 3 5" xfId="15853" xr:uid="{478CE91F-B344-4184-AF14-C93661248555}"/>
    <cellStyle name="Normal 9 2 9 4" xfId="37828" xr:uid="{B93937DC-BD24-46E8-86F9-80A7CC1C818F}"/>
    <cellStyle name="Normal 9 2 9 5" xfId="29380" xr:uid="{599A63B6-50FB-49BA-A135-555ECC0800A7}"/>
    <cellStyle name="Normal 9 2 9 6" xfId="20933" xr:uid="{506E50EF-5BCE-47E5-91B3-6E56589BA2BA}"/>
    <cellStyle name="Normal 9 2 9 7" xfId="11636" xr:uid="{5AFD2C69-AF1C-41C9-A3A8-FBCB84CCCEFB}"/>
    <cellStyle name="Normal 9 3" xfId="527" xr:uid="{00000000-0005-0000-0000-0000A81F0000}"/>
    <cellStyle name="Normal 9 3 10" xfId="4891" xr:uid="{00000000-0005-0000-0000-0000A91F0000}"/>
    <cellStyle name="Normal 9 3 10 2" xfId="40409" xr:uid="{8A85D66B-580C-47A8-B712-FB5874B2C35E}"/>
    <cellStyle name="Normal 9 3 10 3" xfId="31962" xr:uid="{EAA62DE3-5CB9-4E79-AD13-ADD948BCBFB1}"/>
    <cellStyle name="Normal 9 3 10 4" xfId="23514" xr:uid="{1680606D-CDE9-495C-B8C7-C8DC2A88BD6C}"/>
    <cellStyle name="Normal 9 3 10 5" xfId="14217" xr:uid="{74E1BC1A-64CB-47A9-8E7B-1B2AB6285610}"/>
    <cellStyle name="Normal 9 3 11" xfId="8777" xr:uid="{1F3D7E21-FC22-4F0C-9371-3D8250746BB7}"/>
    <cellStyle name="Normal 9 3 11 2" xfId="36192" xr:uid="{337A7C91-0A5A-498A-B2B2-F033FB6B5071}"/>
    <cellStyle name="Normal 9 3 11 3" xfId="18100" xr:uid="{478776CF-BB28-4964-957B-63827DA91304}"/>
    <cellStyle name="Normal 9 3 12" xfId="27744" xr:uid="{03C7922A-003C-4285-891C-69BAE30C1F1A}"/>
    <cellStyle name="Normal 9 3 13" xfId="19297" xr:uid="{04DC7DDA-D215-42EE-B930-1CB56C0CFD13}"/>
    <cellStyle name="Normal 9 3 14" xfId="10000" xr:uid="{F70E20DA-903C-4B46-AF02-322994194423}"/>
    <cellStyle name="Normal 9 3 2" xfId="528" xr:uid="{00000000-0005-0000-0000-0000AA1F0000}"/>
    <cellStyle name="Normal 9 3 2 10" xfId="8840" xr:uid="{94797BE2-1721-4871-A768-79D4D45F48BB}"/>
    <cellStyle name="Normal 9 3 2 10 2" xfId="36193" xr:uid="{642EC05E-0E88-4F5E-B6D7-B0BA20FF3A71}"/>
    <cellStyle name="Normal 9 3 2 10 3" xfId="18163" xr:uid="{342A5234-B7C0-485D-AA34-12BCFCC3CD5B}"/>
    <cellStyle name="Normal 9 3 2 11" xfId="27745" xr:uid="{9DE7F8BA-9660-4E5E-BB62-3930692AE6A4}"/>
    <cellStyle name="Normal 9 3 2 12" xfId="19298" xr:uid="{3AF4B8F7-0A01-4755-9A3B-360192889A41}"/>
    <cellStyle name="Normal 9 3 2 13" xfId="10001" xr:uid="{77094540-E6F9-42EA-92A2-46FD2D8A8994}"/>
    <cellStyle name="Normal 9 3 2 2" xfId="529" xr:uid="{00000000-0005-0000-0000-0000AB1F0000}"/>
    <cellStyle name="Normal 9 3 2 2 10" xfId="27746" xr:uid="{F49CDED2-167E-4233-9193-0E15649F7A48}"/>
    <cellStyle name="Normal 9 3 2 2 11" xfId="19299" xr:uid="{1F26978C-B31A-40DB-82D8-A3495601D301}"/>
    <cellStyle name="Normal 9 3 2 2 12" xfId="10002" xr:uid="{BB504DD1-7596-4B1B-A4D7-6BFEF4C21B88}"/>
    <cellStyle name="Normal 9 3 2 2 2" xfId="530" xr:uid="{00000000-0005-0000-0000-0000AC1F0000}"/>
    <cellStyle name="Normal 9 3 2 2 2 10" xfId="19300" xr:uid="{300EAE4B-929F-4971-9C5D-27EEE472CC70}"/>
    <cellStyle name="Normal 9 3 2 2 2 11" xfId="10003" xr:uid="{2D8A64DB-C8DF-4CDB-9404-5B01062D2C5E}"/>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42970" xr:uid="{EB054792-539E-4107-8580-F5D7057636F7}"/>
    <cellStyle name="Normal 9 3 2 2 2 2 2 2 3" xfId="34523" xr:uid="{D2CDA6D3-8327-4D49-B73D-959285B1EF7D}"/>
    <cellStyle name="Normal 9 3 2 2 2 2 2 2 4" xfId="26075" xr:uid="{853F0AC8-A399-44FE-9DCE-EF4DF547E03F}"/>
    <cellStyle name="Normal 9 3 2 2 2 2 2 2 5" xfId="16778" xr:uid="{3A5A7503-F308-4CE6-94C1-0E3C204E0FC7}"/>
    <cellStyle name="Normal 9 3 2 2 2 2 2 3" xfId="38753" xr:uid="{D95B4993-F58D-4C7A-B11B-86C58DBD1BF9}"/>
    <cellStyle name="Normal 9 3 2 2 2 2 2 4" xfId="30305" xr:uid="{0BDE03D4-C7A6-47BB-93F9-BBB637F23B86}"/>
    <cellStyle name="Normal 9 3 2 2 2 2 2 5" xfId="21858" xr:uid="{C30B12A1-A1C3-4A61-BB2F-B0EEAB87015B}"/>
    <cellStyle name="Normal 9 3 2 2 2 2 2 6" xfId="12561" xr:uid="{E87F09E1-763F-4114-AF82-46AD84641026}"/>
    <cellStyle name="Normal 9 3 2 2 2 2 3" xfId="5307" xr:uid="{00000000-0005-0000-0000-0000B01F0000}"/>
    <cellStyle name="Normal 9 3 2 2 2 2 3 2" xfId="40825" xr:uid="{2960C30E-87BD-41CC-B1DE-2DF2732914FD}"/>
    <cellStyle name="Normal 9 3 2 2 2 2 3 3" xfId="32378" xr:uid="{EF54BD2C-7E7C-4330-BC46-7EAF230ADD6E}"/>
    <cellStyle name="Normal 9 3 2 2 2 2 3 4" xfId="23930" xr:uid="{8CE32FD7-4F2E-45B3-B460-ECB469FCE5A6}"/>
    <cellStyle name="Normal 9 3 2 2 2 2 3 5" xfId="14633" xr:uid="{1B906166-6337-405F-BAF9-139BBBD812C2}"/>
    <cellStyle name="Normal 9 3 2 2 2 2 4" xfId="9575" xr:uid="{DA05DE06-1987-4B8E-8439-C692853FF296}"/>
    <cellStyle name="Normal 9 3 2 2 2 2 4 2" xfId="36608" xr:uid="{BE135BD9-D8B2-43E8-B717-03B68B23988D}"/>
    <cellStyle name="Normal 9 3 2 2 2 2 4 3" xfId="18888" xr:uid="{54FB8659-6692-4183-8938-DB851053F709}"/>
    <cellStyle name="Normal 9 3 2 2 2 2 5" xfId="28160" xr:uid="{5C232A56-AF87-4677-BBFD-926DD70937BD}"/>
    <cellStyle name="Normal 9 3 2 2 2 2 6" xfId="19713" xr:uid="{81E50B24-8379-4CE2-8983-A33796A00D1E}"/>
    <cellStyle name="Normal 9 3 2 2 2 2 7" xfId="10416" xr:uid="{D54201B7-E0CF-4A5F-AB73-ADA093563EB4}"/>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43383" xr:uid="{837086B3-49E5-41F8-8C50-EAF923FF0752}"/>
    <cellStyle name="Normal 9 3 2 2 2 3 2 2 3" xfId="34936" xr:uid="{2962F046-A6C7-41EF-9D47-8A332E6B3A98}"/>
    <cellStyle name="Normal 9 3 2 2 2 3 2 2 4" xfId="26488" xr:uid="{7737DF5A-07C8-420E-AF58-63F18F2DF244}"/>
    <cellStyle name="Normal 9 3 2 2 2 3 2 2 5" xfId="17191" xr:uid="{61C11677-9274-47BC-93E9-6A89CDBCEFE7}"/>
    <cellStyle name="Normal 9 3 2 2 2 3 2 3" xfId="39166" xr:uid="{54396472-9699-477D-A52C-A834E62D8DE7}"/>
    <cellStyle name="Normal 9 3 2 2 2 3 2 4" xfId="30718" xr:uid="{BED07A7C-B93E-424D-A3FE-0A55BC61D38F}"/>
    <cellStyle name="Normal 9 3 2 2 2 3 2 5" xfId="22271" xr:uid="{A2884646-8724-4865-8FDA-4347A59A906E}"/>
    <cellStyle name="Normal 9 3 2 2 2 3 2 6" xfId="12974" xr:uid="{0A174CCF-9551-48DC-8A44-92101B8AA053}"/>
    <cellStyle name="Normal 9 3 2 2 2 3 3" xfId="5720" xr:uid="{00000000-0005-0000-0000-0000B41F0000}"/>
    <cellStyle name="Normal 9 3 2 2 2 3 3 2" xfId="41238" xr:uid="{4497AFD9-D79A-4FFA-A150-9B0F8C686467}"/>
    <cellStyle name="Normal 9 3 2 2 2 3 3 3" xfId="32791" xr:uid="{935577E1-4C11-4B35-8560-1BEA90BCC7CA}"/>
    <cellStyle name="Normal 9 3 2 2 2 3 3 4" xfId="24343" xr:uid="{F4989CC8-4F13-40A9-B162-7E69DCD4B123}"/>
    <cellStyle name="Normal 9 3 2 2 2 3 3 5" xfId="15046" xr:uid="{33B2E416-C3FB-4332-830F-627A2871A00E}"/>
    <cellStyle name="Normal 9 3 2 2 2 3 4" xfId="37021" xr:uid="{E58454AA-929B-4D8F-840E-7632E6A6980B}"/>
    <cellStyle name="Normal 9 3 2 2 2 3 5" xfId="28573" xr:uid="{E2BB3B39-B68E-41B4-A226-C6DC95407916}"/>
    <cellStyle name="Normal 9 3 2 2 2 3 6" xfId="20126" xr:uid="{C049D890-BFB1-42E9-BDF5-6BC219EFD702}"/>
    <cellStyle name="Normal 9 3 2 2 2 3 7" xfId="10829" xr:uid="{FFDFABFB-DB1B-4E33-986E-D9CBF2716235}"/>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43796" xr:uid="{1B18E87A-F395-4048-8A96-CED8985031A0}"/>
    <cellStyle name="Normal 9 3 2 2 2 4 2 2 3" xfId="35349" xr:uid="{99358C01-D03D-4CA4-883A-221D083C5B20}"/>
    <cellStyle name="Normal 9 3 2 2 2 4 2 2 4" xfId="26901" xr:uid="{65451A05-ECED-426B-90E8-6657BA871367}"/>
    <cellStyle name="Normal 9 3 2 2 2 4 2 2 5" xfId="17604" xr:uid="{5C5E2857-0ED4-4AC8-A9F9-5EB3D6B8E2C4}"/>
    <cellStyle name="Normal 9 3 2 2 2 4 2 3" xfId="39579" xr:uid="{BF9151E6-00DD-4EB5-A7C6-69D091ADB2FC}"/>
    <cellStyle name="Normal 9 3 2 2 2 4 2 4" xfId="31131" xr:uid="{47BFABF3-F6B5-4C1C-ABA2-DA3DDA54CD91}"/>
    <cellStyle name="Normal 9 3 2 2 2 4 2 5" xfId="22684" xr:uid="{240117DF-8A85-4BA5-8A1D-96A87E85E745}"/>
    <cellStyle name="Normal 9 3 2 2 2 4 2 6" xfId="13387" xr:uid="{2C6C1579-D29A-4805-9ACF-AE4EE39D31B9}"/>
    <cellStyle name="Normal 9 3 2 2 2 4 3" xfId="6133" xr:uid="{00000000-0005-0000-0000-0000B81F0000}"/>
    <cellStyle name="Normal 9 3 2 2 2 4 3 2" xfId="41651" xr:uid="{456DCAE4-B15F-4E96-8721-98AD68946034}"/>
    <cellStyle name="Normal 9 3 2 2 2 4 3 3" xfId="33204" xr:uid="{75A2348A-5EBD-49BA-A660-5AA10143CEB5}"/>
    <cellStyle name="Normal 9 3 2 2 2 4 3 4" xfId="24756" xr:uid="{292362E9-B478-4004-8B1C-23EE0124C672}"/>
    <cellStyle name="Normal 9 3 2 2 2 4 3 5" xfId="15459" xr:uid="{88CF7140-F6CC-4887-A5E5-3492FE8B86DF}"/>
    <cellStyle name="Normal 9 3 2 2 2 4 4" xfId="37434" xr:uid="{D8524BBD-29CE-45EE-8E56-38196917AF1D}"/>
    <cellStyle name="Normal 9 3 2 2 2 4 5" xfId="28986" xr:uid="{68EA1A28-8E16-46D0-BD9C-4507D375AA2F}"/>
    <cellStyle name="Normal 9 3 2 2 2 4 6" xfId="20539" xr:uid="{39362D89-CBC6-46AF-B896-BF27A858271A}"/>
    <cellStyle name="Normal 9 3 2 2 2 4 7" xfId="11242" xr:uid="{007A2AC2-D47B-44CB-876B-70D52A3A3B78}"/>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44209" xr:uid="{076CFAE0-A0EC-4A54-A17E-237BF099F0E6}"/>
    <cellStyle name="Normal 9 3 2 2 2 5 2 2 3" xfId="35762" xr:uid="{22199006-835B-4477-AA06-7FD4904990B6}"/>
    <cellStyle name="Normal 9 3 2 2 2 5 2 2 4" xfId="27314" xr:uid="{C3C84D5C-319A-4398-8180-AD68C91613C2}"/>
    <cellStyle name="Normal 9 3 2 2 2 5 2 2 5" xfId="18017" xr:uid="{F1413BBD-E237-4A20-B935-341A8471F8C5}"/>
    <cellStyle name="Normal 9 3 2 2 2 5 2 3" xfId="39992" xr:uid="{FEB21A46-1BE4-4319-946B-EF6464FD493B}"/>
    <cellStyle name="Normal 9 3 2 2 2 5 2 4" xfId="31544" xr:uid="{D1817A37-5A4D-4970-B2FF-530453249F59}"/>
    <cellStyle name="Normal 9 3 2 2 2 5 2 5" xfId="23097" xr:uid="{F7039712-B55B-4DFB-8E36-87F87BD4CA18}"/>
    <cellStyle name="Normal 9 3 2 2 2 5 2 6" xfId="13800" xr:uid="{6B0159A8-F14C-43CA-AFF8-E77E1FBBFAD5}"/>
    <cellStyle name="Normal 9 3 2 2 2 5 3" xfId="6546" xr:uid="{00000000-0005-0000-0000-0000BC1F0000}"/>
    <cellStyle name="Normal 9 3 2 2 2 5 3 2" xfId="42064" xr:uid="{D3091A4F-71D5-403E-8C04-83D1644079B7}"/>
    <cellStyle name="Normal 9 3 2 2 2 5 3 3" xfId="33617" xr:uid="{DE4ADADF-7C1E-4052-B1F8-78682F3E3BDE}"/>
    <cellStyle name="Normal 9 3 2 2 2 5 3 4" xfId="25169" xr:uid="{1A297DD1-E78C-45D6-9703-1FF2CFD8A8EF}"/>
    <cellStyle name="Normal 9 3 2 2 2 5 3 5" xfId="15872" xr:uid="{1B6DA342-4D1B-4572-8473-04C6E96D10BF}"/>
    <cellStyle name="Normal 9 3 2 2 2 5 4" xfId="37847" xr:uid="{E2827BE5-9F28-454A-84E8-5AAA9789E17F}"/>
    <cellStyle name="Normal 9 3 2 2 2 5 5" xfId="29399" xr:uid="{3F24C44A-E6B2-4F79-8CF0-207215EFBE43}"/>
    <cellStyle name="Normal 9 3 2 2 2 5 6" xfId="20952" xr:uid="{3F576D90-AD5E-42D1-B552-9203FBD1B0C8}"/>
    <cellStyle name="Normal 9 3 2 2 2 5 7" xfId="11655" xr:uid="{FF28E718-036A-4F43-A877-2E10E7C2B0A9}"/>
    <cellStyle name="Normal 9 3 2 2 2 6" xfId="2676" xr:uid="{00000000-0005-0000-0000-0000BD1F0000}"/>
    <cellStyle name="Normal 9 3 2 2 2 6 2" xfId="6959" xr:uid="{00000000-0005-0000-0000-0000BE1F0000}"/>
    <cellStyle name="Normal 9 3 2 2 2 6 2 2" xfId="42477" xr:uid="{842B3C30-D379-4758-BC7C-D59E692E8CA9}"/>
    <cellStyle name="Normal 9 3 2 2 2 6 2 3" xfId="34030" xr:uid="{577C2226-EF11-4C39-81F1-ECCAC2A952B1}"/>
    <cellStyle name="Normal 9 3 2 2 2 6 2 4" xfId="25582" xr:uid="{3E109448-F5DC-4838-BCC0-C841A8E65B9C}"/>
    <cellStyle name="Normal 9 3 2 2 2 6 2 5" xfId="16285" xr:uid="{3AF8CE81-ABE6-4E21-8947-82581CF3C076}"/>
    <cellStyle name="Normal 9 3 2 2 2 6 3" xfId="38260" xr:uid="{9C48FB90-8A95-44E3-9FD8-D5084D67015F}"/>
    <cellStyle name="Normal 9 3 2 2 2 6 4" xfId="29812" xr:uid="{50434842-F6E0-4281-9CA4-43B88CE43E6B}"/>
    <cellStyle name="Normal 9 3 2 2 2 6 5" xfId="21365" xr:uid="{868CA6AA-5D5D-4C35-B510-26533A023755}"/>
    <cellStyle name="Normal 9 3 2 2 2 6 6" xfId="12068" xr:uid="{A9AAC5F7-F728-4C23-8AED-AB183168221C}"/>
    <cellStyle name="Normal 9 3 2 2 2 7" xfId="4894" xr:uid="{00000000-0005-0000-0000-0000BF1F0000}"/>
    <cellStyle name="Normal 9 3 2 2 2 7 2" xfId="40412" xr:uid="{E100C374-6755-4BEF-902E-E521CAB301F4}"/>
    <cellStyle name="Normal 9 3 2 2 2 7 3" xfId="31965" xr:uid="{3B7AD88F-1AEB-4F9F-B81F-F54AB94BF726}"/>
    <cellStyle name="Normal 9 3 2 2 2 7 4" xfId="23517" xr:uid="{64DCD6D6-2C3F-4636-9D64-9D02DBB4787F}"/>
    <cellStyle name="Normal 9 3 2 2 2 7 5" xfId="14220" xr:uid="{9F605014-E555-4484-84BE-71CC67236020}"/>
    <cellStyle name="Normal 9 3 2 2 2 8" xfId="9150" xr:uid="{F54F74BE-A583-4C94-A198-8E0D27AD7F4F}"/>
    <cellStyle name="Normal 9 3 2 2 2 8 2" xfId="36195" xr:uid="{7BCF42F2-C67A-48F8-A319-226135AB370C}"/>
    <cellStyle name="Normal 9 3 2 2 2 8 3" xfId="18473" xr:uid="{DBF5B660-A9D3-4FE9-9BC0-C4F472559B41}"/>
    <cellStyle name="Normal 9 3 2 2 2 9" xfId="27747" xr:uid="{986E1890-F4C5-419F-B1F4-7AC0096A046C}"/>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42969" xr:uid="{0674F1AD-5064-4C3C-ABF2-62E426019BC8}"/>
    <cellStyle name="Normal 9 3 2 2 3 2 2 3" xfId="34522" xr:uid="{27805BBE-C02F-4BB9-8DD1-C82FA4A4403A}"/>
    <cellStyle name="Normal 9 3 2 2 3 2 2 4" xfId="26074" xr:uid="{6FAF4F1E-FBA8-4960-A75C-B9E1EFF7225F}"/>
    <cellStyle name="Normal 9 3 2 2 3 2 2 5" xfId="16777" xr:uid="{665FEB61-BE0E-4E9B-AB0D-00B27108CE22}"/>
    <cellStyle name="Normal 9 3 2 2 3 2 3" xfId="38752" xr:uid="{4B527E64-4BE9-4BF0-98CA-60CC433CBD76}"/>
    <cellStyle name="Normal 9 3 2 2 3 2 4" xfId="30304" xr:uid="{6686718A-00D0-427D-A243-8B986AEA619D}"/>
    <cellStyle name="Normal 9 3 2 2 3 2 5" xfId="21857" xr:uid="{0FD3E7A8-E462-4CB7-81B5-7F123F6BFCBF}"/>
    <cellStyle name="Normal 9 3 2 2 3 2 6" xfId="12560" xr:uid="{C276132A-7B4A-40D0-A272-AA1120D6129A}"/>
    <cellStyle name="Normal 9 3 2 2 3 3" xfId="5306" xr:uid="{00000000-0005-0000-0000-0000C31F0000}"/>
    <cellStyle name="Normal 9 3 2 2 3 3 2" xfId="40824" xr:uid="{07050C2F-9B6D-4655-A6D4-9FE0B3C3B37E}"/>
    <cellStyle name="Normal 9 3 2 2 3 3 3" xfId="32377" xr:uid="{5A13811F-3460-4265-B57D-B47DECD4295C}"/>
    <cellStyle name="Normal 9 3 2 2 3 3 4" xfId="23929" xr:uid="{32257AC7-0E37-4119-8BC3-F6B43D03EF72}"/>
    <cellStyle name="Normal 9 3 2 2 3 3 5" xfId="14632" xr:uid="{70CCBF75-743C-4100-ABF2-6D52D542B4C1}"/>
    <cellStyle name="Normal 9 3 2 2 3 4" xfId="9368" xr:uid="{B3189122-1774-442D-BD5B-8DA329618536}"/>
    <cellStyle name="Normal 9 3 2 2 3 4 2" xfId="36607" xr:uid="{A3F25E1C-189A-41E9-8013-FE170A909514}"/>
    <cellStyle name="Normal 9 3 2 2 3 4 3" xfId="18681" xr:uid="{305ADB22-8CD4-4A96-8619-BCC70F18656C}"/>
    <cellStyle name="Normal 9 3 2 2 3 5" xfId="28159" xr:uid="{712C8118-EF1A-400D-B900-015CBFDA61E4}"/>
    <cellStyle name="Normal 9 3 2 2 3 6" xfId="19712" xr:uid="{F7356C8E-D054-46B0-9476-F0D12F956902}"/>
    <cellStyle name="Normal 9 3 2 2 3 7" xfId="10415" xr:uid="{17D1F434-FA10-46A4-8845-7E1AF5B70E83}"/>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43382" xr:uid="{DE0FD608-4367-4C38-9AFD-85883AEF3A13}"/>
    <cellStyle name="Normal 9 3 2 2 4 2 2 3" xfId="34935" xr:uid="{9DAC3560-31FB-4D89-B611-5137F3E4CF95}"/>
    <cellStyle name="Normal 9 3 2 2 4 2 2 4" xfId="26487" xr:uid="{14FC5ECC-EA5D-4EF6-A1F3-8B88A1D792E1}"/>
    <cellStyle name="Normal 9 3 2 2 4 2 2 5" xfId="17190" xr:uid="{72308543-3EBF-4D24-8364-6891E8637610}"/>
    <cellStyle name="Normal 9 3 2 2 4 2 3" xfId="39165" xr:uid="{014FFA4D-EA4B-469B-AD64-10921788BD2E}"/>
    <cellStyle name="Normal 9 3 2 2 4 2 4" xfId="30717" xr:uid="{AD657026-AFD8-4D36-B365-FEAC2727AAAC}"/>
    <cellStyle name="Normal 9 3 2 2 4 2 5" xfId="22270" xr:uid="{6F9F3B0B-73D9-491B-8EF3-7A54C3B19083}"/>
    <cellStyle name="Normal 9 3 2 2 4 2 6" xfId="12973" xr:uid="{CD4727FB-B874-46D0-8D9C-8627145907F6}"/>
    <cellStyle name="Normal 9 3 2 2 4 3" xfId="5719" xr:uid="{00000000-0005-0000-0000-0000C71F0000}"/>
    <cellStyle name="Normal 9 3 2 2 4 3 2" xfId="41237" xr:uid="{89A0E85F-13AF-40CF-AA7E-93BC0B952004}"/>
    <cellStyle name="Normal 9 3 2 2 4 3 3" xfId="32790" xr:uid="{56AA0542-0C55-4BB1-8DE3-8AF6625A4263}"/>
    <cellStyle name="Normal 9 3 2 2 4 3 4" xfId="24342" xr:uid="{DFF0ED67-C8E9-430E-9172-8621797A4CE2}"/>
    <cellStyle name="Normal 9 3 2 2 4 3 5" xfId="15045" xr:uid="{9E85CFE6-594A-42AC-A7AF-13602768BC9A}"/>
    <cellStyle name="Normal 9 3 2 2 4 4" xfId="37020" xr:uid="{1CAE2ECE-026C-4010-9839-9CEA72874EA4}"/>
    <cellStyle name="Normal 9 3 2 2 4 5" xfId="28572" xr:uid="{813D009B-AC65-4862-BDCE-E3C7B6B54039}"/>
    <cellStyle name="Normal 9 3 2 2 4 6" xfId="20125" xr:uid="{E343BE8E-D298-4C1B-9FEF-C12B4448448C}"/>
    <cellStyle name="Normal 9 3 2 2 4 7" xfId="10828" xr:uid="{D4D90525-F281-4B35-B9B8-1FB74D5CAF1B}"/>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43795" xr:uid="{D0D6C20C-3E7F-4535-A14E-95CB79A80703}"/>
    <cellStyle name="Normal 9 3 2 2 5 2 2 3" xfId="35348" xr:uid="{53D853E7-7257-47F9-A93D-E4F25688DB0B}"/>
    <cellStyle name="Normal 9 3 2 2 5 2 2 4" xfId="26900" xr:uid="{314F75CB-EA57-4C84-9358-E11BD8850FD7}"/>
    <cellStyle name="Normal 9 3 2 2 5 2 2 5" xfId="17603" xr:uid="{CE1CB0AB-CF74-4D79-A069-1F00A4A09896}"/>
    <cellStyle name="Normal 9 3 2 2 5 2 3" xfId="39578" xr:uid="{752CC9E1-67E1-4E71-9A6B-0B71AAD41DD9}"/>
    <cellStyle name="Normal 9 3 2 2 5 2 4" xfId="31130" xr:uid="{72FA8E7E-7ABF-4F21-B739-F1B5AA1B867A}"/>
    <cellStyle name="Normal 9 3 2 2 5 2 5" xfId="22683" xr:uid="{A62CE052-8383-43FC-A3D8-2593D827F115}"/>
    <cellStyle name="Normal 9 3 2 2 5 2 6" xfId="13386" xr:uid="{E87C0752-223B-46F4-A9A6-EE346AFD48D6}"/>
    <cellStyle name="Normal 9 3 2 2 5 3" xfId="6132" xr:uid="{00000000-0005-0000-0000-0000CB1F0000}"/>
    <cellStyle name="Normal 9 3 2 2 5 3 2" xfId="41650" xr:uid="{16AB7478-E091-4DF9-AC1B-CBA78A1657B0}"/>
    <cellStyle name="Normal 9 3 2 2 5 3 3" xfId="33203" xr:uid="{E702AE9F-8B96-4359-AC0E-AF6CCAE6E3BA}"/>
    <cellStyle name="Normal 9 3 2 2 5 3 4" xfId="24755" xr:uid="{67EFB013-C69A-4E88-8046-432160718908}"/>
    <cellStyle name="Normal 9 3 2 2 5 3 5" xfId="15458" xr:uid="{249BD6E0-0325-455E-90AF-8B0CB71BF712}"/>
    <cellStyle name="Normal 9 3 2 2 5 4" xfId="37433" xr:uid="{E3433C0B-F40E-4A6C-9EE6-C10CFF629C05}"/>
    <cellStyle name="Normal 9 3 2 2 5 5" xfId="28985" xr:uid="{65646A5E-EEDB-4200-9D5F-A2F8B93EFE45}"/>
    <cellStyle name="Normal 9 3 2 2 5 6" xfId="20538" xr:uid="{83AFE50C-91F6-43E9-BE0E-2A4551670318}"/>
    <cellStyle name="Normal 9 3 2 2 5 7" xfId="11241" xr:uid="{DED704CB-2242-45E9-9122-72137B8CB751}"/>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44208" xr:uid="{02AB27C2-88AE-4396-8357-D8E3A680426A}"/>
    <cellStyle name="Normal 9 3 2 2 6 2 2 3" xfId="35761" xr:uid="{7326A1D9-14DB-4C47-82A2-A890B28533DE}"/>
    <cellStyle name="Normal 9 3 2 2 6 2 2 4" xfId="27313" xr:uid="{21F5F2BB-AFD9-4213-851F-C52DA286D1B7}"/>
    <cellStyle name="Normal 9 3 2 2 6 2 2 5" xfId="18016" xr:uid="{83179962-E7B1-46D0-8053-8EDC2A3A91B0}"/>
    <cellStyle name="Normal 9 3 2 2 6 2 3" xfId="39991" xr:uid="{89F4822E-46DB-459A-93B0-49116705F492}"/>
    <cellStyle name="Normal 9 3 2 2 6 2 4" xfId="31543" xr:uid="{6042C0DE-1998-4972-A94E-F918B90198F4}"/>
    <cellStyle name="Normal 9 3 2 2 6 2 5" xfId="23096" xr:uid="{4F0EDAEF-9C72-4800-8668-5E9093AFFD73}"/>
    <cellStyle name="Normal 9 3 2 2 6 2 6" xfId="13799" xr:uid="{CB7962BF-4DF8-493B-A49C-490B58BE7AE7}"/>
    <cellStyle name="Normal 9 3 2 2 6 3" xfId="6545" xr:uid="{00000000-0005-0000-0000-0000CF1F0000}"/>
    <cellStyle name="Normal 9 3 2 2 6 3 2" xfId="42063" xr:uid="{8047D56D-2C6B-4A7B-BA34-01DD2DEC5CB9}"/>
    <cellStyle name="Normal 9 3 2 2 6 3 3" xfId="33616" xr:uid="{A828C1C2-9231-4557-8761-2C3D3D65AE47}"/>
    <cellStyle name="Normal 9 3 2 2 6 3 4" xfId="25168" xr:uid="{DEC9E747-D0FA-452B-96A1-D276C3E943FB}"/>
    <cellStyle name="Normal 9 3 2 2 6 3 5" xfId="15871" xr:uid="{C6AE48F9-5C31-4F78-AEB4-932959000F94}"/>
    <cellStyle name="Normal 9 3 2 2 6 4" xfId="37846" xr:uid="{8B4E35F7-8A07-453A-A2C9-A7B4E3740EF0}"/>
    <cellStyle name="Normal 9 3 2 2 6 5" xfId="29398" xr:uid="{6F708C70-D212-4657-ADEF-FEC0FAEAA9C1}"/>
    <cellStyle name="Normal 9 3 2 2 6 6" xfId="20951" xr:uid="{4CF60C36-770C-4C6A-8262-9F00916F8DFC}"/>
    <cellStyle name="Normal 9 3 2 2 6 7" xfId="11654" xr:uid="{0AF2C425-D557-4A2C-86E8-A43ABA8DC790}"/>
    <cellStyle name="Normal 9 3 2 2 7" xfId="2675" xr:uid="{00000000-0005-0000-0000-0000D01F0000}"/>
    <cellStyle name="Normal 9 3 2 2 7 2" xfId="6958" xr:uid="{00000000-0005-0000-0000-0000D11F0000}"/>
    <cellStyle name="Normal 9 3 2 2 7 2 2" xfId="42476" xr:uid="{8997C211-9F67-4D24-BA8A-6D823E453789}"/>
    <cellStyle name="Normal 9 3 2 2 7 2 3" xfId="34029" xr:uid="{73DF0A73-9A85-40DA-ACF7-32610C0A4B83}"/>
    <cellStyle name="Normal 9 3 2 2 7 2 4" xfId="25581" xr:uid="{93C50429-8E72-4719-89E2-3FD7F7906139}"/>
    <cellStyle name="Normal 9 3 2 2 7 2 5" xfId="16284" xr:uid="{0B8D9E58-6221-49F5-8A0B-DA05AFE83C4D}"/>
    <cellStyle name="Normal 9 3 2 2 7 3" xfId="38259" xr:uid="{69DE3735-6073-4EA1-B36B-56EDBED3BA06}"/>
    <cellStyle name="Normal 9 3 2 2 7 4" xfId="29811" xr:uid="{10FCA19A-1B6B-4A02-97AB-E39046F956AC}"/>
    <cellStyle name="Normal 9 3 2 2 7 5" xfId="21364" xr:uid="{8EB4BF85-8606-491E-825A-F6B90C374DB2}"/>
    <cellStyle name="Normal 9 3 2 2 7 6" xfId="12067" xr:uid="{4ECAEE31-CEEF-42C6-928A-1DEF38AA4A67}"/>
    <cellStyle name="Normal 9 3 2 2 8" xfId="4893" xr:uid="{00000000-0005-0000-0000-0000D21F0000}"/>
    <cellStyle name="Normal 9 3 2 2 8 2" xfId="40411" xr:uid="{1E5F3DC5-227D-479E-86D5-C9F3ED39772B}"/>
    <cellStyle name="Normal 9 3 2 2 8 3" xfId="31964" xr:uid="{AA11D20B-21AF-4A45-944D-AA8E8F6DF775}"/>
    <cellStyle name="Normal 9 3 2 2 8 4" xfId="23516" xr:uid="{F6548353-E88B-4969-849F-0355C214C6FF}"/>
    <cellStyle name="Normal 9 3 2 2 8 5" xfId="14219" xr:uid="{F7C11B0A-28D2-4562-A9C5-353771D92D3D}"/>
    <cellStyle name="Normal 9 3 2 2 9" xfId="8943" xr:uid="{1E59706A-169E-45B8-A6E4-1A0514B9DDBD}"/>
    <cellStyle name="Normal 9 3 2 2 9 2" xfId="36194" xr:uid="{D8701FB5-2C18-498A-B744-E818F6EB02A4}"/>
    <cellStyle name="Normal 9 3 2 2 9 3" xfId="18266" xr:uid="{EA0DFBFA-53CD-45C4-BD6C-E29D15D0FE53}"/>
    <cellStyle name="Normal 9 3 2 3" xfId="531" xr:uid="{00000000-0005-0000-0000-0000D31F0000}"/>
    <cellStyle name="Normal 9 3 2 3 10" xfId="19301" xr:uid="{8800C301-565D-4FA1-8E2D-1B8A0D96C5E3}"/>
    <cellStyle name="Normal 9 3 2 3 11" xfId="10004" xr:uid="{7B9D32AD-4CD3-48EA-9932-0AC40E9D7DEA}"/>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42971" xr:uid="{64902F31-D289-4537-B3A7-51D62C6C89CA}"/>
    <cellStyle name="Normal 9 3 2 3 2 2 2 3" xfId="34524" xr:uid="{044193E6-FFF4-46A7-9090-5D743FA15A8D}"/>
    <cellStyle name="Normal 9 3 2 3 2 2 2 4" xfId="26076" xr:uid="{BF76F6B1-717F-4C16-9EA1-29D66DE33A40}"/>
    <cellStyle name="Normal 9 3 2 3 2 2 2 5" xfId="16779" xr:uid="{7ACA444B-7159-47AA-B39C-F3A2F1B6EDDA}"/>
    <cellStyle name="Normal 9 3 2 3 2 2 3" xfId="38754" xr:uid="{5F66508F-EB17-4855-8703-FEDAD60D95F0}"/>
    <cellStyle name="Normal 9 3 2 3 2 2 4" xfId="30306" xr:uid="{75229D8B-59D7-460E-A700-6DAC1D564826}"/>
    <cellStyle name="Normal 9 3 2 3 2 2 5" xfId="21859" xr:uid="{6CE90249-1079-45AD-8C67-203ADE11DAC7}"/>
    <cellStyle name="Normal 9 3 2 3 2 2 6" xfId="12562" xr:uid="{F822851A-40C6-4795-A6B2-55754A2101BA}"/>
    <cellStyle name="Normal 9 3 2 3 2 3" xfId="5308" xr:uid="{00000000-0005-0000-0000-0000D71F0000}"/>
    <cellStyle name="Normal 9 3 2 3 2 3 2" xfId="40826" xr:uid="{0D90F54E-9B94-48C9-8395-021A92EDA75A}"/>
    <cellStyle name="Normal 9 3 2 3 2 3 3" xfId="32379" xr:uid="{EEFA8EF9-A0F0-4AD4-B97C-EA8159E71F5D}"/>
    <cellStyle name="Normal 9 3 2 3 2 3 4" xfId="23931" xr:uid="{0B450C33-9FAD-4802-A3BC-862E9FA3FDF3}"/>
    <cellStyle name="Normal 9 3 2 3 2 3 5" xfId="14634" xr:uid="{E54A8DC5-C5F0-4E73-BF96-1B39507A97BE}"/>
    <cellStyle name="Normal 9 3 2 3 2 4" xfId="9472" xr:uid="{427A8E71-9BC4-47C0-A855-6886AF96C97E}"/>
    <cellStyle name="Normal 9 3 2 3 2 4 2" xfId="36609" xr:uid="{2B24C2C4-69DF-4312-846B-08FB00D0CAE8}"/>
    <cellStyle name="Normal 9 3 2 3 2 4 3" xfId="18785" xr:uid="{BD1C5225-FEDC-4626-861A-634F94C69EAD}"/>
    <cellStyle name="Normal 9 3 2 3 2 5" xfId="28161" xr:uid="{4CED4A09-E41B-4B6C-AC36-F2FCF41D5119}"/>
    <cellStyle name="Normal 9 3 2 3 2 6" xfId="19714" xr:uid="{DB6473CD-0558-4B20-BE9D-1C1078F2381F}"/>
    <cellStyle name="Normal 9 3 2 3 2 7" xfId="10417" xr:uid="{BD0303C7-412C-4E5B-A41F-A76EFB1574EE}"/>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43384" xr:uid="{FEBE619C-5081-4285-84D6-DF4A851E4ABF}"/>
    <cellStyle name="Normal 9 3 2 3 3 2 2 3" xfId="34937" xr:uid="{EE9171BD-3CD0-44D9-A0B8-5F40E2FF7632}"/>
    <cellStyle name="Normal 9 3 2 3 3 2 2 4" xfId="26489" xr:uid="{74CA14C9-033D-4034-8F5D-6B6C0E271B8A}"/>
    <cellStyle name="Normal 9 3 2 3 3 2 2 5" xfId="17192" xr:uid="{C779B86C-7E19-4CAF-AE4C-9EF56C6CC11E}"/>
    <cellStyle name="Normal 9 3 2 3 3 2 3" xfId="39167" xr:uid="{BBD2DD21-99AA-4C8B-9C73-37DABE0F681F}"/>
    <cellStyle name="Normal 9 3 2 3 3 2 4" xfId="30719" xr:uid="{D3958413-A36F-4055-A40D-AF0DD70C1139}"/>
    <cellStyle name="Normal 9 3 2 3 3 2 5" xfId="22272" xr:uid="{E28A51EB-AFDD-474B-9974-4B341A2DE8DC}"/>
    <cellStyle name="Normal 9 3 2 3 3 2 6" xfId="12975" xr:uid="{370C383E-6E6D-46EC-8557-94146F1A8B04}"/>
    <cellStyle name="Normal 9 3 2 3 3 3" xfId="5721" xr:uid="{00000000-0005-0000-0000-0000DB1F0000}"/>
    <cellStyle name="Normal 9 3 2 3 3 3 2" xfId="41239" xr:uid="{5BEE2936-D84F-4FB4-8214-39EBC81FAC7C}"/>
    <cellStyle name="Normal 9 3 2 3 3 3 3" xfId="32792" xr:uid="{AFB284C6-774F-4734-B86A-F95E3146A0A9}"/>
    <cellStyle name="Normal 9 3 2 3 3 3 4" xfId="24344" xr:uid="{FCC79D46-EF30-4085-9C82-21CA1EBC1690}"/>
    <cellStyle name="Normal 9 3 2 3 3 3 5" xfId="15047" xr:uid="{D70F79B6-4387-48F5-8995-E9C047B03D75}"/>
    <cellStyle name="Normal 9 3 2 3 3 4" xfId="37022" xr:uid="{A67FB88B-C1DA-40C5-A13B-2EFEF5DBBC36}"/>
    <cellStyle name="Normal 9 3 2 3 3 5" xfId="28574" xr:uid="{1D46D668-8733-4B7C-9EFC-426B4DD56136}"/>
    <cellStyle name="Normal 9 3 2 3 3 6" xfId="20127" xr:uid="{5FB1C58D-DE7C-42CE-967B-F17E5EABDF87}"/>
    <cellStyle name="Normal 9 3 2 3 3 7" xfId="10830" xr:uid="{01F28741-59F4-4037-A766-878919CD93B3}"/>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43797" xr:uid="{5768DCD3-5C3A-49A5-A6CB-AEEB9B0B1286}"/>
    <cellStyle name="Normal 9 3 2 3 4 2 2 3" xfId="35350" xr:uid="{AEB01272-7C7B-4BCE-AA46-432BF38A004A}"/>
    <cellStyle name="Normal 9 3 2 3 4 2 2 4" xfId="26902" xr:uid="{589469EA-D8BA-433D-B80F-CA23890FC539}"/>
    <cellStyle name="Normal 9 3 2 3 4 2 2 5" xfId="17605" xr:uid="{E3A1A1FD-8711-4BFF-A81F-1F895C83CB16}"/>
    <cellStyle name="Normal 9 3 2 3 4 2 3" xfId="39580" xr:uid="{4FA70D3D-F88E-4379-AC10-2ABC8312ABA1}"/>
    <cellStyle name="Normal 9 3 2 3 4 2 4" xfId="31132" xr:uid="{2E4C3D69-8519-4CDF-A263-2183D2F6FDD1}"/>
    <cellStyle name="Normal 9 3 2 3 4 2 5" xfId="22685" xr:uid="{FAAE98FD-4335-40C1-9922-7021F792F373}"/>
    <cellStyle name="Normal 9 3 2 3 4 2 6" xfId="13388" xr:uid="{23172A8C-BD77-4453-8711-9523C920716E}"/>
    <cellStyle name="Normal 9 3 2 3 4 3" xfId="6134" xr:uid="{00000000-0005-0000-0000-0000DF1F0000}"/>
    <cellStyle name="Normal 9 3 2 3 4 3 2" xfId="41652" xr:uid="{703AE7CF-3D94-4496-BFF5-31C3123F06F5}"/>
    <cellStyle name="Normal 9 3 2 3 4 3 3" xfId="33205" xr:uid="{352C83A9-8C6A-41D0-B89C-53571EF7990D}"/>
    <cellStyle name="Normal 9 3 2 3 4 3 4" xfId="24757" xr:uid="{AFFB758D-2FD1-4D70-A151-42C3EAAEE45A}"/>
    <cellStyle name="Normal 9 3 2 3 4 3 5" xfId="15460" xr:uid="{895AA674-58D2-41F1-B279-032DCA3003DA}"/>
    <cellStyle name="Normal 9 3 2 3 4 4" xfId="37435" xr:uid="{3B7D1290-ACBC-4AE2-9D20-41746ACF9B99}"/>
    <cellStyle name="Normal 9 3 2 3 4 5" xfId="28987" xr:uid="{90D050AB-444B-41DC-AF5D-0270CB7970B6}"/>
    <cellStyle name="Normal 9 3 2 3 4 6" xfId="20540" xr:uid="{5F6FFC00-B6B9-4880-90F3-ADEB21F11947}"/>
    <cellStyle name="Normal 9 3 2 3 4 7" xfId="11243" xr:uid="{364288AE-AA1C-41CC-B342-A33BB385902D}"/>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44210" xr:uid="{ADA63BAA-1DE5-454C-85A0-8F35EEF33529}"/>
    <cellStyle name="Normal 9 3 2 3 5 2 2 3" xfId="35763" xr:uid="{4B12A626-D1B8-432D-A840-C8B66F7ACEEC}"/>
    <cellStyle name="Normal 9 3 2 3 5 2 2 4" xfId="27315" xr:uid="{B7F4B67E-D874-4172-B29A-12895A9BCEB1}"/>
    <cellStyle name="Normal 9 3 2 3 5 2 2 5" xfId="18018" xr:uid="{F111D4DA-D504-4856-BC49-DAF779CD0D9A}"/>
    <cellStyle name="Normal 9 3 2 3 5 2 3" xfId="39993" xr:uid="{D1F1B3C0-2DC1-4B8C-92EF-96E563A5CC4E}"/>
    <cellStyle name="Normal 9 3 2 3 5 2 4" xfId="31545" xr:uid="{E77EE251-4D02-48F0-BFF6-71A35E30DF96}"/>
    <cellStyle name="Normal 9 3 2 3 5 2 5" xfId="23098" xr:uid="{B80FF524-709E-4082-B933-81247CD366C9}"/>
    <cellStyle name="Normal 9 3 2 3 5 2 6" xfId="13801" xr:uid="{2CFE0DDB-09BA-4802-9F7D-A7EE599A8F86}"/>
    <cellStyle name="Normal 9 3 2 3 5 3" xfId="6547" xr:uid="{00000000-0005-0000-0000-0000E31F0000}"/>
    <cellStyle name="Normal 9 3 2 3 5 3 2" xfId="42065" xr:uid="{EF0459C2-E0A3-48DE-8650-AD787472F7EB}"/>
    <cellStyle name="Normal 9 3 2 3 5 3 3" xfId="33618" xr:uid="{02CC5BF8-E187-4DA5-BEA8-7FB52DA8FBBF}"/>
    <cellStyle name="Normal 9 3 2 3 5 3 4" xfId="25170" xr:uid="{CE97F218-5638-4BFC-8EA8-DD40D6E30E4D}"/>
    <cellStyle name="Normal 9 3 2 3 5 3 5" xfId="15873" xr:uid="{086CD076-DADA-42D1-96DD-7E2B042EFF8C}"/>
    <cellStyle name="Normal 9 3 2 3 5 4" xfId="37848" xr:uid="{C85C55FC-E793-4284-8D1E-8FF367B26DB8}"/>
    <cellStyle name="Normal 9 3 2 3 5 5" xfId="29400" xr:uid="{4D54319B-AACC-439E-B420-44AAF0FF8C15}"/>
    <cellStyle name="Normal 9 3 2 3 5 6" xfId="20953" xr:uid="{C8C419B0-4A84-467F-BF78-4BC6B31857E8}"/>
    <cellStyle name="Normal 9 3 2 3 5 7" xfId="11656" xr:uid="{1F6EE86F-E52D-43AE-8A0D-73E93E9B3C98}"/>
    <cellStyle name="Normal 9 3 2 3 6" xfId="2677" xr:uid="{00000000-0005-0000-0000-0000E41F0000}"/>
    <cellStyle name="Normal 9 3 2 3 6 2" xfId="6960" xr:uid="{00000000-0005-0000-0000-0000E51F0000}"/>
    <cellStyle name="Normal 9 3 2 3 6 2 2" xfId="42478" xr:uid="{C87FDA32-1B1B-4490-99C1-0DE101979CFA}"/>
    <cellStyle name="Normal 9 3 2 3 6 2 3" xfId="34031" xr:uid="{BAA43051-B9C6-463F-8B4C-62F496D822FE}"/>
    <cellStyle name="Normal 9 3 2 3 6 2 4" xfId="25583" xr:uid="{775F557D-38FE-4058-9FC0-E6FB8B8B815D}"/>
    <cellStyle name="Normal 9 3 2 3 6 2 5" xfId="16286" xr:uid="{4372D54B-072F-4E00-B06B-EC670B048F08}"/>
    <cellStyle name="Normal 9 3 2 3 6 3" xfId="38261" xr:uid="{2D865CA1-92CE-47CF-A06F-E9A957DAE37B}"/>
    <cellStyle name="Normal 9 3 2 3 6 4" xfId="29813" xr:uid="{948C8811-C84B-4FB8-AD09-5CCCAD8A83C6}"/>
    <cellStyle name="Normal 9 3 2 3 6 5" xfId="21366" xr:uid="{D24E9838-31ED-494C-BBA9-598CD6A15A20}"/>
    <cellStyle name="Normal 9 3 2 3 6 6" xfId="12069" xr:uid="{A2EEA141-C5FE-4114-905D-C735E19D23E6}"/>
    <cellStyle name="Normal 9 3 2 3 7" xfId="4895" xr:uid="{00000000-0005-0000-0000-0000E61F0000}"/>
    <cellStyle name="Normal 9 3 2 3 7 2" xfId="40413" xr:uid="{3FFD7D4E-5DB0-4F55-8877-B5CF3F5AB40F}"/>
    <cellStyle name="Normal 9 3 2 3 7 3" xfId="31966" xr:uid="{B42CEE61-B807-4159-A446-8347C3F68633}"/>
    <cellStyle name="Normal 9 3 2 3 7 4" xfId="23518" xr:uid="{247422DE-4960-4108-A08A-BFD2A3475770}"/>
    <cellStyle name="Normal 9 3 2 3 7 5" xfId="14221" xr:uid="{ADFAD012-D411-4312-8B4F-98885BB7160D}"/>
    <cellStyle name="Normal 9 3 2 3 8" xfId="9047" xr:uid="{4CBBBE80-D24B-484D-910E-0072EA0E95DD}"/>
    <cellStyle name="Normal 9 3 2 3 8 2" xfId="36196" xr:uid="{BCC02924-0C2E-4245-A372-4F9322489DA7}"/>
    <cellStyle name="Normal 9 3 2 3 8 3" xfId="18370" xr:uid="{9BDFFE6E-57F9-4CE7-A5D1-6FCD976A460D}"/>
    <cellStyle name="Normal 9 3 2 3 9" xfId="27748" xr:uid="{90F277B4-B3E4-4FD3-B5BB-3D7368228E11}"/>
    <cellStyle name="Normal 9 3 2 4" xfId="995" xr:uid="{00000000-0005-0000-0000-0000E71F0000}"/>
    <cellStyle name="Normal 9 3 2 4 2" xfId="3228" xr:uid="{00000000-0005-0000-0000-0000E81F0000}"/>
    <cellStyle name="Normal 9 3 2 4 2 2" xfId="7450" xr:uid="{00000000-0005-0000-0000-0000E91F0000}"/>
    <cellStyle name="Normal 9 3 2 4 2 2 2" xfId="42968" xr:uid="{88B0B5D3-DAAC-4486-833E-9A168EE1AF99}"/>
    <cellStyle name="Normal 9 3 2 4 2 2 3" xfId="34521" xr:uid="{AF4F28D7-FD43-4335-BD97-24F0E6C54B75}"/>
    <cellStyle name="Normal 9 3 2 4 2 2 4" xfId="26073" xr:uid="{21E85D9B-E236-47ED-B9B3-4D9735C06FDB}"/>
    <cellStyle name="Normal 9 3 2 4 2 2 5" xfId="16776" xr:uid="{485FB53E-E701-43FD-AB6A-2E07B44D3C30}"/>
    <cellStyle name="Normal 9 3 2 4 2 3" xfId="38751" xr:uid="{C1DA7D7D-F1E8-45E8-950E-1B34C45FD016}"/>
    <cellStyle name="Normal 9 3 2 4 2 4" xfId="30303" xr:uid="{26EB20EC-344F-4042-B040-9982541AAE86}"/>
    <cellStyle name="Normal 9 3 2 4 2 5" xfId="21856" xr:uid="{0C68C5D7-B81B-48BD-802A-724804F2B2A6}"/>
    <cellStyle name="Normal 9 3 2 4 2 6" xfId="12559" xr:uid="{FCC3404B-FF98-46B6-8A5D-A02F36D1AF58}"/>
    <cellStyle name="Normal 9 3 2 4 3" xfId="5305" xr:uid="{00000000-0005-0000-0000-0000EA1F0000}"/>
    <cellStyle name="Normal 9 3 2 4 3 2" xfId="40823" xr:uid="{02DD5B2B-5459-4C0E-97FF-DEB45798B74C}"/>
    <cellStyle name="Normal 9 3 2 4 3 3" xfId="32376" xr:uid="{6BA3003F-862E-4493-B025-7889FC7B733F}"/>
    <cellStyle name="Normal 9 3 2 4 3 4" xfId="23928" xr:uid="{205621CA-6F11-4E9D-96A6-6AA0698FF6AA}"/>
    <cellStyle name="Normal 9 3 2 4 3 5" xfId="14631" xr:uid="{87835590-BC6E-42F7-80E5-9056059A8CE2}"/>
    <cellStyle name="Normal 9 3 2 4 4" xfId="9265" xr:uid="{BF00A9B8-67BA-48F6-8D48-0E4380D60577}"/>
    <cellStyle name="Normal 9 3 2 4 4 2" xfId="36606" xr:uid="{52EFD6FB-E931-4385-BE33-2612813480BD}"/>
    <cellStyle name="Normal 9 3 2 4 4 3" xfId="18578" xr:uid="{0DA55EF7-D89D-43B6-B890-C715B9FD9365}"/>
    <cellStyle name="Normal 9 3 2 4 5" xfId="28158" xr:uid="{1394476A-7640-4B9D-9189-44B3D6DBECBD}"/>
    <cellStyle name="Normal 9 3 2 4 6" xfId="19711" xr:uid="{DBA8D7EA-B468-4D46-BD16-B065DE0879AA}"/>
    <cellStyle name="Normal 9 3 2 4 7" xfId="10414" xr:uid="{F68EC9AC-6927-4EDB-851A-796C0616E747}"/>
    <cellStyle name="Normal 9 3 2 5" xfId="1411" xr:uid="{00000000-0005-0000-0000-0000EB1F0000}"/>
    <cellStyle name="Normal 9 3 2 5 2" xfId="3641" xr:uid="{00000000-0005-0000-0000-0000EC1F0000}"/>
    <cellStyle name="Normal 9 3 2 5 2 2" xfId="7863" xr:uid="{00000000-0005-0000-0000-0000ED1F0000}"/>
    <cellStyle name="Normal 9 3 2 5 2 2 2" xfId="43381" xr:uid="{68CA25AB-7983-4534-A44F-2B47D8D4A730}"/>
    <cellStyle name="Normal 9 3 2 5 2 2 3" xfId="34934" xr:uid="{BDB7F6D2-1111-45A1-A253-353CE20E24FD}"/>
    <cellStyle name="Normal 9 3 2 5 2 2 4" xfId="26486" xr:uid="{C4EDDED1-8287-47D1-9F43-420D16B39DB5}"/>
    <cellStyle name="Normal 9 3 2 5 2 2 5" xfId="17189" xr:uid="{5DB905EE-8EA7-4F27-9D3D-AFAA44C9197F}"/>
    <cellStyle name="Normal 9 3 2 5 2 3" xfId="39164" xr:uid="{7E027341-37B0-41E2-A9DC-B0CAB6C4A0F7}"/>
    <cellStyle name="Normal 9 3 2 5 2 4" xfId="30716" xr:uid="{C0C45486-34DB-469D-B3CD-7418C6B5A2E2}"/>
    <cellStyle name="Normal 9 3 2 5 2 5" xfId="22269" xr:uid="{17DEDA41-7F7A-42C6-BA04-6DA90863BCFE}"/>
    <cellStyle name="Normal 9 3 2 5 2 6" xfId="12972" xr:uid="{3D9D7259-DAE3-4FEB-867D-169E7ECF15BE}"/>
    <cellStyle name="Normal 9 3 2 5 3" xfId="5718" xr:uid="{00000000-0005-0000-0000-0000EE1F0000}"/>
    <cellStyle name="Normal 9 3 2 5 3 2" xfId="41236" xr:uid="{0965F9CE-A3E8-449A-BD63-433864C7927B}"/>
    <cellStyle name="Normal 9 3 2 5 3 3" xfId="32789" xr:uid="{FC9D79B9-964D-4485-A6A9-1CB48AE48B04}"/>
    <cellStyle name="Normal 9 3 2 5 3 4" xfId="24341" xr:uid="{3AC71890-8E45-474C-B767-38090C8EAA2D}"/>
    <cellStyle name="Normal 9 3 2 5 3 5" xfId="15044" xr:uid="{02D2DF07-3A02-464A-8E00-1B7B898C61F8}"/>
    <cellStyle name="Normal 9 3 2 5 4" xfId="37019" xr:uid="{3E09B32A-CB1B-47E6-AF27-357EB4B5A78D}"/>
    <cellStyle name="Normal 9 3 2 5 5" xfId="28571" xr:uid="{D5752836-B966-4457-AEBB-86C7A02D3FA4}"/>
    <cellStyle name="Normal 9 3 2 5 6" xfId="20124" xr:uid="{B345556C-FC29-4F03-9CBE-71BC2D5F712F}"/>
    <cellStyle name="Normal 9 3 2 5 7" xfId="10827" xr:uid="{587ED375-7BA9-4879-875B-8B5F09791BC0}"/>
    <cellStyle name="Normal 9 3 2 6" xfId="1824" xr:uid="{00000000-0005-0000-0000-0000EF1F0000}"/>
    <cellStyle name="Normal 9 3 2 6 2" xfId="4054" xr:uid="{00000000-0005-0000-0000-0000F01F0000}"/>
    <cellStyle name="Normal 9 3 2 6 2 2" xfId="8276" xr:uid="{00000000-0005-0000-0000-0000F11F0000}"/>
    <cellStyle name="Normal 9 3 2 6 2 2 2" xfId="43794" xr:uid="{639DE4AC-3EB5-4F99-BEE4-DD2AA4C6302B}"/>
    <cellStyle name="Normal 9 3 2 6 2 2 3" xfId="35347" xr:uid="{3C93AC7B-DF25-479E-BABF-B2A3EB939AC4}"/>
    <cellStyle name="Normal 9 3 2 6 2 2 4" xfId="26899" xr:uid="{B0DD7B75-B627-4C1D-9449-92B16CB1A1E3}"/>
    <cellStyle name="Normal 9 3 2 6 2 2 5" xfId="17602" xr:uid="{5DB1A875-1C7E-4DEC-BDE7-D547531FAFEE}"/>
    <cellStyle name="Normal 9 3 2 6 2 3" xfId="39577" xr:uid="{79EAFB8E-4949-4132-8C47-4D57986B9C47}"/>
    <cellStyle name="Normal 9 3 2 6 2 4" xfId="31129" xr:uid="{C4DF2C11-96DF-421A-B146-AFC9804388C0}"/>
    <cellStyle name="Normal 9 3 2 6 2 5" xfId="22682" xr:uid="{2F81047F-4C6B-4F16-B0E5-C4C8C34F6E9D}"/>
    <cellStyle name="Normal 9 3 2 6 2 6" xfId="13385" xr:uid="{D3767B6E-9284-4CFD-A69E-6C4D20B83910}"/>
    <cellStyle name="Normal 9 3 2 6 3" xfId="6131" xr:uid="{00000000-0005-0000-0000-0000F21F0000}"/>
    <cellStyle name="Normal 9 3 2 6 3 2" xfId="41649" xr:uid="{76DA9912-DB36-4C0F-9F73-3C30E3237546}"/>
    <cellStyle name="Normal 9 3 2 6 3 3" xfId="33202" xr:uid="{7FE048E6-75F8-444F-A998-70B10A9ACF8A}"/>
    <cellStyle name="Normal 9 3 2 6 3 4" xfId="24754" xr:uid="{6F06757C-DEC4-42A6-8AF8-948B63147A37}"/>
    <cellStyle name="Normal 9 3 2 6 3 5" xfId="15457" xr:uid="{E418D8A5-0E62-4E0B-B45D-E216C839F2C3}"/>
    <cellStyle name="Normal 9 3 2 6 4" xfId="37432" xr:uid="{F6232BF3-C427-4F7E-BEB9-B69EC71CBA1F}"/>
    <cellStyle name="Normal 9 3 2 6 5" xfId="28984" xr:uid="{091707E1-BB23-49B0-A8F9-FB01424647CE}"/>
    <cellStyle name="Normal 9 3 2 6 6" xfId="20537" xr:uid="{D5F4DA1D-EA95-4E93-80F7-C81D8D788413}"/>
    <cellStyle name="Normal 9 3 2 6 7" xfId="11240" xr:uid="{C6A3B299-2770-4894-BE54-D376033E634D}"/>
    <cellStyle name="Normal 9 3 2 7" xfId="2238" xr:uid="{00000000-0005-0000-0000-0000F31F0000}"/>
    <cellStyle name="Normal 9 3 2 7 2" xfId="4467" xr:uid="{00000000-0005-0000-0000-0000F41F0000}"/>
    <cellStyle name="Normal 9 3 2 7 2 2" xfId="8689" xr:uid="{00000000-0005-0000-0000-0000F51F0000}"/>
    <cellStyle name="Normal 9 3 2 7 2 2 2" xfId="44207" xr:uid="{C51D0FC3-C254-4668-B878-03B5B4E632E5}"/>
    <cellStyle name="Normal 9 3 2 7 2 2 3" xfId="35760" xr:uid="{3A4ABAB7-2841-44B8-AB38-2D38AB98EA3A}"/>
    <cellStyle name="Normal 9 3 2 7 2 2 4" xfId="27312" xr:uid="{0AFCAFCD-40EC-4C00-83CB-C3D9323D47D2}"/>
    <cellStyle name="Normal 9 3 2 7 2 2 5" xfId="18015" xr:uid="{AB2FCB40-78BC-44F7-B515-3E2C1375C562}"/>
    <cellStyle name="Normal 9 3 2 7 2 3" xfId="39990" xr:uid="{8FFF26B0-113A-4CDA-96DB-D2092F1CB7E4}"/>
    <cellStyle name="Normal 9 3 2 7 2 4" xfId="31542" xr:uid="{F689D6AE-C205-45C1-9085-3BC82EC83388}"/>
    <cellStyle name="Normal 9 3 2 7 2 5" xfId="23095" xr:uid="{0148D761-B836-4ACD-90A4-169E5511132C}"/>
    <cellStyle name="Normal 9 3 2 7 2 6" xfId="13798" xr:uid="{F31E0262-FA2F-4CB0-A977-0C902DEAE846}"/>
    <cellStyle name="Normal 9 3 2 7 3" xfId="6544" xr:uid="{00000000-0005-0000-0000-0000F61F0000}"/>
    <cellStyle name="Normal 9 3 2 7 3 2" xfId="42062" xr:uid="{C3144550-3C55-4EAB-8D1A-60ACF6C83218}"/>
    <cellStyle name="Normal 9 3 2 7 3 3" xfId="33615" xr:uid="{D9EAB7E6-AFA8-4559-B807-F2EC97EB6DBF}"/>
    <cellStyle name="Normal 9 3 2 7 3 4" xfId="25167" xr:uid="{98A2D747-2AC6-4C93-953D-FE3249240A0C}"/>
    <cellStyle name="Normal 9 3 2 7 3 5" xfId="15870" xr:uid="{0C065510-38AD-438A-8A43-46209B3A0B1D}"/>
    <cellStyle name="Normal 9 3 2 7 4" xfId="37845" xr:uid="{0FCD4B48-A5D7-468A-844E-5AB72C938C44}"/>
    <cellStyle name="Normal 9 3 2 7 5" xfId="29397" xr:uid="{02EC6D93-4775-43DF-AA2C-D2A801DD65AD}"/>
    <cellStyle name="Normal 9 3 2 7 6" xfId="20950" xr:uid="{944C4786-1031-45EA-988E-3FEC199630EF}"/>
    <cellStyle name="Normal 9 3 2 7 7" xfId="11653" xr:uid="{A44727FF-AB67-4E83-BFA7-D7EE3907D550}"/>
    <cellStyle name="Normal 9 3 2 8" xfId="2674" xr:uid="{00000000-0005-0000-0000-0000F71F0000}"/>
    <cellStyle name="Normal 9 3 2 8 2" xfId="6957" xr:uid="{00000000-0005-0000-0000-0000F81F0000}"/>
    <cellStyle name="Normal 9 3 2 8 2 2" xfId="42475" xr:uid="{BEE53EB8-5D44-4451-8EBD-5772AE824016}"/>
    <cellStyle name="Normal 9 3 2 8 2 3" xfId="34028" xr:uid="{3B3D4633-49F8-4AAF-AB2D-B7B1C3B0A84A}"/>
    <cellStyle name="Normal 9 3 2 8 2 4" xfId="25580" xr:uid="{6A5DF390-D525-4EC8-BD64-FC0906AB3992}"/>
    <cellStyle name="Normal 9 3 2 8 2 5" xfId="16283" xr:uid="{A2AEAEA9-A575-4C29-B3E2-79197464A820}"/>
    <cellStyle name="Normal 9 3 2 8 3" xfId="38258" xr:uid="{FD90138A-43F3-4A0E-950F-202946C9F56F}"/>
    <cellStyle name="Normal 9 3 2 8 4" xfId="29810" xr:uid="{94C56967-9AF1-4654-9B85-049103652184}"/>
    <cellStyle name="Normal 9 3 2 8 5" xfId="21363" xr:uid="{772F0150-6BF6-418B-BA25-09E2AAB1E9DB}"/>
    <cellStyle name="Normal 9 3 2 8 6" xfId="12066" xr:uid="{2E9A03CF-D867-4982-8759-6835F775765B}"/>
    <cellStyle name="Normal 9 3 2 9" xfId="4892" xr:uid="{00000000-0005-0000-0000-0000F91F0000}"/>
    <cellStyle name="Normal 9 3 2 9 2" xfId="40410" xr:uid="{F844CABE-2599-4CEA-AD48-EAD7D739A11E}"/>
    <cellStyle name="Normal 9 3 2 9 3" xfId="31963" xr:uid="{574656D7-0DBF-445C-8CD7-0C656A72125B}"/>
    <cellStyle name="Normal 9 3 2 9 4" xfId="23515" xr:uid="{7AC426E3-D7F4-4D8B-8561-48CC8A3D8462}"/>
    <cellStyle name="Normal 9 3 2 9 5" xfId="14218" xr:uid="{22DF6AD0-7377-4AAC-A6F4-F93E69C97A04}"/>
    <cellStyle name="Normal 9 3 3" xfId="532" xr:uid="{00000000-0005-0000-0000-0000FA1F0000}"/>
    <cellStyle name="Normal 9 3 3 10" xfId="27749" xr:uid="{6801552E-1214-4CC5-9074-929EC0624C3D}"/>
    <cellStyle name="Normal 9 3 3 11" xfId="19302" xr:uid="{8D1D9046-D8D8-4E2E-9FE7-F66770C9717C}"/>
    <cellStyle name="Normal 9 3 3 12" xfId="10005" xr:uid="{7F7FE3EE-BC79-4074-8EB6-54773E7569E8}"/>
    <cellStyle name="Normal 9 3 3 2" xfId="533" xr:uid="{00000000-0005-0000-0000-0000FB1F0000}"/>
    <cellStyle name="Normal 9 3 3 2 10" xfId="19303" xr:uid="{56C6EDB4-75A0-43BC-9591-79F2EFD612D7}"/>
    <cellStyle name="Normal 9 3 3 2 11" xfId="10006" xr:uid="{F4C77EC1-46C8-46D4-A9E7-5A6E634FA66C}"/>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42973" xr:uid="{44DB4DA3-980C-4677-AA37-46B087F51F93}"/>
    <cellStyle name="Normal 9 3 3 2 2 2 2 3" xfId="34526" xr:uid="{798A7AF7-2764-459B-B037-D7CD621CDCD4}"/>
    <cellStyle name="Normal 9 3 3 2 2 2 2 4" xfId="26078" xr:uid="{ACD9AED3-0907-4015-B506-A7F8415BB372}"/>
    <cellStyle name="Normal 9 3 3 2 2 2 2 5" xfId="16781" xr:uid="{2AC9E6A9-D3D1-4B92-A39B-5DB7C3984201}"/>
    <cellStyle name="Normal 9 3 3 2 2 2 3" xfId="38756" xr:uid="{9B866071-51AA-453B-B36A-FFECDF631C1F}"/>
    <cellStyle name="Normal 9 3 3 2 2 2 4" xfId="30308" xr:uid="{3BDA2964-B6E8-43CE-9984-B8637ED7F680}"/>
    <cellStyle name="Normal 9 3 3 2 2 2 5" xfId="21861" xr:uid="{88693492-C159-4D2D-B273-D23C77B7B439}"/>
    <cellStyle name="Normal 9 3 3 2 2 2 6" xfId="12564" xr:uid="{D0264559-D71F-47A7-B4C7-509C40E926F2}"/>
    <cellStyle name="Normal 9 3 3 2 2 3" xfId="5310" xr:uid="{00000000-0005-0000-0000-0000FF1F0000}"/>
    <cellStyle name="Normal 9 3 3 2 2 3 2" xfId="40828" xr:uid="{75D11E78-E520-47A8-906E-7649EEB6B616}"/>
    <cellStyle name="Normal 9 3 3 2 2 3 3" xfId="32381" xr:uid="{10465CF0-0F5E-46A3-84A8-B133A2CF0C13}"/>
    <cellStyle name="Normal 9 3 3 2 2 3 4" xfId="23933" xr:uid="{78AB8C8A-8A02-4479-9362-29C2E249BDFE}"/>
    <cellStyle name="Normal 9 3 3 2 2 3 5" xfId="14636" xr:uid="{D4CE4004-AD66-473A-A997-152E4C01CA0E}"/>
    <cellStyle name="Normal 9 3 3 2 2 4" xfId="9512" xr:uid="{2D87B26D-94B2-43FF-B3AD-59DF0A117D21}"/>
    <cellStyle name="Normal 9 3 3 2 2 4 2" xfId="36611" xr:uid="{B09C952D-F3AB-4FCF-B2BE-9766F159D726}"/>
    <cellStyle name="Normal 9 3 3 2 2 4 3" xfId="18825" xr:uid="{8D77E88C-0ED8-4BDC-8602-5F607B076666}"/>
    <cellStyle name="Normal 9 3 3 2 2 5" xfId="28163" xr:uid="{45392CE0-8C82-41E1-A128-79397D334A8A}"/>
    <cellStyle name="Normal 9 3 3 2 2 6" xfId="19716" xr:uid="{A36B7D9A-0112-4DE4-9476-7C3AD508DDE6}"/>
    <cellStyle name="Normal 9 3 3 2 2 7" xfId="10419" xr:uid="{8BFDD27C-93CD-4A88-A3CA-E97652967783}"/>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43386" xr:uid="{13511F06-0C69-4C1B-91C4-E67F3A0E34F0}"/>
    <cellStyle name="Normal 9 3 3 2 3 2 2 3" xfId="34939" xr:uid="{0D74440E-CB64-45A5-AC15-FF5CF6B55439}"/>
    <cellStyle name="Normal 9 3 3 2 3 2 2 4" xfId="26491" xr:uid="{16DDDD30-FDAA-458B-89E8-0BFEE077F5E1}"/>
    <cellStyle name="Normal 9 3 3 2 3 2 2 5" xfId="17194" xr:uid="{45FEC111-9FB7-44BC-B722-F29CE3156CC4}"/>
    <cellStyle name="Normal 9 3 3 2 3 2 3" xfId="39169" xr:uid="{7CA95B61-1F87-4C0E-A07E-D52BB03E6514}"/>
    <cellStyle name="Normal 9 3 3 2 3 2 4" xfId="30721" xr:uid="{7ABCBEC6-1B0C-40A6-BC5A-3208D93A2131}"/>
    <cellStyle name="Normal 9 3 3 2 3 2 5" xfId="22274" xr:uid="{0728254E-2314-483F-8CDE-0859DDA1DF32}"/>
    <cellStyle name="Normal 9 3 3 2 3 2 6" xfId="12977" xr:uid="{A72B669B-7A43-4C40-AB14-AA0F2B1A0EDD}"/>
    <cellStyle name="Normal 9 3 3 2 3 3" xfId="5723" xr:uid="{00000000-0005-0000-0000-000003200000}"/>
    <cellStyle name="Normal 9 3 3 2 3 3 2" xfId="41241" xr:uid="{EEC4AC7A-70C2-4691-9A3E-674DFA9477A0}"/>
    <cellStyle name="Normal 9 3 3 2 3 3 3" xfId="32794" xr:uid="{CAFF7562-69C0-4435-BF35-DADAC5B75C45}"/>
    <cellStyle name="Normal 9 3 3 2 3 3 4" xfId="24346" xr:uid="{5917FAF4-816C-4D7E-BF97-B3E4EDA82FC1}"/>
    <cellStyle name="Normal 9 3 3 2 3 3 5" xfId="15049" xr:uid="{62739F19-8879-499E-8D82-B72ACAEB29F4}"/>
    <cellStyle name="Normal 9 3 3 2 3 4" xfId="37024" xr:uid="{ADF6415D-2CA3-4848-BF69-193679F1D9F1}"/>
    <cellStyle name="Normal 9 3 3 2 3 5" xfId="28576" xr:uid="{4A58CB77-150A-4D5C-885C-7715EF00E397}"/>
    <cellStyle name="Normal 9 3 3 2 3 6" xfId="20129" xr:uid="{F5A4910C-FC82-47C7-BB89-A9E27AAB439A}"/>
    <cellStyle name="Normal 9 3 3 2 3 7" xfId="10832" xr:uid="{37766213-3CC9-47CA-ABB0-F0AC469FDE62}"/>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43799" xr:uid="{EA17FCDE-0EDC-41F4-A632-95B5FC0EAD77}"/>
    <cellStyle name="Normal 9 3 3 2 4 2 2 3" xfId="35352" xr:uid="{0784B456-D524-4E18-B323-EF31B69303B1}"/>
    <cellStyle name="Normal 9 3 3 2 4 2 2 4" xfId="26904" xr:uid="{32666A15-CEFB-46EE-90DA-1AEE3112DB0E}"/>
    <cellStyle name="Normal 9 3 3 2 4 2 2 5" xfId="17607" xr:uid="{D67ED528-6896-422D-8039-FA000920D1C6}"/>
    <cellStyle name="Normal 9 3 3 2 4 2 3" xfId="39582" xr:uid="{8F056E47-D05E-4CDC-AC54-85218FA9C305}"/>
    <cellStyle name="Normal 9 3 3 2 4 2 4" xfId="31134" xr:uid="{934A9C00-8E69-4ABB-AB8A-5C11F9C9AB00}"/>
    <cellStyle name="Normal 9 3 3 2 4 2 5" xfId="22687" xr:uid="{C2C63337-8593-49AC-BB5C-797DF2E67440}"/>
    <cellStyle name="Normal 9 3 3 2 4 2 6" xfId="13390" xr:uid="{1DD61BE5-AF57-4067-BB07-BC160E3C60C0}"/>
    <cellStyle name="Normal 9 3 3 2 4 3" xfId="6136" xr:uid="{00000000-0005-0000-0000-000007200000}"/>
    <cellStyle name="Normal 9 3 3 2 4 3 2" xfId="41654" xr:uid="{FDCE15FF-CF64-484A-B769-040553768DE3}"/>
    <cellStyle name="Normal 9 3 3 2 4 3 3" xfId="33207" xr:uid="{AA0EA93D-0CDC-4C48-82F8-521F793F8073}"/>
    <cellStyle name="Normal 9 3 3 2 4 3 4" xfId="24759" xr:uid="{F5C8BA57-4C9D-40EB-949E-1EC38BFEED4A}"/>
    <cellStyle name="Normal 9 3 3 2 4 3 5" xfId="15462" xr:uid="{07238D8E-1791-4E3B-B6BE-F2A8FA5B568A}"/>
    <cellStyle name="Normal 9 3 3 2 4 4" xfId="37437" xr:uid="{D8DAA5B9-F70D-4FC9-A568-CB0D0C5A0252}"/>
    <cellStyle name="Normal 9 3 3 2 4 5" xfId="28989" xr:uid="{401E2779-C259-4A9A-A74C-F60F9D046E60}"/>
    <cellStyle name="Normal 9 3 3 2 4 6" xfId="20542" xr:uid="{58E41F8A-9C24-4EA5-BF70-D49C44526AA7}"/>
    <cellStyle name="Normal 9 3 3 2 4 7" xfId="11245" xr:uid="{C5F521C7-BC21-4BCF-B6BD-45CB24376DE3}"/>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44212" xr:uid="{9E94C801-E6E4-4A7D-B996-B374928345C1}"/>
    <cellStyle name="Normal 9 3 3 2 5 2 2 3" xfId="35765" xr:uid="{BA473EA6-6186-4589-80B7-53DA96657F1D}"/>
    <cellStyle name="Normal 9 3 3 2 5 2 2 4" xfId="27317" xr:uid="{B29BC1A4-00FD-4D71-A5D9-E0E713905DAB}"/>
    <cellStyle name="Normal 9 3 3 2 5 2 2 5" xfId="18020" xr:uid="{D6C67EBB-0D42-45AD-B2BF-0C96B81130E3}"/>
    <cellStyle name="Normal 9 3 3 2 5 2 3" xfId="39995" xr:uid="{684E4240-6019-4313-8CD7-D4B8DD0E23B9}"/>
    <cellStyle name="Normal 9 3 3 2 5 2 4" xfId="31547" xr:uid="{75FDF488-DC94-468F-B8C3-87450C3A6C7C}"/>
    <cellStyle name="Normal 9 3 3 2 5 2 5" xfId="23100" xr:uid="{2FDA0C0E-4C2F-4B98-B75F-86E534F0FA43}"/>
    <cellStyle name="Normal 9 3 3 2 5 2 6" xfId="13803" xr:uid="{0AB3C0F9-5CCA-4523-9D24-72504150E94C}"/>
    <cellStyle name="Normal 9 3 3 2 5 3" xfId="6549" xr:uid="{00000000-0005-0000-0000-00000B200000}"/>
    <cellStyle name="Normal 9 3 3 2 5 3 2" xfId="42067" xr:uid="{E30B811C-12E3-48C4-839F-781E993A2DE0}"/>
    <cellStyle name="Normal 9 3 3 2 5 3 3" xfId="33620" xr:uid="{491B29A3-D72A-4FE6-BBD9-AAB775BDDD58}"/>
    <cellStyle name="Normal 9 3 3 2 5 3 4" xfId="25172" xr:uid="{044FD281-9E83-4BF0-86E0-9C49606DC3A6}"/>
    <cellStyle name="Normal 9 3 3 2 5 3 5" xfId="15875" xr:uid="{2536B0DE-05C2-4C24-8E67-A605533D9E67}"/>
    <cellStyle name="Normal 9 3 3 2 5 4" xfId="37850" xr:uid="{8D4D5F44-6051-4F2E-BB6D-0BD94B226639}"/>
    <cellStyle name="Normal 9 3 3 2 5 5" xfId="29402" xr:uid="{CF6A6149-715D-4331-A765-70D9EC029419}"/>
    <cellStyle name="Normal 9 3 3 2 5 6" xfId="20955" xr:uid="{0964D257-82FC-45A7-A2C2-912DC0297E9D}"/>
    <cellStyle name="Normal 9 3 3 2 5 7" xfId="11658" xr:uid="{673DE622-3A6A-4089-A90E-FD42B221C9FC}"/>
    <cellStyle name="Normal 9 3 3 2 6" xfId="2679" xr:uid="{00000000-0005-0000-0000-00000C200000}"/>
    <cellStyle name="Normal 9 3 3 2 6 2" xfId="6962" xr:uid="{00000000-0005-0000-0000-00000D200000}"/>
    <cellStyle name="Normal 9 3 3 2 6 2 2" xfId="42480" xr:uid="{E6CEED52-9D7A-40A1-8878-0ADAD8CCEB76}"/>
    <cellStyle name="Normal 9 3 3 2 6 2 3" xfId="34033" xr:uid="{00F78FA8-4FAC-4206-9016-6975587B1F49}"/>
    <cellStyle name="Normal 9 3 3 2 6 2 4" xfId="25585" xr:uid="{855C2464-614B-4971-A389-8950059C0280}"/>
    <cellStyle name="Normal 9 3 3 2 6 2 5" xfId="16288" xr:uid="{5A6A4BFF-D780-4260-807C-442C49F8759B}"/>
    <cellStyle name="Normal 9 3 3 2 6 3" xfId="38263" xr:uid="{05069AAA-DA58-44A9-B273-6A4E14E163BD}"/>
    <cellStyle name="Normal 9 3 3 2 6 4" xfId="29815" xr:uid="{263E6D55-9BCD-446F-A560-168A60C6286B}"/>
    <cellStyle name="Normal 9 3 3 2 6 5" xfId="21368" xr:uid="{C7D94082-C289-46E7-8532-69041BB3482E}"/>
    <cellStyle name="Normal 9 3 3 2 6 6" xfId="12071" xr:uid="{79AF1F81-BCD2-4F1B-97F4-F13FFDDD4F75}"/>
    <cellStyle name="Normal 9 3 3 2 7" xfId="4897" xr:uid="{00000000-0005-0000-0000-00000E200000}"/>
    <cellStyle name="Normal 9 3 3 2 7 2" xfId="40415" xr:uid="{F703C3E7-A90D-4B13-A91B-0BAD1306D253}"/>
    <cellStyle name="Normal 9 3 3 2 7 3" xfId="31968" xr:uid="{D95F02EF-FCAE-4206-B699-C98EF4ECD653}"/>
    <cellStyle name="Normal 9 3 3 2 7 4" xfId="23520" xr:uid="{1D0C46F4-B1AB-472F-A857-D42C408925F8}"/>
    <cellStyle name="Normal 9 3 3 2 7 5" xfId="14223" xr:uid="{5BD962FA-239D-41FB-866D-46A03457EC66}"/>
    <cellStyle name="Normal 9 3 3 2 8" xfId="9087" xr:uid="{B1C8DB1F-59B6-4D6A-B3E7-0CFC4D29D9A9}"/>
    <cellStyle name="Normal 9 3 3 2 8 2" xfId="36198" xr:uid="{ECBE5FAA-3405-4472-8E7E-1618E237D5A8}"/>
    <cellStyle name="Normal 9 3 3 2 8 3" xfId="18410" xr:uid="{02D926EA-BAFF-479F-BAD0-B67F6BC24F3F}"/>
    <cellStyle name="Normal 9 3 3 2 9" xfId="27750" xr:uid="{493D3204-3E06-4983-A16E-F04A5BDCA1A7}"/>
    <cellStyle name="Normal 9 3 3 3" xfId="999" xr:uid="{00000000-0005-0000-0000-00000F200000}"/>
    <cellStyle name="Normal 9 3 3 3 2" xfId="3232" xr:uid="{00000000-0005-0000-0000-000010200000}"/>
    <cellStyle name="Normal 9 3 3 3 2 2" xfId="7454" xr:uid="{00000000-0005-0000-0000-000011200000}"/>
    <cellStyle name="Normal 9 3 3 3 2 2 2" xfId="42972" xr:uid="{48919DAB-75E3-464D-B589-F5D03A864A62}"/>
    <cellStyle name="Normal 9 3 3 3 2 2 3" xfId="34525" xr:uid="{4C380A3A-E92D-4BE8-93FE-D0C888C2F0AB}"/>
    <cellStyle name="Normal 9 3 3 3 2 2 4" xfId="26077" xr:uid="{79A03F1D-C1AA-482F-A629-18B3B226BB88}"/>
    <cellStyle name="Normal 9 3 3 3 2 2 5" xfId="16780" xr:uid="{289FD456-6604-4D00-B4D8-4AB2F2B70FB8}"/>
    <cellStyle name="Normal 9 3 3 3 2 3" xfId="38755" xr:uid="{5519ECC0-2685-4A5C-BB79-A12343ECF4F0}"/>
    <cellStyle name="Normal 9 3 3 3 2 4" xfId="30307" xr:uid="{0BCC60C5-516B-4E55-ADA5-5FE28994D470}"/>
    <cellStyle name="Normal 9 3 3 3 2 5" xfId="21860" xr:uid="{2C1FD257-5C67-482D-A4E7-6439FE75C80B}"/>
    <cellStyle name="Normal 9 3 3 3 2 6" xfId="12563" xr:uid="{A5D4AEAA-0647-4A8A-82F6-DDC9A2109BCB}"/>
    <cellStyle name="Normal 9 3 3 3 3" xfId="5309" xr:uid="{00000000-0005-0000-0000-000012200000}"/>
    <cellStyle name="Normal 9 3 3 3 3 2" xfId="40827" xr:uid="{DFE0B59A-7A0A-4D16-B1FD-6AF062271B22}"/>
    <cellStyle name="Normal 9 3 3 3 3 3" xfId="32380" xr:uid="{EED28F85-FC1A-441A-9A1B-8FDB3E1C7658}"/>
    <cellStyle name="Normal 9 3 3 3 3 4" xfId="23932" xr:uid="{1DB8A520-B7C4-498D-B3A7-E77E13FCB979}"/>
    <cellStyle name="Normal 9 3 3 3 3 5" xfId="14635" xr:uid="{FEB23D59-0657-4EDD-9FC7-0F2215D2756A}"/>
    <cellStyle name="Normal 9 3 3 3 4" xfId="9305" xr:uid="{F54F3A88-B268-4905-B4D1-34B996B920C6}"/>
    <cellStyle name="Normal 9 3 3 3 4 2" xfId="36610" xr:uid="{2A1841B7-CDBE-4C4C-8FCF-648B503E8CE3}"/>
    <cellStyle name="Normal 9 3 3 3 4 3" xfId="18618" xr:uid="{8BACBA68-2690-4053-BBC5-946D8EBA562C}"/>
    <cellStyle name="Normal 9 3 3 3 5" xfId="28162" xr:uid="{F1F02BB6-2798-4D47-B083-1B9AA04C617F}"/>
    <cellStyle name="Normal 9 3 3 3 6" xfId="19715" xr:uid="{4F1861E5-42C9-4C38-B75F-DEDF84359AA6}"/>
    <cellStyle name="Normal 9 3 3 3 7" xfId="10418" xr:uid="{B7D71D86-B01C-4E2E-95BB-46500C484E28}"/>
    <cellStyle name="Normal 9 3 3 4" xfId="1415" xr:uid="{00000000-0005-0000-0000-000013200000}"/>
    <cellStyle name="Normal 9 3 3 4 2" xfId="3645" xr:uid="{00000000-0005-0000-0000-000014200000}"/>
    <cellStyle name="Normal 9 3 3 4 2 2" xfId="7867" xr:uid="{00000000-0005-0000-0000-000015200000}"/>
    <cellStyle name="Normal 9 3 3 4 2 2 2" xfId="43385" xr:uid="{9EBCA136-CA65-4A90-9424-EA66916C8906}"/>
    <cellStyle name="Normal 9 3 3 4 2 2 3" xfId="34938" xr:uid="{BC368382-10BD-4DDB-8C33-28920B377838}"/>
    <cellStyle name="Normal 9 3 3 4 2 2 4" xfId="26490" xr:uid="{E2D651EB-B403-4426-8621-6FBECDFCA5BD}"/>
    <cellStyle name="Normal 9 3 3 4 2 2 5" xfId="17193" xr:uid="{5118A856-A717-48D8-806E-EEF4CADCCB08}"/>
    <cellStyle name="Normal 9 3 3 4 2 3" xfId="39168" xr:uid="{AA94F474-9180-4874-A040-7CE6E28E3849}"/>
    <cellStyle name="Normal 9 3 3 4 2 4" xfId="30720" xr:uid="{E7C298C1-48EB-45A7-8EA8-D241D8197BD1}"/>
    <cellStyle name="Normal 9 3 3 4 2 5" xfId="22273" xr:uid="{EAE29D39-490B-4970-9BE8-6F524EED7667}"/>
    <cellStyle name="Normal 9 3 3 4 2 6" xfId="12976" xr:uid="{850C47B6-2F35-401F-AE19-D47047A58E8F}"/>
    <cellStyle name="Normal 9 3 3 4 3" xfId="5722" xr:uid="{00000000-0005-0000-0000-000016200000}"/>
    <cellStyle name="Normal 9 3 3 4 3 2" xfId="41240" xr:uid="{5A3E8921-C2F4-4042-87E4-835B5C84AB1E}"/>
    <cellStyle name="Normal 9 3 3 4 3 3" xfId="32793" xr:uid="{FF44F7D5-486F-409C-8178-3CC4D1CE73FE}"/>
    <cellStyle name="Normal 9 3 3 4 3 4" xfId="24345" xr:uid="{4BBE3D07-3EB0-47B5-8354-DCCF8C5E0EFF}"/>
    <cellStyle name="Normal 9 3 3 4 3 5" xfId="15048" xr:uid="{BB985570-D9F8-4451-9A26-6E8314FBA414}"/>
    <cellStyle name="Normal 9 3 3 4 4" xfId="37023" xr:uid="{98FB12CC-205E-4BAB-8B70-D776EDE4E83E}"/>
    <cellStyle name="Normal 9 3 3 4 5" xfId="28575" xr:uid="{3FC97E4C-5DC8-4C19-A957-9E14B122E9ED}"/>
    <cellStyle name="Normal 9 3 3 4 6" xfId="20128" xr:uid="{6CD605DC-03DE-4BC6-9BC1-A1E83DB95CFB}"/>
    <cellStyle name="Normal 9 3 3 4 7" xfId="10831" xr:uid="{64334A8A-CB25-402F-970D-5241A9627C5E}"/>
    <cellStyle name="Normal 9 3 3 5" xfId="1828" xr:uid="{00000000-0005-0000-0000-000017200000}"/>
    <cellStyle name="Normal 9 3 3 5 2" xfId="4058" xr:uid="{00000000-0005-0000-0000-000018200000}"/>
    <cellStyle name="Normal 9 3 3 5 2 2" xfId="8280" xr:uid="{00000000-0005-0000-0000-000019200000}"/>
    <cellStyle name="Normal 9 3 3 5 2 2 2" xfId="43798" xr:uid="{7B4EE685-A3F1-4979-9E83-CAC808B5C48B}"/>
    <cellStyle name="Normal 9 3 3 5 2 2 3" xfId="35351" xr:uid="{F91CF2C8-59AA-4C46-8E8E-13175BB6B12E}"/>
    <cellStyle name="Normal 9 3 3 5 2 2 4" xfId="26903" xr:uid="{DCFA0DAF-F0AE-4FF1-BC01-896D1761960C}"/>
    <cellStyle name="Normal 9 3 3 5 2 2 5" xfId="17606" xr:uid="{562F0381-6DEF-4367-BC17-D2BE32B1C964}"/>
    <cellStyle name="Normal 9 3 3 5 2 3" xfId="39581" xr:uid="{9B89090E-3413-4402-93E6-4584544ECDC0}"/>
    <cellStyle name="Normal 9 3 3 5 2 4" xfId="31133" xr:uid="{E75C1F67-F690-4606-9861-70EF96AA8EB5}"/>
    <cellStyle name="Normal 9 3 3 5 2 5" xfId="22686" xr:uid="{068C3E01-D8FD-4A38-B234-6D44B8BDE576}"/>
    <cellStyle name="Normal 9 3 3 5 2 6" xfId="13389" xr:uid="{AE203518-905B-4084-AC20-A1A2A82B1D5C}"/>
    <cellStyle name="Normal 9 3 3 5 3" xfId="6135" xr:uid="{00000000-0005-0000-0000-00001A200000}"/>
    <cellStyle name="Normal 9 3 3 5 3 2" xfId="41653" xr:uid="{8793EAF3-E199-4B63-8746-4CBF55D1A978}"/>
    <cellStyle name="Normal 9 3 3 5 3 3" xfId="33206" xr:uid="{B3029DC3-EBE1-4E13-993A-C79DFB9A6299}"/>
    <cellStyle name="Normal 9 3 3 5 3 4" xfId="24758" xr:uid="{42694891-730C-40C0-B610-516F3F58AC37}"/>
    <cellStyle name="Normal 9 3 3 5 3 5" xfId="15461" xr:uid="{86DDA8F6-D615-4EF7-8697-67DA8783ADC6}"/>
    <cellStyle name="Normal 9 3 3 5 4" xfId="37436" xr:uid="{86292F43-CED0-438F-BE51-81115F912B61}"/>
    <cellStyle name="Normal 9 3 3 5 5" xfId="28988" xr:uid="{982F8DCE-6095-4BFC-90D4-446AE65867B1}"/>
    <cellStyle name="Normal 9 3 3 5 6" xfId="20541" xr:uid="{CB899AEF-3DFD-49EB-82AA-85D2D09D9EA4}"/>
    <cellStyle name="Normal 9 3 3 5 7" xfId="11244" xr:uid="{05FDB3B8-6588-4EDA-8380-B147206FE0AC}"/>
    <cellStyle name="Normal 9 3 3 6" xfId="2242" xr:uid="{00000000-0005-0000-0000-00001B200000}"/>
    <cellStyle name="Normal 9 3 3 6 2" xfId="4471" xr:uid="{00000000-0005-0000-0000-00001C200000}"/>
    <cellStyle name="Normal 9 3 3 6 2 2" xfId="8693" xr:uid="{00000000-0005-0000-0000-00001D200000}"/>
    <cellStyle name="Normal 9 3 3 6 2 2 2" xfId="44211" xr:uid="{255324C2-9C49-454A-8BEF-A7F28301692F}"/>
    <cellStyle name="Normal 9 3 3 6 2 2 3" xfId="35764" xr:uid="{E66372FD-E3B6-48F4-A637-4ECB78C5D52A}"/>
    <cellStyle name="Normal 9 3 3 6 2 2 4" xfId="27316" xr:uid="{BB6E2ABF-BAD5-4BD8-BA66-5F019495710E}"/>
    <cellStyle name="Normal 9 3 3 6 2 2 5" xfId="18019" xr:uid="{CEB49697-A3F2-4435-A0EE-2A824ADB14B8}"/>
    <cellStyle name="Normal 9 3 3 6 2 3" xfId="39994" xr:uid="{7CA0D462-0A6E-42A0-A1F1-23A1A2BF742F}"/>
    <cellStyle name="Normal 9 3 3 6 2 4" xfId="31546" xr:uid="{20BBED2E-AA7D-440F-8235-6A3814C1084C}"/>
    <cellStyle name="Normal 9 3 3 6 2 5" xfId="23099" xr:uid="{F8CB2098-1805-4B13-91C7-339DCCE6185F}"/>
    <cellStyle name="Normal 9 3 3 6 2 6" xfId="13802" xr:uid="{B0216A78-44CA-4E2C-9B13-2368E9902E77}"/>
    <cellStyle name="Normal 9 3 3 6 3" xfId="6548" xr:uid="{00000000-0005-0000-0000-00001E200000}"/>
    <cellStyle name="Normal 9 3 3 6 3 2" xfId="42066" xr:uid="{0A589952-0261-4BEA-8261-38A8DFE946B5}"/>
    <cellStyle name="Normal 9 3 3 6 3 3" xfId="33619" xr:uid="{1417BE58-5605-4253-B1B0-CA614777E23A}"/>
    <cellStyle name="Normal 9 3 3 6 3 4" xfId="25171" xr:uid="{5DCAB543-3301-4BC3-A213-1ADB6A2235A8}"/>
    <cellStyle name="Normal 9 3 3 6 3 5" xfId="15874" xr:uid="{269297C7-D9E3-4ED8-A1C6-87BE8E9463FA}"/>
    <cellStyle name="Normal 9 3 3 6 4" xfId="37849" xr:uid="{504A5995-05B3-452B-ACB3-B41E27321703}"/>
    <cellStyle name="Normal 9 3 3 6 5" xfId="29401" xr:uid="{82512D7C-9E95-4CB3-AE63-51589B54494A}"/>
    <cellStyle name="Normal 9 3 3 6 6" xfId="20954" xr:uid="{D6386F9E-A3C5-4AC6-939E-CE97849539C2}"/>
    <cellStyle name="Normal 9 3 3 6 7" xfId="11657" xr:uid="{B5E0DE83-4523-4B7A-8AC8-953E084437B4}"/>
    <cellStyle name="Normal 9 3 3 7" xfId="2678" xr:uid="{00000000-0005-0000-0000-00001F200000}"/>
    <cellStyle name="Normal 9 3 3 7 2" xfId="6961" xr:uid="{00000000-0005-0000-0000-000020200000}"/>
    <cellStyle name="Normal 9 3 3 7 2 2" xfId="42479" xr:uid="{3E61B846-E864-4A2F-B67E-1920AEDBE994}"/>
    <cellStyle name="Normal 9 3 3 7 2 3" xfId="34032" xr:uid="{234C5788-2BA8-4129-ADD3-AE27B04EB341}"/>
    <cellStyle name="Normal 9 3 3 7 2 4" xfId="25584" xr:uid="{FBB93291-D0FE-487A-A472-368F2E0DE82A}"/>
    <cellStyle name="Normal 9 3 3 7 2 5" xfId="16287" xr:uid="{8819BA90-353C-4F7C-9A52-226031C6A416}"/>
    <cellStyle name="Normal 9 3 3 7 3" xfId="38262" xr:uid="{1D3962DC-DE81-4E86-AFA5-693F549D7F3D}"/>
    <cellStyle name="Normal 9 3 3 7 4" xfId="29814" xr:uid="{9B527201-4673-49FC-8241-29B51412EF88}"/>
    <cellStyle name="Normal 9 3 3 7 5" xfId="21367" xr:uid="{506C05CB-DC49-4753-A476-0B6A641EF813}"/>
    <cellStyle name="Normal 9 3 3 7 6" xfId="12070" xr:uid="{1C87CE1F-F6A9-4EB2-B01C-76DABE9B76AA}"/>
    <cellStyle name="Normal 9 3 3 8" xfId="4896" xr:uid="{00000000-0005-0000-0000-000021200000}"/>
    <cellStyle name="Normal 9 3 3 8 2" xfId="40414" xr:uid="{30C710AB-3021-4F8C-84B0-5D4C9B6F29E4}"/>
    <cellStyle name="Normal 9 3 3 8 3" xfId="31967" xr:uid="{11E234DA-8937-4A58-B380-C71719B42277}"/>
    <cellStyle name="Normal 9 3 3 8 4" xfId="23519" xr:uid="{FCDD55A8-3D23-4667-94B2-DD4D9E615341}"/>
    <cellStyle name="Normal 9 3 3 8 5" xfId="14222" xr:uid="{030C6CAE-7780-42B8-A4C9-9DEE773C8B8C}"/>
    <cellStyle name="Normal 9 3 3 9" xfId="8880" xr:uid="{36521590-FD5B-45F7-80A9-41BA557EA820}"/>
    <cellStyle name="Normal 9 3 3 9 2" xfId="36197" xr:uid="{23E2F2F2-B572-4791-89AD-C05B051D485E}"/>
    <cellStyle name="Normal 9 3 3 9 3" xfId="18203" xr:uid="{BC8ECFFA-C708-4172-B2EF-EF706A6BA0AD}"/>
    <cellStyle name="Normal 9 3 4" xfId="534" xr:uid="{00000000-0005-0000-0000-000022200000}"/>
    <cellStyle name="Normal 9 3 4 10" xfId="19304" xr:uid="{9F229A60-5CC1-47AF-BF85-AB24FDE934C8}"/>
    <cellStyle name="Normal 9 3 4 11" xfId="10007" xr:uid="{FCF82715-7674-482D-8728-3879A998181A}"/>
    <cellStyle name="Normal 9 3 4 2" xfId="1001" xr:uid="{00000000-0005-0000-0000-000023200000}"/>
    <cellStyle name="Normal 9 3 4 2 2" xfId="3234" xr:uid="{00000000-0005-0000-0000-000024200000}"/>
    <cellStyle name="Normal 9 3 4 2 2 2" xfId="7456" xr:uid="{00000000-0005-0000-0000-000025200000}"/>
    <cellStyle name="Normal 9 3 4 2 2 2 2" xfId="42974" xr:uid="{1811ACFA-9F08-4E49-8094-0D62CCE347EA}"/>
    <cellStyle name="Normal 9 3 4 2 2 2 3" xfId="34527" xr:uid="{0E84E576-6280-4638-A130-10CCDF76D0FF}"/>
    <cellStyle name="Normal 9 3 4 2 2 2 4" xfId="26079" xr:uid="{237DF52F-37A9-4D26-8621-53D2AA63EDCF}"/>
    <cellStyle name="Normal 9 3 4 2 2 2 5" xfId="16782" xr:uid="{6C3088A6-5151-4B33-A6F9-761DD1221576}"/>
    <cellStyle name="Normal 9 3 4 2 2 3" xfId="38757" xr:uid="{62D60AEE-B908-460F-A590-2BA5D4F4E14F}"/>
    <cellStyle name="Normal 9 3 4 2 2 4" xfId="30309" xr:uid="{AF65EE2B-78CE-4771-AE94-893B1F7C584B}"/>
    <cellStyle name="Normal 9 3 4 2 2 5" xfId="21862" xr:uid="{D1D1C855-82C3-40A2-91C6-70ADD786CF2B}"/>
    <cellStyle name="Normal 9 3 4 2 2 6" xfId="12565" xr:uid="{373A5CCF-351C-4137-B138-BDD745115393}"/>
    <cellStyle name="Normal 9 3 4 2 3" xfId="5311" xr:uid="{00000000-0005-0000-0000-000026200000}"/>
    <cellStyle name="Normal 9 3 4 2 3 2" xfId="40829" xr:uid="{5E37C500-7FB8-41C1-AC15-539A1D28E6E0}"/>
    <cellStyle name="Normal 9 3 4 2 3 3" xfId="32382" xr:uid="{163679E2-BF6D-488E-8273-7B086FA3FEF2}"/>
    <cellStyle name="Normal 9 3 4 2 3 4" xfId="23934" xr:uid="{A62CEDA8-CABD-43F8-9529-0781F7746D23}"/>
    <cellStyle name="Normal 9 3 4 2 3 5" xfId="14637" xr:uid="{59468AA5-6788-4816-8867-F0496C57B537}"/>
    <cellStyle name="Normal 9 3 4 2 4" xfId="9409" xr:uid="{F8EFC02C-357C-44AD-9BF7-6459F3C595DA}"/>
    <cellStyle name="Normal 9 3 4 2 4 2" xfId="36612" xr:uid="{D62CEF56-08F9-4898-8787-9B5858E7516F}"/>
    <cellStyle name="Normal 9 3 4 2 4 3" xfId="18722" xr:uid="{BC0B5BF5-1BD3-4709-A6B8-2552D9229FA4}"/>
    <cellStyle name="Normal 9 3 4 2 5" xfId="28164" xr:uid="{8108E38C-6675-4DE9-9FDA-35D00E9F6A1E}"/>
    <cellStyle name="Normal 9 3 4 2 6" xfId="19717" xr:uid="{ED488520-1F3C-480D-8968-C1E04519275D}"/>
    <cellStyle name="Normal 9 3 4 2 7" xfId="10420" xr:uid="{CA98A7BD-2B74-4B1D-82F6-5998247717A9}"/>
    <cellStyle name="Normal 9 3 4 3" xfId="1417" xr:uid="{00000000-0005-0000-0000-000027200000}"/>
    <cellStyle name="Normal 9 3 4 3 2" xfId="3647" xr:uid="{00000000-0005-0000-0000-000028200000}"/>
    <cellStyle name="Normal 9 3 4 3 2 2" xfId="7869" xr:uid="{00000000-0005-0000-0000-000029200000}"/>
    <cellStyle name="Normal 9 3 4 3 2 2 2" xfId="43387" xr:uid="{A482854E-4517-4691-8364-A997E590DDA7}"/>
    <cellStyle name="Normal 9 3 4 3 2 2 3" xfId="34940" xr:uid="{AFEF564B-3E67-40CF-A72F-D4FFB37E978A}"/>
    <cellStyle name="Normal 9 3 4 3 2 2 4" xfId="26492" xr:uid="{51B6DB41-610B-483C-9A28-41F15EE67A0F}"/>
    <cellStyle name="Normal 9 3 4 3 2 2 5" xfId="17195" xr:uid="{66E1CB8C-E989-43B7-AD86-5AA41A3C1582}"/>
    <cellStyle name="Normal 9 3 4 3 2 3" xfId="39170" xr:uid="{49709028-2B6D-465A-B6C6-13E22F182399}"/>
    <cellStyle name="Normal 9 3 4 3 2 4" xfId="30722" xr:uid="{01CF16B7-24D5-48F0-B759-4CB3CD6E1BF9}"/>
    <cellStyle name="Normal 9 3 4 3 2 5" xfId="22275" xr:uid="{C53473FE-C776-4CEB-86E0-4DFCBBAF5BA9}"/>
    <cellStyle name="Normal 9 3 4 3 2 6" xfId="12978" xr:uid="{D91C1AD3-788E-4856-BEF2-950C14368F8B}"/>
    <cellStyle name="Normal 9 3 4 3 3" xfId="5724" xr:uid="{00000000-0005-0000-0000-00002A200000}"/>
    <cellStyle name="Normal 9 3 4 3 3 2" xfId="41242" xr:uid="{BBF4B6E8-9F47-4F0F-8979-BE7DD691D00C}"/>
    <cellStyle name="Normal 9 3 4 3 3 3" xfId="32795" xr:uid="{8649FB76-516E-411B-83E4-564E022B663F}"/>
    <cellStyle name="Normal 9 3 4 3 3 4" xfId="24347" xr:uid="{73A14F37-647D-44B6-BBF7-01C1AD5053EF}"/>
    <cellStyle name="Normal 9 3 4 3 3 5" xfId="15050" xr:uid="{6B76B3B4-481F-4193-AB8D-80EA43D93314}"/>
    <cellStyle name="Normal 9 3 4 3 4" xfId="37025" xr:uid="{509375CD-E6DE-459E-BE50-54719D3D6939}"/>
    <cellStyle name="Normal 9 3 4 3 5" xfId="28577" xr:uid="{63AA7345-3E39-4A15-BD4C-82FF86E2B7AA}"/>
    <cellStyle name="Normal 9 3 4 3 6" xfId="20130" xr:uid="{87D2D065-D67A-4AF7-AFAF-5BD58D66D2A9}"/>
    <cellStyle name="Normal 9 3 4 3 7" xfId="10833" xr:uid="{AF9C9524-F04F-4A71-AD91-4CBBCA8A1A36}"/>
    <cellStyle name="Normal 9 3 4 4" xfId="1830" xr:uid="{00000000-0005-0000-0000-00002B200000}"/>
    <cellStyle name="Normal 9 3 4 4 2" xfId="4060" xr:uid="{00000000-0005-0000-0000-00002C200000}"/>
    <cellStyle name="Normal 9 3 4 4 2 2" xfId="8282" xr:uid="{00000000-0005-0000-0000-00002D200000}"/>
    <cellStyle name="Normal 9 3 4 4 2 2 2" xfId="43800" xr:uid="{04007C83-0AB8-4FD8-8E39-16C23FBFD07A}"/>
    <cellStyle name="Normal 9 3 4 4 2 2 3" xfId="35353" xr:uid="{8FD337ED-8795-43B2-A397-3D01F5CF4A9C}"/>
    <cellStyle name="Normal 9 3 4 4 2 2 4" xfId="26905" xr:uid="{8143C80D-C515-4AA3-9809-22C90DD1B6B1}"/>
    <cellStyle name="Normal 9 3 4 4 2 2 5" xfId="17608" xr:uid="{BE06E1D3-A7B2-4951-AB36-71CB573BB066}"/>
    <cellStyle name="Normal 9 3 4 4 2 3" xfId="39583" xr:uid="{24C470F7-E16D-4577-82C5-319E11736DAF}"/>
    <cellStyle name="Normal 9 3 4 4 2 4" xfId="31135" xr:uid="{5F00332A-36D4-4F84-BD60-326AAEAB76E6}"/>
    <cellStyle name="Normal 9 3 4 4 2 5" xfId="22688" xr:uid="{CE6418F6-3D06-4DA4-9B0B-BA16A967590E}"/>
    <cellStyle name="Normal 9 3 4 4 2 6" xfId="13391" xr:uid="{E4A21D58-538B-48A6-A77F-FC326B979E78}"/>
    <cellStyle name="Normal 9 3 4 4 3" xfId="6137" xr:uid="{00000000-0005-0000-0000-00002E200000}"/>
    <cellStyle name="Normal 9 3 4 4 3 2" xfId="41655" xr:uid="{7CEE4844-D1ED-4835-97D0-CFBEB3FA4CF4}"/>
    <cellStyle name="Normal 9 3 4 4 3 3" xfId="33208" xr:uid="{8148DA59-503A-4642-A215-7C8342F09D0C}"/>
    <cellStyle name="Normal 9 3 4 4 3 4" xfId="24760" xr:uid="{6E524956-10F2-4E58-A142-2DF937F1AA83}"/>
    <cellStyle name="Normal 9 3 4 4 3 5" xfId="15463" xr:uid="{E6B55749-37C4-422D-B35D-7DADD2F920DF}"/>
    <cellStyle name="Normal 9 3 4 4 4" xfId="37438" xr:uid="{797F99C4-FFC5-411D-8047-A39133424609}"/>
    <cellStyle name="Normal 9 3 4 4 5" xfId="28990" xr:uid="{A53A7D7C-DC14-47E5-BCFD-D3D1430A47D6}"/>
    <cellStyle name="Normal 9 3 4 4 6" xfId="20543" xr:uid="{2CAEE4AF-8998-47A9-B7B1-4893FE8A65FC}"/>
    <cellStyle name="Normal 9 3 4 4 7" xfId="11246" xr:uid="{6873CA0E-9E4A-49EA-B4AF-A8DD66B33E5B}"/>
    <cellStyle name="Normal 9 3 4 5" xfId="2244" xr:uid="{00000000-0005-0000-0000-00002F200000}"/>
    <cellStyle name="Normal 9 3 4 5 2" xfId="4473" xr:uid="{00000000-0005-0000-0000-000030200000}"/>
    <cellStyle name="Normal 9 3 4 5 2 2" xfId="8695" xr:uid="{00000000-0005-0000-0000-000031200000}"/>
    <cellStyle name="Normal 9 3 4 5 2 2 2" xfId="44213" xr:uid="{CE3779B2-D90A-4D22-B01A-EA3410688286}"/>
    <cellStyle name="Normal 9 3 4 5 2 2 3" xfId="35766" xr:uid="{8BD6A59C-2577-4E7F-A2EB-2190D4323613}"/>
    <cellStyle name="Normal 9 3 4 5 2 2 4" xfId="27318" xr:uid="{43915DBD-2EFB-492F-87D4-066F050382F5}"/>
    <cellStyle name="Normal 9 3 4 5 2 2 5" xfId="18021" xr:uid="{4B6123E8-8316-4D82-9D7C-0FE86FF89C6C}"/>
    <cellStyle name="Normal 9 3 4 5 2 3" xfId="39996" xr:uid="{AE550ECD-8D85-4246-81D7-558FD9B8B213}"/>
    <cellStyle name="Normal 9 3 4 5 2 4" xfId="31548" xr:uid="{1454ABF8-FC55-40A1-A631-8F6BA94F7863}"/>
    <cellStyle name="Normal 9 3 4 5 2 5" xfId="23101" xr:uid="{3A438A3A-AF57-4FAC-B2DB-EC6C2F0E3D3F}"/>
    <cellStyle name="Normal 9 3 4 5 2 6" xfId="13804" xr:uid="{8F11ECAD-9620-4C1B-BD5A-0422A8C16AAB}"/>
    <cellStyle name="Normal 9 3 4 5 3" xfId="6550" xr:uid="{00000000-0005-0000-0000-000032200000}"/>
    <cellStyle name="Normal 9 3 4 5 3 2" xfId="42068" xr:uid="{7829DF84-1097-48AB-946C-62798C9DD0E1}"/>
    <cellStyle name="Normal 9 3 4 5 3 3" xfId="33621" xr:uid="{66337B8C-C42B-4866-B6FD-DC91CCF6D79B}"/>
    <cellStyle name="Normal 9 3 4 5 3 4" xfId="25173" xr:uid="{7E89210B-8010-42B2-A6DB-6F7723869FA0}"/>
    <cellStyle name="Normal 9 3 4 5 3 5" xfId="15876" xr:uid="{778772DA-0520-4825-BE58-01BBAC754F57}"/>
    <cellStyle name="Normal 9 3 4 5 4" xfId="37851" xr:uid="{65C5D680-53A2-4AAE-8B4A-196C5C0517EE}"/>
    <cellStyle name="Normal 9 3 4 5 5" xfId="29403" xr:uid="{AE7B06DB-93AA-4D3E-AB03-9D6E914CEF82}"/>
    <cellStyle name="Normal 9 3 4 5 6" xfId="20956" xr:uid="{65CB4D4F-F9CB-437B-AEB6-274EE4DF8AC9}"/>
    <cellStyle name="Normal 9 3 4 5 7" xfId="11659" xr:uid="{9A9290C3-7607-40D0-9DD1-6DCAEEEA4949}"/>
    <cellStyle name="Normal 9 3 4 6" xfId="2680" xr:uid="{00000000-0005-0000-0000-000033200000}"/>
    <cellStyle name="Normal 9 3 4 6 2" xfId="6963" xr:uid="{00000000-0005-0000-0000-000034200000}"/>
    <cellStyle name="Normal 9 3 4 6 2 2" xfId="42481" xr:uid="{5686AD36-1C4D-4928-9147-8905C14BD96B}"/>
    <cellStyle name="Normal 9 3 4 6 2 3" xfId="34034" xr:uid="{499D7689-63F2-48E5-B63D-6147B2678308}"/>
    <cellStyle name="Normal 9 3 4 6 2 4" xfId="25586" xr:uid="{258BA333-B68C-438F-817E-3C66E893C70E}"/>
    <cellStyle name="Normal 9 3 4 6 2 5" xfId="16289" xr:uid="{FCFA9C84-2DDA-4254-A9A8-48C51CC80613}"/>
    <cellStyle name="Normal 9 3 4 6 3" xfId="38264" xr:uid="{1ACEDEFD-66CA-4E27-A87A-C3E7FE3B2272}"/>
    <cellStyle name="Normal 9 3 4 6 4" xfId="29816" xr:uid="{DBB10044-42DD-4695-8745-888549F96991}"/>
    <cellStyle name="Normal 9 3 4 6 5" xfId="21369" xr:uid="{BBF6E053-D2CC-418F-913E-06C653666BB8}"/>
    <cellStyle name="Normal 9 3 4 6 6" xfId="12072" xr:uid="{42F3C67C-CEC6-46D5-B3DC-A237455CB3E4}"/>
    <cellStyle name="Normal 9 3 4 7" xfId="4898" xr:uid="{00000000-0005-0000-0000-000035200000}"/>
    <cellStyle name="Normal 9 3 4 7 2" xfId="40416" xr:uid="{7008A38B-2585-45AD-99ED-6B2418F239C3}"/>
    <cellStyle name="Normal 9 3 4 7 3" xfId="31969" xr:uid="{E199DC55-4AF1-40BF-86C9-65DC631C3E0A}"/>
    <cellStyle name="Normal 9 3 4 7 4" xfId="23521" xr:uid="{357A336B-E958-47AB-99A7-F9A15D7D78A2}"/>
    <cellStyle name="Normal 9 3 4 7 5" xfId="14224" xr:uid="{81B7CF7A-B344-4FDD-8E85-A9A2269D2029}"/>
    <cellStyle name="Normal 9 3 4 8" xfId="8984" xr:uid="{A39B104A-EAEF-4D5B-B504-6104111E924B}"/>
    <cellStyle name="Normal 9 3 4 8 2" xfId="36199" xr:uid="{07CD46CA-4F95-4FA6-8F71-E566D7161442}"/>
    <cellStyle name="Normal 9 3 4 8 3" xfId="18307" xr:uid="{446E7EB8-232E-40AB-9A20-601AF3BA99E6}"/>
    <cellStyle name="Normal 9 3 4 9" xfId="27751" xr:uid="{5BB10769-A7FB-497A-8519-01D68D780EB2}"/>
    <cellStyle name="Normal 9 3 5" xfId="994" xr:uid="{00000000-0005-0000-0000-000036200000}"/>
    <cellStyle name="Normal 9 3 5 2" xfId="3227" xr:uid="{00000000-0005-0000-0000-000037200000}"/>
    <cellStyle name="Normal 9 3 5 2 2" xfId="7449" xr:uid="{00000000-0005-0000-0000-000038200000}"/>
    <cellStyle name="Normal 9 3 5 2 2 2" xfId="42967" xr:uid="{D294291F-01E9-4EB1-8DAC-AC4535E8600A}"/>
    <cellStyle name="Normal 9 3 5 2 2 3" xfId="34520" xr:uid="{DCC3A255-C9B5-4322-9501-7B9D3E0B3CE5}"/>
    <cellStyle name="Normal 9 3 5 2 2 4" xfId="26072" xr:uid="{58B782F7-853E-4611-B0CE-3B895B6D8D17}"/>
    <cellStyle name="Normal 9 3 5 2 2 5" xfId="16775" xr:uid="{19E65D97-3F6D-4543-811B-D4AA109BAEED}"/>
    <cellStyle name="Normal 9 3 5 2 3" xfId="38750" xr:uid="{F525DF47-EB07-44A5-839A-298460810E2F}"/>
    <cellStyle name="Normal 9 3 5 2 4" xfId="30302" xr:uid="{3F59D9A3-640B-4ECE-BA4E-BEC9139ED088}"/>
    <cellStyle name="Normal 9 3 5 2 5" xfId="21855" xr:uid="{7DB405F2-AD1B-48F1-A88E-DDAD64B08507}"/>
    <cellStyle name="Normal 9 3 5 2 6" xfId="12558" xr:uid="{3C0F03EE-C2EC-4987-905E-59ABE2188BDF}"/>
    <cellStyle name="Normal 9 3 5 3" xfId="5304" xr:uid="{00000000-0005-0000-0000-000039200000}"/>
    <cellStyle name="Normal 9 3 5 3 2" xfId="40822" xr:uid="{6A0EF45D-B428-4DA0-8C54-27382770B9D3}"/>
    <cellStyle name="Normal 9 3 5 3 3" xfId="32375" xr:uid="{E32FC0F8-09B5-435C-98CC-11C963B1C589}"/>
    <cellStyle name="Normal 9 3 5 3 4" xfId="23927" xr:uid="{1E692A96-2CBB-44F0-A637-5D28A0D4ECE0}"/>
    <cellStyle name="Normal 9 3 5 3 5" xfId="14630" xr:uid="{F4DC0819-393C-4FD9-9360-8DED65D509D9}"/>
    <cellStyle name="Normal 9 3 5 4" xfId="9201" xr:uid="{46D523D7-8DEB-46FB-8F1C-8CE8C2FC3AD3}"/>
    <cellStyle name="Normal 9 3 5 4 2" xfId="36605" xr:uid="{9210F931-A065-4028-8AA5-5E423E2E8557}"/>
    <cellStyle name="Normal 9 3 5 4 3" xfId="18515" xr:uid="{A960FC79-AB13-4C8B-B05A-D380489A9519}"/>
    <cellStyle name="Normal 9 3 5 5" xfId="28157" xr:uid="{62486736-30D3-438F-B4A3-1A9C1755472C}"/>
    <cellStyle name="Normal 9 3 5 6" xfId="19710" xr:uid="{BAF85E0A-A829-4BC2-AEE8-AFDD4B23BF0E}"/>
    <cellStyle name="Normal 9 3 5 7" xfId="10413" xr:uid="{DCA1A2C5-35CA-4653-A630-329073718D1D}"/>
    <cellStyle name="Normal 9 3 6" xfId="1410" xr:uid="{00000000-0005-0000-0000-00003A200000}"/>
    <cellStyle name="Normal 9 3 6 2" xfId="3640" xr:uid="{00000000-0005-0000-0000-00003B200000}"/>
    <cellStyle name="Normal 9 3 6 2 2" xfId="7862" xr:uid="{00000000-0005-0000-0000-00003C200000}"/>
    <cellStyle name="Normal 9 3 6 2 2 2" xfId="43380" xr:uid="{DEF843D8-6379-48F6-BEB2-7BE96F82AB7B}"/>
    <cellStyle name="Normal 9 3 6 2 2 3" xfId="34933" xr:uid="{CF7DD6BC-1BEE-42ED-8C8A-CF75F77F3EA9}"/>
    <cellStyle name="Normal 9 3 6 2 2 4" xfId="26485" xr:uid="{7E3AE8E7-ADF8-4CC6-BF19-DA6D8AC3165B}"/>
    <cellStyle name="Normal 9 3 6 2 2 5" xfId="17188" xr:uid="{B54AA8E9-19B6-464D-8FAD-5D6132071850}"/>
    <cellStyle name="Normal 9 3 6 2 3" xfId="39163" xr:uid="{AF57FCF8-058A-489F-8611-EF1E907B3739}"/>
    <cellStyle name="Normal 9 3 6 2 4" xfId="30715" xr:uid="{E07C1520-C5A2-43C9-ADC1-D88DC4071DC3}"/>
    <cellStyle name="Normal 9 3 6 2 5" xfId="22268" xr:uid="{D5C2DDDA-D871-45E5-B5B2-F8AEA4156CF5}"/>
    <cellStyle name="Normal 9 3 6 2 6" xfId="12971" xr:uid="{8575FE14-1682-4C65-A391-0FEA06C8322B}"/>
    <cellStyle name="Normal 9 3 6 3" xfId="5717" xr:uid="{00000000-0005-0000-0000-00003D200000}"/>
    <cellStyle name="Normal 9 3 6 3 2" xfId="41235" xr:uid="{228DE4D9-973B-435E-96E3-EC84AC0EC725}"/>
    <cellStyle name="Normal 9 3 6 3 3" xfId="32788" xr:uid="{ED10B7D8-1BC9-4FD8-91B1-1137592B4C73}"/>
    <cellStyle name="Normal 9 3 6 3 4" xfId="24340" xr:uid="{20679CBB-7A62-41A8-9CD9-AEFF9E4DB91B}"/>
    <cellStyle name="Normal 9 3 6 3 5" xfId="15043" xr:uid="{F24D4251-0E9D-4C9A-9F51-281C1BE4C921}"/>
    <cellStyle name="Normal 9 3 6 4" xfId="37018" xr:uid="{4002EDF5-5338-4961-9485-9F2108A0D0A8}"/>
    <cellStyle name="Normal 9 3 6 5" xfId="28570" xr:uid="{7AA82EC8-0068-405F-A508-B42B4A2CBAE6}"/>
    <cellStyle name="Normal 9 3 6 6" xfId="20123" xr:uid="{12396941-0DF8-4841-A03C-1F1641E87E37}"/>
    <cellStyle name="Normal 9 3 6 7" xfId="10826" xr:uid="{2C036EE0-A817-4EBD-9429-3006415DEF4F}"/>
    <cellStyle name="Normal 9 3 7" xfId="1823" xr:uid="{00000000-0005-0000-0000-00003E200000}"/>
    <cellStyle name="Normal 9 3 7 2" xfId="4053" xr:uid="{00000000-0005-0000-0000-00003F200000}"/>
    <cellStyle name="Normal 9 3 7 2 2" xfId="8275" xr:uid="{00000000-0005-0000-0000-000040200000}"/>
    <cellStyle name="Normal 9 3 7 2 2 2" xfId="43793" xr:uid="{7492D47D-847F-48B1-A6DF-EFD3F3D3FE69}"/>
    <cellStyle name="Normal 9 3 7 2 2 3" xfId="35346" xr:uid="{6D3B6DC5-2AFF-484E-A45A-E24200A497CB}"/>
    <cellStyle name="Normal 9 3 7 2 2 4" xfId="26898" xr:uid="{68180412-2390-446F-979B-28858C0014CE}"/>
    <cellStyle name="Normal 9 3 7 2 2 5" xfId="17601" xr:uid="{BD0FC8A6-EADA-43E2-A56D-679A97F67A8B}"/>
    <cellStyle name="Normal 9 3 7 2 3" xfId="39576" xr:uid="{A35A6FED-E16E-47E9-AA47-64687C3B5A04}"/>
    <cellStyle name="Normal 9 3 7 2 4" xfId="31128" xr:uid="{2483074F-0471-4BCC-A40F-4346D7C639C2}"/>
    <cellStyle name="Normal 9 3 7 2 5" xfId="22681" xr:uid="{2CB420DD-4F1C-4D60-BFF1-8030142C58F8}"/>
    <cellStyle name="Normal 9 3 7 2 6" xfId="13384" xr:uid="{BB1F0B56-2CEB-4F8C-95B3-5612A4CAF2FE}"/>
    <cellStyle name="Normal 9 3 7 3" xfId="6130" xr:uid="{00000000-0005-0000-0000-000041200000}"/>
    <cellStyle name="Normal 9 3 7 3 2" xfId="41648" xr:uid="{7B25746A-0FE3-4D8A-AD28-C22FAF54083F}"/>
    <cellStyle name="Normal 9 3 7 3 3" xfId="33201" xr:uid="{A3023553-D7E9-4D2F-8F4D-9913EAFBA7AB}"/>
    <cellStyle name="Normal 9 3 7 3 4" xfId="24753" xr:uid="{599B8406-FAAF-46EE-B316-1CFFB57EAC98}"/>
    <cellStyle name="Normal 9 3 7 3 5" xfId="15456" xr:uid="{A38AC0C4-5B00-4DFA-99CA-4DC11DC1A0DE}"/>
    <cellStyle name="Normal 9 3 7 4" xfId="37431" xr:uid="{8D695686-1AF8-49C1-A103-BA1403EBA0B5}"/>
    <cellStyle name="Normal 9 3 7 5" xfId="28983" xr:uid="{D383E9E9-2797-4725-9DA4-C19886141356}"/>
    <cellStyle name="Normal 9 3 7 6" xfId="20536" xr:uid="{A014EE1C-AF20-4CAE-9809-01E1F4240E99}"/>
    <cellStyle name="Normal 9 3 7 7" xfId="11239" xr:uid="{F8038953-84BD-4571-B9EA-01E610AD5003}"/>
    <cellStyle name="Normal 9 3 8" xfId="2237" xr:uid="{00000000-0005-0000-0000-000042200000}"/>
    <cellStyle name="Normal 9 3 8 2" xfId="4466" xr:uid="{00000000-0005-0000-0000-000043200000}"/>
    <cellStyle name="Normal 9 3 8 2 2" xfId="8688" xr:uid="{00000000-0005-0000-0000-000044200000}"/>
    <cellStyle name="Normal 9 3 8 2 2 2" xfId="44206" xr:uid="{0060A4D0-9567-4280-8A79-2C08CA653E9B}"/>
    <cellStyle name="Normal 9 3 8 2 2 3" xfId="35759" xr:uid="{44DBEA67-F531-41D3-B737-B167D0F5BB6D}"/>
    <cellStyle name="Normal 9 3 8 2 2 4" xfId="27311" xr:uid="{F47DC771-B3AC-4A25-B9FF-B88D734CD865}"/>
    <cellStyle name="Normal 9 3 8 2 2 5" xfId="18014" xr:uid="{E990A888-5EFF-4689-9590-7D421CFF1CE1}"/>
    <cellStyle name="Normal 9 3 8 2 3" xfId="39989" xr:uid="{4BCEF976-AFC1-4FB8-B343-259713134D66}"/>
    <cellStyle name="Normal 9 3 8 2 4" xfId="31541" xr:uid="{25A3833A-B821-4012-B535-B72AA915AD47}"/>
    <cellStyle name="Normal 9 3 8 2 5" xfId="23094" xr:uid="{D1C4015C-2DB1-4B1B-B0F9-48D14AC2028B}"/>
    <cellStyle name="Normal 9 3 8 2 6" xfId="13797" xr:uid="{D33B91B9-E454-4E54-BC00-512F85BB5702}"/>
    <cellStyle name="Normal 9 3 8 3" xfId="6543" xr:uid="{00000000-0005-0000-0000-000045200000}"/>
    <cellStyle name="Normal 9 3 8 3 2" xfId="42061" xr:uid="{4AC9578E-6C62-4C53-883F-4EBCAEB58FF2}"/>
    <cellStyle name="Normal 9 3 8 3 3" xfId="33614" xr:uid="{527FCCF2-C3E8-4243-BF88-22C9FE40EA6E}"/>
    <cellStyle name="Normal 9 3 8 3 4" xfId="25166" xr:uid="{5BD25CDE-E953-4C74-879A-002ACCFC0F53}"/>
    <cellStyle name="Normal 9 3 8 3 5" xfId="15869" xr:uid="{F986F89A-C2E2-4956-927C-FE5C429D4D76}"/>
    <cellStyle name="Normal 9 3 8 4" xfId="37844" xr:uid="{FD46FCF8-16B6-4B4C-A78C-EA01C8E61EC5}"/>
    <cellStyle name="Normal 9 3 8 5" xfId="29396" xr:uid="{6512F41D-58B4-48A1-BE56-000AD59622A7}"/>
    <cellStyle name="Normal 9 3 8 6" xfId="20949" xr:uid="{27B369EA-D311-438E-91D5-E1F808981826}"/>
    <cellStyle name="Normal 9 3 8 7" xfId="11652" xr:uid="{6853F46F-B5A9-488A-A0BF-01795726139D}"/>
    <cellStyle name="Normal 9 3 9" xfId="2673" xr:uid="{00000000-0005-0000-0000-000046200000}"/>
    <cellStyle name="Normal 9 3 9 2" xfId="6956" xr:uid="{00000000-0005-0000-0000-000047200000}"/>
    <cellStyle name="Normal 9 3 9 2 2" xfId="42474" xr:uid="{A7BC4DDA-F12D-4C95-938A-CACE2AB408E2}"/>
    <cellStyle name="Normal 9 3 9 2 3" xfId="34027" xr:uid="{ED0567BE-45BE-4A38-96E3-DFE19555F5E5}"/>
    <cellStyle name="Normal 9 3 9 2 4" xfId="25579" xr:uid="{5CEEB993-BA50-453A-9E89-223508974012}"/>
    <cellStyle name="Normal 9 3 9 2 5" xfId="16282" xr:uid="{B238A49B-6C39-40AF-A96C-CD25D1794281}"/>
    <cellStyle name="Normal 9 3 9 3" xfId="38257" xr:uid="{F568D711-5907-48CC-A678-C6E7E181B401}"/>
    <cellStyle name="Normal 9 3 9 4" xfId="29809" xr:uid="{6AFE12F8-F348-427C-88D3-21BE1BBA88A5}"/>
    <cellStyle name="Normal 9 3 9 5" xfId="21362" xr:uid="{4410B10C-1210-4F4E-AADB-4EDB41AEA62F}"/>
    <cellStyle name="Normal 9 3 9 6" xfId="12065" xr:uid="{1233732A-151A-4D84-B1DA-A8F8B86B8B4F}"/>
    <cellStyle name="Normal 9 4" xfId="535" xr:uid="{00000000-0005-0000-0000-000048200000}"/>
    <cellStyle name="Normal 9 4 2" xfId="1002" xr:uid="{00000000-0005-0000-0000-000049200000}"/>
    <cellStyle name="Normal 9 5" xfId="536" xr:uid="{00000000-0005-0000-0000-00004A200000}"/>
    <cellStyle name="Normal 9 5 10" xfId="27752" xr:uid="{2EEA0977-218F-406D-B6F2-FD215B445D70}"/>
    <cellStyle name="Normal 9 5 11" xfId="19305" xr:uid="{58938532-957B-4BF8-B4AF-9750B94895D4}"/>
    <cellStyle name="Normal 9 5 12" xfId="10008" xr:uid="{8B6ADF1D-DD53-4051-9918-4CB82762327F}"/>
    <cellStyle name="Normal 9 5 2" xfId="537" xr:uid="{00000000-0005-0000-0000-00004B200000}"/>
    <cellStyle name="Normal 9 5 2 10" xfId="19306" xr:uid="{F6AC75BE-D1A5-4BC9-8FAE-6D5F99E03FD2}"/>
    <cellStyle name="Normal 9 5 2 11" xfId="10009" xr:uid="{358C3B6F-6A62-4C39-8363-FFFF54D9A444}"/>
    <cellStyle name="Normal 9 5 2 2" xfId="1004" xr:uid="{00000000-0005-0000-0000-00004C200000}"/>
    <cellStyle name="Normal 9 5 2 2 2" xfId="3236" xr:uid="{00000000-0005-0000-0000-00004D200000}"/>
    <cellStyle name="Normal 9 5 2 2 2 2" xfId="7458" xr:uid="{00000000-0005-0000-0000-00004E200000}"/>
    <cellStyle name="Normal 9 5 2 2 2 2 2" xfId="42976" xr:uid="{502DBF78-98F5-4578-A10F-305CD62B3EC7}"/>
    <cellStyle name="Normal 9 5 2 2 2 2 3" xfId="34529" xr:uid="{9D5C7A37-17E4-49F1-BFD2-81786BB11253}"/>
    <cellStyle name="Normal 9 5 2 2 2 2 4" xfId="26081" xr:uid="{B07B4DF7-E134-4A40-96A1-4D8ACD154E5F}"/>
    <cellStyle name="Normal 9 5 2 2 2 2 5" xfId="16784" xr:uid="{13F6ABC4-2574-4205-B3C3-E8E3D28FCCB5}"/>
    <cellStyle name="Normal 9 5 2 2 2 3" xfId="38759" xr:uid="{CD087C29-EAF2-4444-A1E5-9B32B1117CDE}"/>
    <cellStyle name="Normal 9 5 2 2 2 4" xfId="30311" xr:uid="{2F86FE15-DA25-4598-8A34-B2A72F4D1DFD}"/>
    <cellStyle name="Normal 9 5 2 2 2 5" xfId="21864" xr:uid="{057110A3-396E-484D-8686-5A7F7ED959C7}"/>
    <cellStyle name="Normal 9 5 2 2 2 6" xfId="12567" xr:uid="{7E798208-2606-40A2-AFEE-756AD4F3D3A4}"/>
    <cellStyle name="Normal 9 5 2 2 3" xfId="5313" xr:uid="{00000000-0005-0000-0000-00004F200000}"/>
    <cellStyle name="Normal 9 5 2 2 3 2" xfId="40831" xr:uid="{C2EC44AC-A70C-4250-AD3F-1A0F49DC3922}"/>
    <cellStyle name="Normal 9 5 2 2 3 3" xfId="32384" xr:uid="{4F863985-3144-46A4-BC47-BDA9BCC19D65}"/>
    <cellStyle name="Normal 9 5 2 2 3 4" xfId="23936" xr:uid="{5F97B101-875E-4326-BDD3-3F6D27F3C743}"/>
    <cellStyle name="Normal 9 5 2 2 3 5" xfId="14639" xr:uid="{C21AAA15-0622-409F-B20B-9A6686C5EDA1}"/>
    <cellStyle name="Normal 9 5 2 2 4" xfId="9480" xr:uid="{BC9702BE-C2B3-450A-99DF-6FFE7C7A82FD}"/>
    <cellStyle name="Normal 9 5 2 2 4 2" xfId="36614" xr:uid="{8CF607DC-A8C1-4891-8CE5-DF136F165098}"/>
    <cellStyle name="Normal 9 5 2 2 4 3" xfId="18793" xr:uid="{7AC13675-273C-48A2-9E62-15F4EDA03394}"/>
    <cellStyle name="Normal 9 5 2 2 5" xfId="28166" xr:uid="{81FF39DC-ECAA-4C79-A491-1D938B3EE30A}"/>
    <cellStyle name="Normal 9 5 2 2 6" xfId="19719" xr:uid="{A6808045-9491-4B17-B866-A58789B23668}"/>
    <cellStyle name="Normal 9 5 2 2 7" xfId="10422" xr:uid="{8368BC8D-FB75-4FF5-A80D-FA8FD7185673}"/>
    <cellStyle name="Normal 9 5 2 3" xfId="1419" xr:uid="{00000000-0005-0000-0000-000050200000}"/>
    <cellStyle name="Normal 9 5 2 3 2" xfId="3649" xr:uid="{00000000-0005-0000-0000-000051200000}"/>
    <cellStyle name="Normal 9 5 2 3 2 2" xfId="7871" xr:uid="{00000000-0005-0000-0000-000052200000}"/>
    <cellStyle name="Normal 9 5 2 3 2 2 2" xfId="43389" xr:uid="{3A9E8CE9-32AF-4FBA-AAFB-0F9E183C7894}"/>
    <cellStyle name="Normal 9 5 2 3 2 2 3" xfId="34942" xr:uid="{FE586006-70BD-4EB6-AD8E-850DB9439D42}"/>
    <cellStyle name="Normal 9 5 2 3 2 2 4" xfId="26494" xr:uid="{031AEF5C-50EA-4517-8ADC-0460EC0063F7}"/>
    <cellStyle name="Normal 9 5 2 3 2 2 5" xfId="17197" xr:uid="{D506A501-F7C8-42FF-932C-03106B92E221}"/>
    <cellStyle name="Normal 9 5 2 3 2 3" xfId="39172" xr:uid="{CE5B7AA8-6773-4AA5-A6B2-337D08026146}"/>
    <cellStyle name="Normal 9 5 2 3 2 4" xfId="30724" xr:uid="{48A0BF9C-5AE3-460B-924F-E815B0F0C8AE}"/>
    <cellStyle name="Normal 9 5 2 3 2 5" xfId="22277" xr:uid="{709F01B3-BD0D-4CE2-A7E0-C999E1F5FA11}"/>
    <cellStyle name="Normal 9 5 2 3 2 6" xfId="12980" xr:uid="{252198F4-2145-4908-B38A-CC84A2B44635}"/>
    <cellStyle name="Normal 9 5 2 3 3" xfId="5726" xr:uid="{00000000-0005-0000-0000-000053200000}"/>
    <cellStyle name="Normal 9 5 2 3 3 2" xfId="41244" xr:uid="{610EF844-656F-482C-9C6A-8E0C4AA69C08}"/>
    <cellStyle name="Normal 9 5 2 3 3 3" xfId="32797" xr:uid="{47E45CD8-7B6B-4937-BB9D-93059095AB40}"/>
    <cellStyle name="Normal 9 5 2 3 3 4" xfId="24349" xr:uid="{20B97789-F032-4A20-9862-DB1AC23B8397}"/>
    <cellStyle name="Normal 9 5 2 3 3 5" xfId="15052" xr:uid="{99F84D9A-0439-40CD-95D9-B748B0856935}"/>
    <cellStyle name="Normal 9 5 2 3 4" xfId="37027" xr:uid="{C65226C9-BA7D-4181-8137-7555390FDEF2}"/>
    <cellStyle name="Normal 9 5 2 3 5" xfId="28579" xr:uid="{266E53C5-2D2B-4499-A7C4-8DA9016EE02C}"/>
    <cellStyle name="Normal 9 5 2 3 6" xfId="20132" xr:uid="{0D4ADC0B-BBE5-4713-8318-295700F7A858}"/>
    <cellStyle name="Normal 9 5 2 3 7" xfId="10835" xr:uid="{A8E3D0EA-BB29-4F32-9931-79615CDF0C20}"/>
    <cellStyle name="Normal 9 5 2 4" xfId="1832" xr:uid="{00000000-0005-0000-0000-000054200000}"/>
    <cellStyle name="Normal 9 5 2 4 2" xfId="4062" xr:uid="{00000000-0005-0000-0000-000055200000}"/>
    <cellStyle name="Normal 9 5 2 4 2 2" xfId="8284" xr:uid="{00000000-0005-0000-0000-000056200000}"/>
    <cellStyle name="Normal 9 5 2 4 2 2 2" xfId="43802" xr:uid="{822E56A0-5C1B-429F-8B83-740F8EC56EBB}"/>
    <cellStyle name="Normal 9 5 2 4 2 2 3" xfId="35355" xr:uid="{01B0000E-A4F3-4D07-8FFE-57ABC78C5988}"/>
    <cellStyle name="Normal 9 5 2 4 2 2 4" xfId="26907" xr:uid="{5D6E5507-C386-4837-89C5-CBE4903EBE05}"/>
    <cellStyle name="Normal 9 5 2 4 2 2 5" xfId="17610" xr:uid="{FABD0A83-2D39-43A0-9E39-4865C3D27490}"/>
    <cellStyle name="Normal 9 5 2 4 2 3" xfId="39585" xr:uid="{88565974-9D71-4D7A-A92E-D3EEBBDBAD80}"/>
    <cellStyle name="Normal 9 5 2 4 2 4" xfId="31137" xr:uid="{DD740121-EB03-4B74-8A51-3B13509A5812}"/>
    <cellStyle name="Normal 9 5 2 4 2 5" xfId="22690" xr:uid="{A2460C42-986B-4850-B68C-8BC69E799C8E}"/>
    <cellStyle name="Normal 9 5 2 4 2 6" xfId="13393" xr:uid="{E65CF24E-4D12-4469-88F7-97F57B25EF2B}"/>
    <cellStyle name="Normal 9 5 2 4 3" xfId="6139" xr:uid="{00000000-0005-0000-0000-000057200000}"/>
    <cellStyle name="Normal 9 5 2 4 3 2" xfId="41657" xr:uid="{23974329-9B58-4983-A66D-F15F111A19F4}"/>
    <cellStyle name="Normal 9 5 2 4 3 3" xfId="33210" xr:uid="{63B1EA69-7C32-44C9-B72E-5EE7E84B67BE}"/>
    <cellStyle name="Normal 9 5 2 4 3 4" xfId="24762" xr:uid="{B2BC0F15-45FF-4E3C-9365-763FEDD53AC2}"/>
    <cellStyle name="Normal 9 5 2 4 3 5" xfId="15465" xr:uid="{07502A8B-F16A-4956-A033-A924B2AD8280}"/>
    <cellStyle name="Normal 9 5 2 4 4" xfId="37440" xr:uid="{50ADAA43-5EE1-4C57-8F5A-61719957FC3E}"/>
    <cellStyle name="Normal 9 5 2 4 5" xfId="28992" xr:uid="{534135E8-8BCB-4345-8B87-A7FE03D29CF9}"/>
    <cellStyle name="Normal 9 5 2 4 6" xfId="20545" xr:uid="{08EF9EE4-3DAD-45C7-B516-D629B3572CA4}"/>
    <cellStyle name="Normal 9 5 2 4 7" xfId="11248" xr:uid="{74439B74-A210-48F7-A14F-C047E46D98D4}"/>
    <cellStyle name="Normal 9 5 2 5" xfId="2246" xr:uid="{00000000-0005-0000-0000-000058200000}"/>
    <cellStyle name="Normal 9 5 2 5 2" xfId="4475" xr:uid="{00000000-0005-0000-0000-000059200000}"/>
    <cellStyle name="Normal 9 5 2 5 2 2" xfId="8697" xr:uid="{00000000-0005-0000-0000-00005A200000}"/>
    <cellStyle name="Normal 9 5 2 5 2 2 2" xfId="44215" xr:uid="{FA9349D1-E349-4E0D-B2B2-E1952CA3BF02}"/>
    <cellStyle name="Normal 9 5 2 5 2 2 3" xfId="35768" xr:uid="{F8788F11-F5E2-4673-80E5-F89A80AB8593}"/>
    <cellStyle name="Normal 9 5 2 5 2 2 4" xfId="27320" xr:uid="{2A39548E-3C55-4BA2-A075-13B12A42BE3B}"/>
    <cellStyle name="Normal 9 5 2 5 2 2 5" xfId="18023" xr:uid="{2A633235-9BD6-436A-AA5A-8E0D32297B28}"/>
    <cellStyle name="Normal 9 5 2 5 2 3" xfId="39998" xr:uid="{9FEC6C11-764D-4914-ABC9-CF257F38FD6E}"/>
    <cellStyle name="Normal 9 5 2 5 2 4" xfId="31550" xr:uid="{047EA1FE-B0D8-4A40-AC66-72DEB60DBDB3}"/>
    <cellStyle name="Normal 9 5 2 5 2 5" xfId="23103" xr:uid="{066ED378-5B22-48A1-8EC8-BA18CC7CE293}"/>
    <cellStyle name="Normal 9 5 2 5 2 6" xfId="13806" xr:uid="{53754ED5-B07A-4881-9355-85688241F5C2}"/>
    <cellStyle name="Normal 9 5 2 5 3" xfId="6552" xr:uid="{00000000-0005-0000-0000-00005B200000}"/>
    <cellStyle name="Normal 9 5 2 5 3 2" xfId="42070" xr:uid="{84700440-E132-434F-93E2-5E4FD974534D}"/>
    <cellStyle name="Normal 9 5 2 5 3 3" xfId="33623" xr:uid="{181BF691-F462-4127-85F0-DBA74583E706}"/>
    <cellStyle name="Normal 9 5 2 5 3 4" xfId="25175" xr:uid="{607996F9-AF07-4C46-A2A4-327026349836}"/>
    <cellStyle name="Normal 9 5 2 5 3 5" xfId="15878" xr:uid="{726900AE-0534-4A38-944D-1E71D89427F7}"/>
    <cellStyle name="Normal 9 5 2 5 4" xfId="37853" xr:uid="{3AAF391E-8C45-4901-9C21-6DE8B34BB644}"/>
    <cellStyle name="Normal 9 5 2 5 5" xfId="29405" xr:uid="{54990E65-825F-4B5F-87A6-BB6DC76D1C3B}"/>
    <cellStyle name="Normal 9 5 2 5 6" xfId="20958" xr:uid="{A50A444F-1D5C-4A02-8213-47B22B833750}"/>
    <cellStyle name="Normal 9 5 2 5 7" xfId="11661" xr:uid="{339D8615-65B6-45E8-A8D4-5C512B8CDAC6}"/>
    <cellStyle name="Normal 9 5 2 6" xfId="2682" xr:uid="{00000000-0005-0000-0000-00005C200000}"/>
    <cellStyle name="Normal 9 5 2 6 2" xfId="6965" xr:uid="{00000000-0005-0000-0000-00005D200000}"/>
    <cellStyle name="Normal 9 5 2 6 2 2" xfId="42483" xr:uid="{D5506D79-9F62-4F24-AC46-AFB9E22CEB07}"/>
    <cellStyle name="Normal 9 5 2 6 2 3" xfId="34036" xr:uid="{7CA7CEC2-AC46-4247-B0A9-C098BBED5135}"/>
    <cellStyle name="Normal 9 5 2 6 2 4" xfId="25588" xr:uid="{D62D014F-362E-4122-BBD4-CB6BDFC75607}"/>
    <cellStyle name="Normal 9 5 2 6 2 5" xfId="16291" xr:uid="{2AB216C3-5D08-4487-862A-4C3DEA291387}"/>
    <cellStyle name="Normal 9 5 2 6 3" xfId="38266" xr:uid="{DB78D0AE-3E3B-4022-BC66-9E87E52FF89D}"/>
    <cellStyle name="Normal 9 5 2 6 4" xfId="29818" xr:uid="{D007E42A-5809-4FB2-91A2-5DAC19DBFC8F}"/>
    <cellStyle name="Normal 9 5 2 6 5" xfId="21371" xr:uid="{BDA4D97A-2317-4CD5-8955-FA8D78E6C5C5}"/>
    <cellStyle name="Normal 9 5 2 6 6" xfId="12074" xr:uid="{491ED0BB-A507-4A95-A90A-99A239CC71C5}"/>
    <cellStyle name="Normal 9 5 2 7" xfId="4900" xr:uid="{00000000-0005-0000-0000-00005E200000}"/>
    <cellStyle name="Normal 9 5 2 7 2" xfId="40418" xr:uid="{74572EE4-62C7-4F9F-9A38-0F8E354B7A5F}"/>
    <cellStyle name="Normal 9 5 2 7 3" xfId="31971" xr:uid="{480AEE82-F809-423D-99E6-1A334B899F86}"/>
    <cellStyle name="Normal 9 5 2 7 4" xfId="23523" xr:uid="{E06D9E62-6CEE-42AC-9FCF-6B7CD4DB7029}"/>
    <cellStyle name="Normal 9 5 2 7 5" xfId="14226" xr:uid="{2095724C-420D-4DB4-973C-BA38A1F0C8AB}"/>
    <cellStyle name="Normal 9 5 2 8" xfId="9055" xr:uid="{3DD071E2-A4B3-45E3-9F20-3C2D5AEE5CB2}"/>
    <cellStyle name="Normal 9 5 2 8 2" xfId="36201" xr:uid="{373AD306-034D-41BF-814C-624E3EB06CBD}"/>
    <cellStyle name="Normal 9 5 2 8 3" xfId="18378" xr:uid="{A4FB47C4-9117-4915-8645-08688E2E3A3C}"/>
    <cellStyle name="Normal 9 5 2 9" xfId="27753" xr:uid="{7A0339C9-73BE-452D-830F-4931FBA8D8B7}"/>
    <cellStyle name="Normal 9 5 3" xfId="1003" xr:uid="{00000000-0005-0000-0000-00005F200000}"/>
    <cellStyle name="Normal 9 5 3 2" xfId="3235" xr:uid="{00000000-0005-0000-0000-000060200000}"/>
    <cellStyle name="Normal 9 5 3 2 2" xfId="7457" xr:uid="{00000000-0005-0000-0000-000061200000}"/>
    <cellStyle name="Normal 9 5 3 2 2 2" xfId="42975" xr:uid="{0B68E5AF-4636-4ED0-8AC8-FAA03BB340D8}"/>
    <cellStyle name="Normal 9 5 3 2 2 3" xfId="34528" xr:uid="{56414759-5128-4DCD-85E7-70D8596347E3}"/>
    <cellStyle name="Normal 9 5 3 2 2 4" xfId="26080" xr:uid="{83DE8FE1-521A-4CC2-865F-15D298D218CF}"/>
    <cellStyle name="Normal 9 5 3 2 2 5" xfId="16783" xr:uid="{FA2C3B8E-7AAB-4436-82F8-DC0A5A646ED4}"/>
    <cellStyle name="Normal 9 5 3 2 3" xfId="38758" xr:uid="{333B1C76-FFEC-4443-87D9-DB31356FA043}"/>
    <cellStyle name="Normal 9 5 3 2 4" xfId="30310" xr:uid="{492ED1D3-3B4D-4580-B773-1A9CB20365FA}"/>
    <cellStyle name="Normal 9 5 3 2 5" xfId="21863" xr:uid="{993B85BD-05D4-45F4-BA1A-BA2152A74BD7}"/>
    <cellStyle name="Normal 9 5 3 2 6" xfId="12566" xr:uid="{4CEC524E-F74F-4823-ADBE-00C28E0E5735}"/>
    <cellStyle name="Normal 9 5 3 3" xfId="5312" xr:uid="{00000000-0005-0000-0000-000062200000}"/>
    <cellStyle name="Normal 9 5 3 3 2" xfId="40830" xr:uid="{9709B1A3-5CB7-44D1-868E-2550299F58A1}"/>
    <cellStyle name="Normal 9 5 3 3 3" xfId="32383" xr:uid="{B258D18D-FF2F-488A-9554-B67C7A0BE1BD}"/>
    <cellStyle name="Normal 9 5 3 3 4" xfId="23935" xr:uid="{A942976B-E4C7-4E58-A500-E493FD7840C9}"/>
    <cellStyle name="Normal 9 5 3 3 5" xfId="14638" xr:uid="{7E8811EF-AD51-4953-8422-243AE9911B2A}"/>
    <cellStyle name="Normal 9 5 3 4" xfId="9273" xr:uid="{AE6CB61B-02C5-436E-A328-3B2AC8AC9E53}"/>
    <cellStyle name="Normal 9 5 3 4 2" xfId="36613" xr:uid="{32C68546-88A3-4267-B564-D14DAE1EC6BE}"/>
    <cellStyle name="Normal 9 5 3 4 3" xfId="18586" xr:uid="{23AE5A51-40F5-4EDD-B1D5-E0DB6A34DD44}"/>
    <cellStyle name="Normal 9 5 3 5" xfId="28165" xr:uid="{825527ED-7684-46C5-B632-08AFE5B36549}"/>
    <cellStyle name="Normal 9 5 3 6" xfId="19718" xr:uid="{C858A610-D929-49B8-A633-4837A3BD43BB}"/>
    <cellStyle name="Normal 9 5 3 7" xfId="10421" xr:uid="{EDB3A9E0-42AA-48A2-A09F-0980E5C8D3A7}"/>
    <cellStyle name="Normal 9 5 4" xfId="1418" xr:uid="{00000000-0005-0000-0000-000063200000}"/>
    <cellStyle name="Normal 9 5 4 2" xfId="3648" xr:uid="{00000000-0005-0000-0000-000064200000}"/>
    <cellStyle name="Normal 9 5 4 2 2" xfId="7870" xr:uid="{00000000-0005-0000-0000-000065200000}"/>
    <cellStyle name="Normal 9 5 4 2 2 2" xfId="43388" xr:uid="{9B02EB78-609B-4120-A133-2792724D34A0}"/>
    <cellStyle name="Normal 9 5 4 2 2 3" xfId="34941" xr:uid="{4AF0D950-D481-48E8-813C-24318010505F}"/>
    <cellStyle name="Normal 9 5 4 2 2 4" xfId="26493" xr:uid="{13D9D6DB-44EF-40B6-B9ED-EBD0802A1FBA}"/>
    <cellStyle name="Normal 9 5 4 2 2 5" xfId="17196" xr:uid="{D7235972-BBF3-4F32-B54B-3AFB6937F77B}"/>
    <cellStyle name="Normal 9 5 4 2 3" xfId="39171" xr:uid="{EBBD758F-CA17-4C17-9EB0-C398FFD600EB}"/>
    <cellStyle name="Normal 9 5 4 2 4" xfId="30723" xr:uid="{75837324-2575-4E2A-9E8A-22AD5F05454D}"/>
    <cellStyle name="Normal 9 5 4 2 5" xfId="22276" xr:uid="{6E11CF2F-6BFA-4913-8083-1D1EB90FFBAC}"/>
    <cellStyle name="Normal 9 5 4 2 6" xfId="12979" xr:uid="{CFDFF65C-536F-47B5-A1D9-A8BB1CB944F0}"/>
    <cellStyle name="Normal 9 5 4 3" xfId="5725" xr:uid="{00000000-0005-0000-0000-000066200000}"/>
    <cellStyle name="Normal 9 5 4 3 2" xfId="41243" xr:uid="{DDDA21CB-B400-4452-AB4F-B628F51C7C77}"/>
    <cellStyle name="Normal 9 5 4 3 3" xfId="32796" xr:uid="{C7AFD9D1-E502-40DB-B81B-97064710B2D4}"/>
    <cellStyle name="Normal 9 5 4 3 4" xfId="24348" xr:uid="{09636A51-D2A7-46A0-B2C3-F3144C299B28}"/>
    <cellStyle name="Normal 9 5 4 3 5" xfId="15051" xr:uid="{CD7A75B9-7F87-4AF7-8DE9-4973D122EAE3}"/>
    <cellStyle name="Normal 9 5 4 4" xfId="37026" xr:uid="{FAED9607-4C59-41DA-8949-0F1320C4630A}"/>
    <cellStyle name="Normal 9 5 4 5" xfId="28578" xr:uid="{B537EFDB-B88E-4AD7-AB99-092E8F75FE9C}"/>
    <cellStyle name="Normal 9 5 4 6" xfId="20131" xr:uid="{F9EDA420-562F-4243-84BB-A7CB727E0528}"/>
    <cellStyle name="Normal 9 5 4 7" xfId="10834" xr:uid="{CE6CC33F-BE01-4585-868E-AB8B348A9CA3}"/>
    <cellStyle name="Normal 9 5 5" xfId="1831" xr:uid="{00000000-0005-0000-0000-000067200000}"/>
    <cellStyle name="Normal 9 5 5 2" xfId="4061" xr:uid="{00000000-0005-0000-0000-000068200000}"/>
    <cellStyle name="Normal 9 5 5 2 2" xfId="8283" xr:uid="{00000000-0005-0000-0000-000069200000}"/>
    <cellStyle name="Normal 9 5 5 2 2 2" xfId="43801" xr:uid="{34ACBF6C-5548-4362-99C4-E81A10999F7C}"/>
    <cellStyle name="Normal 9 5 5 2 2 3" xfId="35354" xr:uid="{3A2D446B-C250-4452-AE48-8EFAB1E06D1C}"/>
    <cellStyle name="Normal 9 5 5 2 2 4" xfId="26906" xr:uid="{D6293434-DAD3-4E36-8035-F3EAE910C04C}"/>
    <cellStyle name="Normal 9 5 5 2 2 5" xfId="17609" xr:uid="{B2F738C6-F62F-4AED-B3AD-852F32EB81D2}"/>
    <cellStyle name="Normal 9 5 5 2 3" xfId="39584" xr:uid="{91B8AD8D-E092-4016-B384-A7EAA493A756}"/>
    <cellStyle name="Normal 9 5 5 2 4" xfId="31136" xr:uid="{7CF9035A-568E-4747-B217-6F8DEAFA1303}"/>
    <cellStyle name="Normal 9 5 5 2 5" xfId="22689" xr:uid="{E05347D4-34A1-4EC9-9769-4E962303B45D}"/>
    <cellStyle name="Normal 9 5 5 2 6" xfId="13392" xr:uid="{7F245313-709C-4BFF-A1CB-8F6F82D8A207}"/>
    <cellStyle name="Normal 9 5 5 3" xfId="6138" xr:uid="{00000000-0005-0000-0000-00006A200000}"/>
    <cellStyle name="Normal 9 5 5 3 2" xfId="41656" xr:uid="{A580C683-CE89-493F-A116-1B18A6377374}"/>
    <cellStyle name="Normal 9 5 5 3 3" xfId="33209" xr:uid="{05111340-D7A4-4457-A2A3-4C22579F1137}"/>
    <cellStyle name="Normal 9 5 5 3 4" xfId="24761" xr:uid="{0456717D-73F8-468A-83EA-CBB5444288B6}"/>
    <cellStyle name="Normal 9 5 5 3 5" xfId="15464" xr:uid="{E14C89FD-D3A3-49D1-B879-68D4230FEFFD}"/>
    <cellStyle name="Normal 9 5 5 4" xfId="37439" xr:uid="{FDCBC775-5DBA-4766-8412-9F0CBE1EC154}"/>
    <cellStyle name="Normal 9 5 5 5" xfId="28991" xr:uid="{5E68F1F8-7BEE-4622-9D47-093F1D44C222}"/>
    <cellStyle name="Normal 9 5 5 6" xfId="20544" xr:uid="{DFF5A0E2-C8DE-4B14-B674-699B8C87AB87}"/>
    <cellStyle name="Normal 9 5 5 7" xfId="11247" xr:uid="{2D1ECAA1-022E-43A3-AE1A-BFAE5A535F26}"/>
    <cellStyle name="Normal 9 5 6" xfId="2245" xr:uid="{00000000-0005-0000-0000-00006B200000}"/>
    <cellStyle name="Normal 9 5 6 2" xfId="4474" xr:uid="{00000000-0005-0000-0000-00006C200000}"/>
    <cellStyle name="Normal 9 5 6 2 2" xfId="8696" xr:uid="{00000000-0005-0000-0000-00006D200000}"/>
    <cellStyle name="Normal 9 5 6 2 2 2" xfId="44214" xr:uid="{D49AC8A1-1D49-4F67-8621-7E959963934C}"/>
    <cellStyle name="Normal 9 5 6 2 2 3" xfId="35767" xr:uid="{276F4928-5083-488B-87C3-0C163BD0886D}"/>
    <cellStyle name="Normal 9 5 6 2 2 4" xfId="27319" xr:uid="{11BB9074-1410-4FF4-A875-4956A4146F3C}"/>
    <cellStyle name="Normal 9 5 6 2 2 5" xfId="18022" xr:uid="{118FCC4F-0096-4404-A6A4-8A27AC63A003}"/>
    <cellStyle name="Normal 9 5 6 2 3" xfId="39997" xr:uid="{78C18A6E-6C08-4D70-9C17-3BE7A8F6591D}"/>
    <cellStyle name="Normal 9 5 6 2 4" xfId="31549" xr:uid="{46EBBA63-535D-42A4-9699-A0CE054D0384}"/>
    <cellStyle name="Normal 9 5 6 2 5" xfId="23102" xr:uid="{02B9306B-B9B6-4202-953D-4E010CD62130}"/>
    <cellStyle name="Normal 9 5 6 2 6" xfId="13805" xr:uid="{1396E1A6-77C9-4612-B6F1-CDB4E1E632C1}"/>
    <cellStyle name="Normal 9 5 6 3" xfId="6551" xr:uid="{00000000-0005-0000-0000-00006E200000}"/>
    <cellStyle name="Normal 9 5 6 3 2" xfId="42069" xr:uid="{92F279B4-95AB-4199-A4A3-7B126F34AE30}"/>
    <cellStyle name="Normal 9 5 6 3 3" xfId="33622" xr:uid="{4FCF4516-692F-4821-B2D9-C68133FE76CA}"/>
    <cellStyle name="Normal 9 5 6 3 4" xfId="25174" xr:uid="{A041880C-6D1B-4422-9D41-D701E0DE2A0F}"/>
    <cellStyle name="Normal 9 5 6 3 5" xfId="15877" xr:uid="{BB82AB9F-5440-4B0D-BEB6-E5F15B097CAD}"/>
    <cellStyle name="Normal 9 5 6 4" xfId="37852" xr:uid="{F6353D2A-43D0-4880-B00F-B01A39633DCF}"/>
    <cellStyle name="Normal 9 5 6 5" xfId="29404" xr:uid="{8F57BBE7-DF5A-43CC-89F1-FFD96FF82269}"/>
    <cellStyle name="Normal 9 5 6 6" xfId="20957" xr:uid="{EB0A15B3-8EC6-4520-A6E3-C17B41CBA45F}"/>
    <cellStyle name="Normal 9 5 6 7" xfId="11660" xr:uid="{5C9ABC3D-38E8-48C5-B5E9-C1D0579AB4A9}"/>
    <cellStyle name="Normal 9 5 7" xfId="2681" xr:uid="{00000000-0005-0000-0000-00006F200000}"/>
    <cellStyle name="Normal 9 5 7 2" xfId="6964" xr:uid="{00000000-0005-0000-0000-000070200000}"/>
    <cellStyle name="Normal 9 5 7 2 2" xfId="42482" xr:uid="{3F73DE3A-0F68-4897-8BCE-978875407BFD}"/>
    <cellStyle name="Normal 9 5 7 2 3" xfId="34035" xr:uid="{A3649DA3-E033-43D8-A189-08C28A6B289A}"/>
    <cellStyle name="Normal 9 5 7 2 4" xfId="25587" xr:uid="{3D871C3D-F0A3-469C-AFD0-EF9FC4D20F2E}"/>
    <cellStyle name="Normal 9 5 7 2 5" xfId="16290" xr:uid="{EF8F7BAB-7659-4E80-810E-75C1B47064E5}"/>
    <cellStyle name="Normal 9 5 7 3" xfId="38265" xr:uid="{889149BA-ABFC-4DD5-B29A-5F5D7FA7F55F}"/>
    <cellStyle name="Normal 9 5 7 4" xfId="29817" xr:uid="{0C484ED1-017C-4D4F-9F51-3A32E2347F63}"/>
    <cellStyle name="Normal 9 5 7 5" xfId="21370" xr:uid="{E1C22D61-FA10-49F0-ADBF-88539653DB86}"/>
    <cellStyle name="Normal 9 5 7 6" xfId="12073" xr:uid="{93254329-7669-426F-9933-5BE76712223F}"/>
    <cellStyle name="Normal 9 5 8" xfId="4899" xr:uid="{00000000-0005-0000-0000-000071200000}"/>
    <cellStyle name="Normal 9 5 8 2" xfId="40417" xr:uid="{E2911E2E-F2F0-49CA-A9BC-09C7979306FE}"/>
    <cellStyle name="Normal 9 5 8 3" xfId="31970" xr:uid="{E133EEDD-2E5C-439C-8C32-6B5F09923EEB}"/>
    <cellStyle name="Normal 9 5 8 4" xfId="23522" xr:uid="{47AE9EA3-9279-4E81-8AD4-A01B5F3B67DB}"/>
    <cellStyle name="Normal 9 5 8 5" xfId="14225" xr:uid="{46465D82-744F-4AD2-A787-828DCEB007DF}"/>
    <cellStyle name="Normal 9 5 9" xfId="8848" xr:uid="{B1BE5F70-14E5-42B6-9EBA-D267F3B60A08}"/>
    <cellStyle name="Normal 9 5 9 2" xfId="36200" xr:uid="{D79AC138-2789-4B08-AA76-912B966B1ED8}"/>
    <cellStyle name="Normal 9 5 9 3" xfId="18171" xr:uid="{73AFDFE9-4804-4676-AC73-B1FDE37966F1}"/>
    <cellStyle name="Normal 9 6" xfId="538" xr:uid="{00000000-0005-0000-0000-000072200000}"/>
    <cellStyle name="Normal 9 6 10" xfId="19307" xr:uid="{C079698B-9F2D-4140-9214-C9014482B1FD}"/>
    <cellStyle name="Normal 9 6 11" xfId="10010" xr:uid="{8AC95D5A-4EA7-4A5A-AF33-06888C51E662}"/>
    <cellStyle name="Normal 9 6 2" xfId="1005" xr:uid="{00000000-0005-0000-0000-000073200000}"/>
    <cellStyle name="Normal 9 6 2 2" xfId="3237" xr:uid="{00000000-0005-0000-0000-000074200000}"/>
    <cellStyle name="Normal 9 6 2 2 2" xfId="7459" xr:uid="{00000000-0005-0000-0000-000075200000}"/>
    <cellStyle name="Normal 9 6 2 2 2 2" xfId="42977" xr:uid="{53370ABD-4F3F-4295-B288-622A01335F91}"/>
    <cellStyle name="Normal 9 6 2 2 2 3" xfId="34530" xr:uid="{D10CCC0E-1F38-41A9-9714-102577CFA381}"/>
    <cellStyle name="Normal 9 6 2 2 2 4" xfId="26082" xr:uid="{5BC77417-C7E0-4E95-B2E3-AFAC74401041}"/>
    <cellStyle name="Normal 9 6 2 2 2 5" xfId="16785" xr:uid="{08466F66-25B4-45D1-8517-474E897CA45E}"/>
    <cellStyle name="Normal 9 6 2 2 3" xfId="38760" xr:uid="{F801B244-9BF8-4C42-9AF7-A65AC1C86588}"/>
    <cellStyle name="Normal 9 6 2 2 4" xfId="30312" xr:uid="{FE735CCF-8770-4895-8833-EFB2949E1C47}"/>
    <cellStyle name="Normal 9 6 2 2 5" xfId="21865" xr:uid="{F4EF6D55-9DD0-4DDC-BAD0-B798EA63B17D}"/>
    <cellStyle name="Normal 9 6 2 2 6" xfId="12568" xr:uid="{6FC73016-D2D9-4DBB-894B-E0853E51B52D}"/>
    <cellStyle name="Normal 9 6 2 3" xfId="5314" xr:uid="{00000000-0005-0000-0000-000076200000}"/>
    <cellStyle name="Normal 9 6 2 3 2" xfId="40832" xr:uid="{09D80C8D-00CD-40EC-8D53-7464F9046FE4}"/>
    <cellStyle name="Normal 9 6 2 3 3" xfId="32385" xr:uid="{9697D764-4D22-44CF-8B61-704D28E53FD9}"/>
    <cellStyle name="Normal 9 6 2 3 4" xfId="23937" xr:uid="{774AA9CF-39D9-4113-849B-A2A1FF62FB0C}"/>
    <cellStyle name="Normal 9 6 2 3 5" xfId="14640" xr:uid="{C00C2BE3-FC14-49B6-9168-1F58F9464634}"/>
    <cellStyle name="Normal 9 6 2 4" xfId="9389" xr:uid="{2A0458F6-466A-4C3B-BA39-FF09FD770FDD}"/>
    <cellStyle name="Normal 9 6 2 4 2" xfId="36615" xr:uid="{EFE29076-CD88-4534-B6B8-60FD424A16BC}"/>
    <cellStyle name="Normal 9 6 2 4 3" xfId="18702" xr:uid="{3C41362C-3D42-404A-8E93-7F7B82CA1065}"/>
    <cellStyle name="Normal 9 6 2 5" xfId="28167" xr:uid="{336CED1F-EC3F-4B25-B8AA-C08B2E8C4DD8}"/>
    <cellStyle name="Normal 9 6 2 6" xfId="19720" xr:uid="{BFF420A2-308E-4EA1-B66C-5079171DDD1A}"/>
    <cellStyle name="Normal 9 6 2 7" xfId="10423" xr:uid="{E5BEE018-6096-4455-856D-B158B5EF5D9E}"/>
    <cellStyle name="Normal 9 6 3" xfId="1420" xr:uid="{00000000-0005-0000-0000-000077200000}"/>
    <cellStyle name="Normal 9 6 3 2" xfId="3650" xr:uid="{00000000-0005-0000-0000-000078200000}"/>
    <cellStyle name="Normal 9 6 3 2 2" xfId="7872" xr:uid="{00000000-0005-0000-0000-000079200000}"/>
    <cellStyle name="Normal 9 6 3 2 2 2" xfId="43390" xr:uid="{8670CC0E-0B6C-4C9B-8F59-5B818DBE7786}"/>
    <cellStyle name="Normal 9 6 3 2 2 3" xfId="34943" xr:uid="{B4520AEC-A3D7-445E-8969-5B1A58EC437F}"/>
    <cellStyle name="Normal 9 6 3 2 2 4" xfId="26495" xr:uid="{781A8F9B-9C49-4176-9C03-2530D22D972A}"/>
    <cellStyle name="Normal 9 6 3 2 2 5" xfId="17198" xr:uid="{7F311270-B184-4A61-8CA3-D90BE07FFB80}"/>
    <cellStyle name="Normal 9 6 3 2 3" xfId="39173" xr:uid="{94E8E209-E307-499F-854E-3D627990BECE}"/>
    <cellStyle name="Normal 9 6 3 2 4" xfId="30725" xr:uid="{0413C54F-4593-47DE-9936-1152A401A9A9}"/>
    <cellStyle name="Normal 9 6 3 2 5" xfId="22278" xr:uid="{AF4B70E6-BD83-4BEC-9BD9-76F752EF0549}"/>
    <cellStyle name="Normal 9 6 3 2 6" xfId="12981" xr:uid="{D835C234-C322-438E-A18B-0340D9A12C0D}"/>
    <cellStyle name="Normal 9 6 3 3" xfId="5727" xr:uid="{00000000-0005-0000-0000-00007A200000}"/>
    <cellStyle name="Normal 9 6 3 3 2" xfId="41245" xr:uid="{B50F022D-4BE3-48A2-821C-FD3547CA572D}"/>
    <cellStyle name="Normal 9 6 3 3 3" xfId="32798" xr:uid="{873B850A-815F-4659-8A84-51B0A39D57F1}"/>
    <cellStyle name="Normal 9 6 3 3 4" xfId="24350" xr:uid="{629053FB-94B2-44C9-AB81-88AA51741497}"/>
    <cellStyle name="Normal 9 6 3 3 5" xfId="15053" xr:uid="{8DE03F3E-30E8-4951-8A71-C5D14B12E756}"/>
    <cellStyle name="Normal 9 6 3 4" xfId="37028" xr:uid="{6BE5D450-35C4-4F80-BFFB-02883B660E66}"/>
    <cellStyle name="Normal 9 6 3 5" xfId="28580" xr:uid="{665900EE-1957-4988-A67F-9B934A08434C}"/>
    <cellStyle name="Normal 9 6 3 6" xfId="20133" xr:uid="{50426E6E-3B4F-4139-AAE8-B7CA719D4891}"/>
    <cellStyle name="Normal 9 6 3 7" xfId="10836" xr:uid="{CE8E42D5-A0E3-4640-A3B2-614B878211F9}"/>
    <cellStyle name="Normal 9 6 4" xfId="1833" xr:uid="{00000000-0005-0000-0000-00007B200000}"/>
    <cellStyle name="Normal 9 6 4 2" xfId="4063" xr:uid="{00000000-0005-0000-0000-00007C200000}"/>
    <cellStyle name="Normal 9 6 4 2 2" xfId="8285" xr:uid="{00000000-0005-0000-0000-00007D200000}"/>
    <cellStyle name="Normal 9 6 4 2 2 2" xfId="43803" xr:uid="{25AD627B-03FC-4602-8017-DF7A432244CA}"/>
    <cellStyle name="Normal 9 6 4 2 2 3" xfId="35356" xr:uid="{EDA1577A-4C28-4B18-86EA-0CF24EF8B3C6}"/>
    <cellStyle name="Normal 9 6 4 2 2 4" xfId="26908" xr:uid="{58908056-77CC-46E6-B891-091336CEBC34}"/>
    <cellStyle name="Normal 9 6 4 2 2 5" xfId="17611" xr:uid="{70611443-A039-411D-B00C-B9ED207440EF}"/>
    <cellStyle name="Normal 9 6 4 2 3" xfId="39586" xr:uid="{3D1478C9-343F-4018-BEAF-80A2C24981FE}"/>
    <cellStyle name="Normal 9 6 4 2 4" xfId="31138" xr:uid="{1766C983-D6D9-4391-B941-8A2B9E7F85DF}"/>
    <cellStyle name="Normal 9 6 4 2 5" xfId="22691" xr:uid="{19627DF1-F972-4DC7-A014-7B8ED44311F3}"/>
    <cellStyle name="Normal 9 6 4 2 6" xfId="13394" xr:uid="{FE02A8F5-F3EE-4DAA-BE57-540087CAA25E}"/>
    <cellStyle name="Normal 9 6 4 3" xfId="6140" xr:uid="{00000000-0005-0000-0000-00007E200000}"/>
    <cellStyle name="Normal 9 6 4 3 2" xfId="41658" xr:uid="{B438886D-80CA-4E6D-928B-0845DF399BBE}"/>
    <cellStyle name="Normal 9 6 4 3 3" xfId="33211" xr:uid="{9DB8CC89-F4B0-41C5-BA69-F09E30DD1020}"/>
    <cellStyle name="Normal 9 6 4 3 4" xfId="24763" xr:uid="{FC0214C4-D9F6-4826-A5F3-765B2F082A4A}"/>
    <cellStyle name="Normal 9 6 4 3 5" xfId="15466" xr:uid="{697692D1-295E-47D3-BF9E-83AD9E0D3F31}"/>
    <cellStyle name="Normal 9 6 4 4" xfId="37441" xr:uid="{F017A15B-6FB4-4C5D-B9E1-206A19968BB2}"/>
    <cellStyle name="Normal 9 6 4 5" xfId="28993" xr:uid="{81F1A48F-FB00-4D28-9C4D-8C0704AFBC83}"/>
    <cellStyle name="Normal 9 6 4 6" xfId="20546" xr:uid="{3A058803-36F0-44D7-A617-3953DB0D17A8}"/>
    <cellStyle name="Normal 9 6 4 7" xfId="11249" xr:uid="{F94047AB-6DB5-481B-B476-9D18B2C1E9AA}"/>
    <cellStyle name="Normal 9 6 5" xfId="2247" xr:uid="{00000000-0005-0000-0000-00007F200000}"/>
    <cellStyle name="Normal 9 6 5 2" xfId="4476" xr:uid="{00000000-0005-0000-0000-000080200000}"/>
    <cellStyle name="Normal 9 6 5 2 2" xfId="8698" xr:uid="{00000000-0005-0000-0000-000081200000}"/>
    <cellStyle name="Normal 9 6 5 2 2 2" xfId="44216" xr:uid="{6EF78A78-B97D-496D-BFCE-3EA43EDAD284}"/>
    <cellStyle name="Normal 9 6 5 2 2 3" xfId="35769" xr:uid="{D169137B-3F25-446C-A795-D8DCF234DD36}"/>
    <cellStyle name="Normal 9 6 5 2 2 4" xfId="27321" xr:uid="{406EF9E0-356E-42FC-A51A-728028B09ED0}"/>
    <cellStyle name="Normal 9 6 5 2 2 5" xfId="18024" xr:uid="{73874BBB-C869-4586-BC05-3A5A4970DC6A}"/>
    <cellStyle name="Normal 9 6 5 2 3" xfId="39999" xr:uid="{EB684550-AF15-43D5-8F07-28E752B29D1D}"/>
    <cellStyle name="Normal 9 6 5 2 4" xfId="31551" xr:uid="{3934DDB2-294A-4AAB-AA05-D42357FEB4C3}"/>
    <cellStyle name="Normal 9 6 5 2 5" xfId="23104" xr:uid="{31AE0F3A-8848-4EBD-8E71-BA8E084ADD1A}"/>
    <cellStyle name="Normal 9 6 5 2 6" xfId="13807" xr:uid="{40776DF8-F799-4238-AED4-F3BED7E18690}"/>
    <cellStyle name="Normal 9 6 5 3" xfId="6553" xr:uid="{00000000-0005-0000-0000-000082200000}"/>
    <cellStyle name="Normal 9 6 5 3 2" xfId="42071" xr:uid="{54D9ACB4-A6C4-4B7A-93FD-0DAFBAED0716}"/>
    <cellStyle name="Normal 9 6 5 3 3" xfId="33624" xr:uid="{3D3A19AE-A0CC-41D0-9576-5F63A15AFCE7}"/>
    <cellStyle name="Normal 9 6 5 3 4" xfId="25176" xr:uid="{2D9448CB-271A-4E08-AFA1-6450B344F519}"/>
    <cellStyle name="Normal 9 6 5 3 5" xfId="15879" xr:uid="{FF1FBF58-FFA9-42EA-ABE3-F94EF5CC2139}"/>
    <cellStyle name="Normal 9 6 5 4" xfId="37854" xr:uid="{B426A8F8-692A-40A0-B121-F64CE5BF219E}"/>
    <cellStyle name="Normal 9 6 5 5" xfId="29406" xr:uid="{746FDDB7-F9B9-4749-ADB0-31382D8885A1}"/>
    <cellStyle name="Normal 9 6 5 6" xfId="20959" xr:uid="{E2256EA9-C746-457A-94AC-F568E8188640}"/>
    <cellStyle name="Normal 9 6 5 7" xfId="11662" xr:uid="{FD1A62A3-9F6A-461E-9220-ED74D9CFF791}"/>
    <cellStyle name="Normal 9 6 6" xfId="2683" xr:uid="{00000000-0005-0000-0000-000083200000}"/>
    <cellStyle name="Normal 9 6 6 2" xfId="6966" xr:uid="{00000000-0005-0000-0000-000084200000}"/>
    <cellStyle name="Normal 9 6 6 2 2" xfId="42484" xr:uid="{3B9A0A97-D31C-4625-91D5-AA0C4B075C7B}"/>
    <cellStyle name="Normal 9 6 6 2 3" xfId="34037" xr:uid="{3A8DA5BA-228A-40AD-AE45-0660976A4EDA}"/>
    <cellStyle name="Normal 9 6 6 2 4" xfId="25589" xr:uid="{4FCC9860-5BDE-4082-9601-EBE632C11BB7}"/>
    <cellStyle name="Normal 9 6 6 2 5" xfId="16292" xr:uid="{8E5CA07F-0BC3-42DA-92C2-9DC2CC29C497}"/>
    <cellStyle name="Normal 9 6 6 3" xfId="38267" xr:uid="{77F1BB91-627D-4DB7-9185-8EF2658C78F6}"/>
    <cellStyle name="Normal 9 6 6 4" xfId="29819" xr:uid="{7BA6758F-8523-439B-A876-FF53A8523AAD}"/>
    <cellStyle name="Normal 9 6 6 5" xfId="21372" xr:uid="{AD50C6DF-AFAB-48F3-89A5-065FFC46FCBE}"/>
    <cellStyle name="Normal 9 6 6 6" xfId="12075" xr:uid="{7AB9345A-4632-4671-9666-669AFC4A48D2}"/>
    <cellStyle name="Normal 9 6 7" xfId="4901" xr:uid="{00000000-0005-0000-0000-000085200000}"/>
    <cellStyle name="Normal 9 6 7 2" xfId="40419" xr:uid="{D622FFDF-316B-44AC-8499-879C28AF10DA}"/>
    <cellStyle name="Normal 9 6 7 3" xfId="31972" xr:uid="{53FDAF07-C45A-4AED-990F-0C7E928CF78C}"/>
    <cellStyle name="Normal 9 6 7 4" xfId="23524" xr:uid="{0F8A0C2C-CFC8-4B18-9F4B-6C265BD0EE83}"/>
    <cellStyle name="Normal 9 6 7 5" xfId="14227" xr:uid="{2B8B4525-45E2-4B31-8A85-E9507D184971}"/>
    <cellStyle name="Normal 9 6 8" xfId="8964" xr:uid="{9BBC9C46-7A3A-4BC9-9542-DC33DFA165C2}"/>
    <cellStyle name="Normal 9 6 8 2" xfId="36202" xr:uid="{106A317E-22AA-4C14-8DEA-ECFE4B9399F1}"/>
    <cellStyle name="Normal 9 6 8 3" xfId="18287" xr:uid="{F22A41E5-C4C1-452F-91AE-6D666139218F}"/>
    <cellStyle name="Normal 9 6 9" xfId="27754" xr:uid="{78B432AE-600F-42F8-915C-03F2C8A3CFCE}"/>
    <cellStyle name="Normal 9 7" xfId="977" xr:uid="{00000000-0005-0000-0000-000086200000}"/>
    <cellStyle name="Normal 9 7 2" xfId="9609" xr:uid="{1246D22D-2382-4FAF-A8D6-CB26E2B9F9CE}"/>
    <cellStyle name="Normal 9 7 3" xfId="9167" xr:uid="{F9EED645-1D44-43CF-99A5-77176BA4CE36}"/>
    <cellStyle name="Normal 9 7 3 2" xfId="18483" xr:uid="{94316825-6C34-4941-87E8-AEF4581B507E}"/>
    <cellStyle name="Normal 9 8" xfId="8745" xr:uid="{C1852A12-4F74-491B-976C-56AD8D4478B4}"/>
    <cellStyle name="Normal 9 8 2" xfId="18068" xr:uid="{D99CDC3D-73C6-445E-AEC6-F1F565C4B2AD}"/>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42565" xr:uid="{DF11286A-E56B-4F06-9DE3-53DF05CEA5F4}"/>
    <cellStyle name="Note 2 2 10 2 3" xfId="34118" xr:uid="{69873308-462E-4E68-9E1C-C3C294EAD211}"/>
    <cellStyle name="Note 2 2 10 2 4" xfId="25670" xr:uid="{F4D000D5-E077-46B1-BEF1-1D1B160954E8}"/>
    <cellStyle name="Note 2 2 10 2 5" xfId="16373" xr:uid="{52061DA1-3DAF-461A-8244-CEBD3F51D74A}"/>
    <cellStyle name="Note 2 2 10 3" xfId="38348" xr:uid="{73B5BEA6-00D2-49CB-B659-2CB3916DEBDB}"/>
    <cellStyle name="Note 2 2 10 4" xfId="29900" xr:uid="{0A5FB84D-EFDA-4694-A268-4FFB637AB60F}"/>
    <cellStyle name="Note 2 2 10 5" xfId="21453" xr:uid="{41C38A6D-7E1C-41F2-8965-A2DF6591BF9A}"/>
    <cellStyle name="Note 2 2 10 6" xfId="12156" xr:uid="{AF8E1F00-621F-4C23-9131-792C83C7D9F1}"/>
    <cellStyle name="Note 2 2 11" xfId="4902" xr:uid="{00000000-0005-0000-0000-000094200000}"/>
    <cellStyle name="Note 2 2 11 2" xfId="40420" xr:uid="{DC6DA88F-EEC1-4AE8-B1DB-F1D0959624B3}"/>
    <cellStyle name="Note 2 2 11 3" xfId="31973" xr:uid="{76FAFBED-21C2-4352-9C5A-DC846D36AD61}"/>
    <cellStyle name="Note 2 2 11 4" xfId="23525" xr:uid="{D106E9FD-4861-4B8F-A694-1F74387D5EE8}"/>
    <cellStyle name="Note 2 2 11 5" xfId="14228" xr:uid="{9C04DF22-ECD1-491B-A16D-7A3F7AE6733D}"/>
    <cellStyle name="Note 2 2 12" xfId="8841" xr:uid="{E94E1FD8-31C4-4718-9658-C7A587CBF323}"/>
    <cellStyle name="Note 2 2 12 2" xfId="36203" xr:uid="{9DAD43ED-D032-4F15-A2C5-1C7FF497FD04}"/>
    <cellStyle name="Note 2 2 12 3" xfId="18164" xr:uid="{665B74BE-EB47-428A-9A06-88402535150C}"/>
    <cellStyle name="Note 2 2 13" xfId="27755" xr:uid="{759D886A-5D94-4B04-A836-919A472F7E13}"/>
    <cellStyle name="Note 2 2 14" xfId="19308" xr:uid="{3A5FE075-7790-4A26-85DD-790ADC56F14A}"/>
    <cellStyle name="Note 2 2 15" xfId="10011" xr:uid="{21347FDB-7202-4A43-AF35-1FC433843118}"/>
    <cellStyle name="Note 2 2 2" xfId="546" xr:uid="{00000000-0005-0000-0000-000095200000}"/>
    <cellStyle name="Note 2 2 2 10" xfId="4903" xr:uid="{00000000-0005-0000-0000-000096200000}"/>
    <cellStyle name="Note 2 2 2 10 2" xfId="40421" xr:uid="{1BCA64A7-E2A7-421C-9A6C-4B6905449BED}"/>
    <cellStyle name="Note 2 2 2 10 3" xfId="31974" xr:uid="{A335B3AB-E2BD-4C8D-BB93-A36D28E405A2}"/>
    <cellStyle name="Note 2 2 2 10 4" xfId="23526" xr:uid="{640D822E-875D-492D-BE82-22BFDAB94AAB}"/>
    <cellStyle name="Note 2 2 2 10 5" xfId="14229" xr:uid="{80D9AF45-C4BE-4175-B1F0-E6E8777BC4B7}"/>
    <cellStyle name="Note 2 2 2 11" xfId="8944" xr:uid="{B75A3404-A4A3-41D6-B6C3-54560C6DD592}"/>
    <cellStyle name="Note 2 2 2 11 2" xfId="36204" xr:uid="{988F51A0-DE4A-45B7-B7BA-57EB34F1C8FF}"/>
    <cellStyle name="Note 2 2 2 11 3" xfId="18267" xr:uid="{8B189FCA-012E-41F2-B4C7-3963738466B2}"/>
    <cellStyle name="Note 2 2 2 12" xfId="27756" xr:uid="{FCD4713E-CEC7-4CE1-9F49-2037559B50C3}"/>
    <cellStyle name="Note 2 2 2 13" xfId="19309" xr:uid="{2F59D6D0-8B1C-4E61-B949-221918268859}"/>
    <cellStyle name="Note 2 2 2 14" xfId="10012" xr:uid="{65879284-65B2-44C3-99F9-82C9848F2098}"/>
    <cellStyle name="Note 2 2 2 2" xfId="547" xr:uid="{00000000-0005-0000-0000-000097200000}"/>
    <cellStyle name="Note 2 2 2 2 10" xfId="9151" xr:uid="{DE810DD8-00EC-4339-9CFC-C84D5E182971}"/>
    <cellStyle name="Note 2 2 2 2 10 2" xfId="36205" xr:uid="{841FB004-87B0-40FC-A67B-96A385CD6DA3}"/>
    <cellStyle name="Note 2 2 2 2 10 3" xfId="18474" xr:uid="{2D35D206-4D15-460D-BAC8-1A395C06BE75}"/>
    <cellStyle name="Note 2 2 2 2 11" xfId="27757" xr:uid="{EE7BB5C0-6A3E-4944-9E1C-CD2D117F5748}"/>
    <cellStyle name="Note 2 2 2 2 12" xfId="19310" xr:uid="{262D2B1C-9C6D-48E7-962C-AE701C2CF396}"/>
    <cellStyle name="Note 2 2 2 2 13" xfId="10013" xr:uid="{94D71563-6ADE-4CDB-A5B6-12C446E0875E}"/>
    <cellStyle name="Note 2 2 2 2 2" xfId="1008" xr:uid="{00000000-0005-0000-0000-000098200000}"/>
    <cellStyle name="Note 2 2 2 2 2 2" xfId="3240" xr:uid="{00000000-0005-0000-0000-000099200000}"/>
    <cellStyle name="Note 2 2 2 2 2 2 2" xfId="7462" xr:uid="{00000000-0005-0000-0000-00009A200000}"/>
    <cellStyle name="Note 2 2 2 2 2 2 2 2" xfId="42980" xr:uid="{23D0C73F-B8A0-4A60-96E1-74229E3EFD43}"/>
    <cellStyle name="Note 2 2 2 2 2 2 2 3" xfId="34533" xr:uid="{9B78B3D3-9253-4D4B-9C79-4891C8DA064B}"/>
    <cellStyle name="Note 2 2 2 2 2 2 2 4" xfId="26085" xr:uid="{B665BC1B-79BB-4A8C-B928-DF78609A4F18}"/>
    <cellStyle name="Note 2 2 2 2 2 2 2 5" xfId="16788" xr:uid="{AE738DDF-1A9D-42B8-8B28-41839C3644FD}"/>
    <cellStyle name="Note 2 2 2 2 2 2 3" xfId="38763" xr:uid="{8E77F492-B7AB-4B95-ACFB-15ABFD52EC28}"/>
    <cellStyle name="Note 2 2 2 2 2 2 4" xfId="30315" xr:uid="{FD8C1DD0-2427-4306-93BB-87210B6F6CA2}"/>
    <cellStyle name="Note 2 2 2 2 2 2 5" xfId="21868" xr:uid="{6115920F-5047-4B3B-888D-A59DB7E06924}"/>
    <cellStyle name="Note 2 2 2 2 2 2 6" xfId="12571" xr:uid="{E468B04E-0EE9-4A3C-BB0F-F912E728DF84}"/>
    <cellStyle name="Note 2 2 2 2 2 3" xfId="5317" xr:uid="{00000000-0005-0000-0000-00009B200000}"/>
    <cellStyle name="Note 2 2 2 2 2 3 2" xfId="40835" xr:uid="{00C24F31-F096-411B-99B6-0AF0A9D3D2C4}"/>
    <cellStyle name="Note 2 2 2 2 2 3 3" xfId="32388" xr:uid="{12A34E07-6292-4121-BF95-A4CE83109552}"/>
    <cellStyle name="Note 2 2 2 2 2 3 4" xfId="23940" xr:uid="{FC6F31DB-1705-4FD9-91E7-CA72F9ED3AA7}"/>
    <cellStyle name="Note 2 2 2 2 2 3 5" xfId="14643" xr:uid="{F7750AC3-AD80-4EE7-9AF7-B0ACFA7CD52D}"/>
    <cellStyle name="Note 2 2 2 2 2 4" xfId="9576" xr:uid="{375E296C-598F-454E-B7C4-9E851CE02ED2}"/>
    <cellStyle name="Note 2 2 2 2 2 4 2" xfId="36618" xr:uid="{18BB5948-4694-4D8F-B315-547DED4D6B35}"/>
    <cellStyle name="Note 2 2 2 2 2 4 3" xfId="18889" xr:uid="{8C77CE38-A25C-4F7E-BB2C-05DBCCEB3211}"/>
    <cellStyle name="Note 2 2 2 2 2 5" xfId="28170" xr:uid="{FB96DCBA-5AB4-4B2D-B278-6AAA96A3F55D}"/>
    <cellStyle name="Note 2 2 2 2 2 6" xfId="19723" xr:uid="{FC0C8ACA-882B-4C8A-96D9-A294FD217005}"/>
    <cellStyle name="Note 2 2 2 2 2 7" xfId="10426" xr:uid="{B2CFBF2A-8B59-472E-A1DF-34D10D7D557F}"/>
    <cellStyle name="Note 2 2 2 2 3" xfId="1423" xr:uid="{00000000-0005-0000-0000-00009C200000}"/>
    <cellStyle name="Note 2 2 2 2 3 2" xfId="3653" xr:uid="{00000000-0005-0000-0000-00009D200000}"/>
    <cellStyle name="Note 2 2 2 2 3 2 2" xfId="7875" xr:uid="{00000000-0005-0000-0000-00009E200000}"/>
    <cellStyle name="Note 2 2 2 2 3 2 2 2" xfId="43393" xr:uid="{07DE8ABB-315D-47A6-B4A9-2FB72A6D2F43}"/>
    <cellStyle name="Note 2 2 2 2 3 2 2 3" xfId="34946" xr:uid="{2F567802-72CF-4D39-89E9-725534BC5944}"/>
    <cellStyle name="Note 2 2 2 2 3 2 2 4" xfId="26498" xr:uid="{E5318F35-7DFB-4559-A82F-4154A6A6C098}"/>
    <cellStyle name="Note 2 2 2 2 3 2 2 5" xfId="17201" xr:uid="{BB3DF2DE-C6B5-4CE2-85AF-18C5371C9A46}"/>
    <cellStyle name="Note 2 2 2 2 3 2 3" xfId="39176" xr:uid="{29CE9904-554F-436E-82C8-C2C75F756CB4}"/>
    <cellStyle name="Note 2 2 2 2 3 2 4" xfId="30728" xr:uid="{5EA2BA35-A553-4B00-9283-02ABCCCC41CD}"/>
    <cellStyle name="Note 2 2 2 2 3 2 5" xfId="22281" xr:uid="{99FB8887-CA08-48AC-B3B0-8ECBC26A10CD}"/>
    <cellStyle name="Note 2 2 2 2 3 2 6" xfId="12984" xr:uid="{A03CA7A9-3796-4FC0-9AAF-5953AD5012A8}"/>
    <cellStyle name="Note 2 2 2 2 3 3" xfId="5730" xr:uid="{00000000-0005-0000-0000-00009F200000}"/>
    <cellStyle name="Note 2 2 2 2 3 3 2" xfId="41248" xr:uid="{E66E7A2E-BF14-4AE7-B4FB-4A9E5B480120}"/>
    <cellStyle name="Note 2 2 2 2 3 3 3" xfId="32801" xr:uid="{C4B21EC7-D56C-489A-9D1C-838A7EF507E3}"/>
    <cellStyle name="Note 2 2 2 2 3 3 4" xfId="24353" xr:uid="{E5D51BAA-48C1-4FEE-BF0C-E6DC6F3C2201}"/>
    <cellStyle name="Note 2 2 2 2 3 3 5" xfId="15056" xr:uid="{EBE71970-985B-4D05-9CC7-7773B965EF70}"/>
    <cellStyle name="Note 2 2 2 2 3 4" xfId="37031" xr:uid="{425AD27A-F0E8-4608-9C4F-00F0A9C67DB3}"/>
    <cellStyle name="Note 2 2 2 2 3 5" xfId="28583" xr:uid="{32FEFFD6-1FB5-4D96-B2F8-4E9C9241AA8A}"/>
    <cellStyle name="Note 2 2 2 2 3 6" xfId="20136" xr:uid="{E8EE4399-9EFE-4F65-90A9-2784EDF999DE}"/>
    <cellStyle name="Note 2 2 2 2 3 7" xfId="10839" xr:uid="{5C2F4C55-F569-41D1-87D5-2FF1692789BC}"/>
    <cellStyle name="Note 2 2 2 2 4" xfId="1837" xr:uid="{00000000-0005-0000-0000-0000A0200000}"/>
    <cellStyle name="Note 2 2 2 2 4 2" xfId="4066" xr:uid="{00000000-0005-0000-0000-0000A1200000}"/>
    <cellStyle name="Note 2 2 2 2 4 2 2" xfId="8288" xr:uid="{00000000-0005-0000-0000-0000A2200000}"/>
    <cellStyle name="Note 2 2 2 2 4 2 2 2" xfId="43806" xr:uid="{935F4E7B-3357-42A3-8BEA-4D858767A86B}"/>
    <cellStyle name="Note 2 2 2 2 4 2 2 3" xfId="35359" xr:uid="{538E03DA-8A41-4C25-8CD9-C64319679384}"/>
    <cellStyle name="Note 2 2 2 2 4 2 2 4" xfId="26911" xr:uid="{C428BAEB-66F8-4D56-B9BC-615DA18213B4}"/>
    <cellStyle name="Note 2 2 2 2 4 2 2 5" xfId="17614" xr:uid="{108585A4-7F0A-4587-A592-30588132683A}"/>
    <cellStyle name="Note 2 2 2 2 4 2 3" xfId="39589" xr:uid="{3C0C0224-CC0F-461D-8C0D-9E67C22B5BEE}"/>
    <cellStyle name="Note 2 2 2 2 4 2 4" xfId="31141" xr:uid="{E9D5DCF8-8641-4B69-91B1-A7F316DAC44A}"/>
    <cellStyle name="Note 2 2 2 2 4 2 5" xfId="22694" xr:uid="{3228593E-4FD5-41C8-97EE-205925D2427E}"/>
    <cellStyle name="Note 2 2 2 2 4 2 6" xfId="13397" xr:uid="{C50F9FCA-C401-469B-881F-5F02165EF59E}"/>
    <cellStyle name="Note 2 2 2 2 4 3" xfId="6143" xr:uid="{00000000-0005-0000-0000-0000A3200000}"/>
    <cellStyle name="Note 2 2 2 2 4 3 2" xfId="41661" xr:uid="{9BE92667-01B7-48C7-A118-6252E4473433}"/>
    <cellStyle name="Note 2 2 2 2 4 3 3" xfId="33214" xr:uid="{1BA4C2AD-C21F-4FAB-A41A-5FD4C8812F05}"/>
    <cellStyle name="Note 2 2 2 2 4 3 4" xfId="24766" xr:uid="{15078D32-719C-4F74-9B09-DD091FD6CC8E}"/>
    <cellStyle name="Note 2 2 2 2 4 3 5" xfId="15469" xr:uid="{283AC0F0-CE53-420B-845B-504C0384EDFE}"/>
    <cellStyle name="Note 2 2 2 2 4 4" xfId="37444" xr:uid="{88536A5F-78CE-4CD1-A652-E89CDF4588EB}"/>
    <cellStyle name="Note 2 2 2 2 4 5" xfId="28996" xr:uid="{A7F7C9CA-20CC-46AE-AB3A-9368511A5DF9}"/>
    <cellStyle name="Note 2 2 2 2 4 6" xfId="20549" xr:uid="{A57C7625-7E54-4500-ACF2-381BB76C15F2}"/>
    <cellStyle name="Note 2 2 2 2 4 7" xfId="11252" xr:uid="{09596D43-BCEF-4E65-8F43-34BDED4A3818}"/>
    <cellStyle name="Note 2 2 2 2 5" xfId="2250" xr:uid="{00000000-0005-0000-0000-0000A4200000}"/>
    <cellStyle name="Note 2 2 2 2 5 2" xfId="4479" xr:uid="{00000000-0005-0000-0000-0000A5200000}"/>
    <cellStyle name="Note 2 2 2 2 5 2 2" xfId="8701" xr:uid="{00000000-0005-0000-0000-0000A6200000}"/>
    <cellStyle name="Note 2 2 2 2 5 2 2 2" xfId="44219" xr:uid="{554FEC38-7AC7-4DB5-A831-8DF79AC3B014}"/>
    <cellStyle name="Note 2 2 2 2 5 2 2 3" xfId="35772" xr:uid="{6F8DC247-2343-45AB-AC39-61FB57E7FAD9}"/>
    <cellStyle name="Note 2 2 2 2 5 2 2 4" xfId="27324" xr:uid="{8CB69E0F-A549-4A7F-8184-CF91B77E1AB5}"/>
    <cellStyle name="Note 2 2 2 2 5 2 2 5" xfId="18027" xr:uid="{AA6F80F3-3DC0-4EBD-8336-19FC8FCB61EE}"/>
    <cellStyle name="Note 2 2 2 2 5 2 3" xfId="40002" xr:uid="{34DA64CB-B1AD-448C-83E3-0687AD442C9A}"/>
    <cellStyle name="Note 2 2 2 2 5 2 4" xfId="31554" xr:uid="{F2E7B663-4A99-43A1-A25D-01618B7B9982}"/>
    <cellStyle name="Note 2 2 2 2 5 2 5" xfId="23107" xr:uid="{2B390FB1-7B19-4EE7-AF92-5503115E69FC}"/>
    <cellStyle name="Note 2 2 2 2 5 2 6" xfId="13810" xr:uid="{4C41D1FB-B604-4F23-BC0A-489984B63BBA}"/>
    <cellStyle name="Note 2 2 2 2 5 3" xfId="6556" xr:uid="{00000000-0005-0000-0000-0000A7200000}"/>
    <cellStyle name="Note 2 2 2 2 5 3 2" xfId="42074" xr:uid="{E6AB36C7-1365-48E1-9DD5-E88445B6C0A8}"/>
    <cellStyle name="Note 2 2 2 2 5 3 3" xfId="33627" xr:uid="{85C147A7-139B-4AD6-9003-E1AF330BACC7}"/>
    <cellStyle name="Note 2 2 2 2 5 3 4" xfId="25179" xr:uid="{028158DA-8857-4590-BF4F-A48D5A39C812}"/>
    <cellStyle name="Note 2 2 2 2 5 3 5" xfId="15882" xr:uid="{EB43F09C-9C67-46A3-911E-59DF958C043A}"/>
    <cellStyle name="Note 2 2 2 2 5 4" xfId="37857" xr:uid="{1E6E4C46-4C5B-439A-8E72-ECBE0F805143}"/>
    <cellStyle name="Note 2 2 2 2 5 5" xfId="29409" xr:uid="{C0A4C31B-8146-436F-8DDB-E293D50FE5BB}"/>
    <cellStyle name="Note 2 2 2 2 5 6" xfId="20962" xr:uid="{70DF6381-47C7-4DB8-ADBA-E5AAE5266C82}"/>
    <cellStyle name="Note 2 2 2 2 5 7" xfId="11665" xr:uid="{1E4DA97C-DD7F-4C8D-A780-29C9D2164781}"/>
    <cellStyle name="Note 2 2 2 2 6" xfId="2686" xr:uid="{00000000-0005-0000-0000-0000A8200000}"/>
    <cellStyle name="Note 2 2 2 2 6 2" xfId="6969" xr:uid="{00000000-0005-0000-0000-0000A9200000}"/>
    <cellStyle name="Note 2 2 2 2 6 2 2" xfId="42487" xr:uid="{FFF52B99-CB1E-48D8-961F-8C1E6423D885}"/>
    <cellStyle name="Note 2 2 2 2 6 2 3" xfId="34040" xr:uid="{C6D758C2-B8BE-4D27-B01A-622BD87E3EC3}"/>
    <cellStyle name="Note 2 2 2 2 6 2 4" xfId="25592" xr:uid="{4D8C48D0-6875-4F1D-A692-53A0C4CA342F}"/>
    <cellStyle name="Note 2 2 2 2 6 2 5" xfId="16295" xr:uid="{D550171A-71A6-474F-865E-368E81D8E081}"/>
    <cellStyle name="Note 2 2 2 2 6 3" xfId="38270" xr:uid="{2BFBD8B5-7190-49F7-B819-FB169AE0E041}"/>
    <cellStyle name="Note 2 2 2 2 6 4" xfId="29822" xr:uid="{C443ECAF-84BB-4057-841C-090EED97534B}"/>
    <cellStyle name="Note 2 2 2 2 6 5" xfId="21375" xr:uid="{4EC1DABD-7D5B-4712-BC34-F50AFC0B59A1}"/>
    <cellStyle name="Note 2 2 2 2 6 6" xfId="12078" xr:uid="{7FF26DC1-AD19-423F-9257-D7729E6329E0}"/>
    <cellStyle name="Note 2 2 2 2 7" xfId="2745" xr:uid="{00000000-0005-0000-0000-0000AA200000}"/>
    <cellStyle name="Note 2 2 2 2 8" xfId="2826" xr:uid="{00000000-0005-0000-0000-0000AB200000}"/>
    <cellStyle name="Note 2 2 2 2 8 2" xfId="7049" xr:uid="{00000000-0005-0000-0000-0000AC200000}"/>
    <cellStyle name="Note 2 2 2 2 8 2 2" xfId="42567" xr:uid="{F76481E2-6CCB-48F4-B0BD-27BC2F9EF16D}"/>
    <cellStyle name="Note 2 2 2 2 8 2 3" xfId="34120" xr:uid="{56264E52-A57C-4342-94E5-E1D8D7E47501}"/>
    <cellStyle name="Note 2 2 2 2 8 2 4" xfId="25672" xr:uid="{91154EE1-43AB-4128-9766-B1A99523D490}"/>
    <cellStyle name="Note 2 2 2 2 8 2 5" xfId="16375" xr:uid="{8E87FAD0-6255-4AA6-8DE2-38313B3F61C9}"/>
    <cellStyle name="Note 2 2 2 2 8 3" xfId="38350" xr:uid="{2FDC0475-0544-47F2-9248-9595B11773F7}"/>
    <cellStyle name="Note 2 2 2 2 8 4" xfId="29902" xr:uid="{C0B0131A-1F99-4DFA-B916-C828BA986678}"/>
    <cellStyle name="Note 2 2 2 2 8 5" xfId="21455" xr:uid="{158DF761-8A98-442D-B4FE-210D8BE78065}"/>
    <cellStyle name="Note 2 2 2 2 8 6" xfId="12158" xr:uid="{86D94795-FF1D-435A-A97F-FB0F677CA682}"/>
    <cellStyle name="Note 2 2 2 2 9" xfId="4904" xr:uid="{00000000-0005-0000-0000-0000AD200000}"/>
    <cellStyle name="Note 2 2 2 2 9 2" xfId="40422" xr:uid="{2C11B308-CA6D-4B53-B679-2361AF192768}"/>
    <cellStyle name="Note 2 2 2 2 9 3" xfId="31975" xr:uid="{1028963E-E2C6-4E14-8373-99E8F0C9A36E}"/>
    <cellStyle name="Note 2 2 2 2 9 4" xfId="23527" xr:uid="{DE1C0DB8-288C-49FA-992F-1F4C0E6943FB}"/>
    <cellStyle name="Note 2 2 2 2 9 5" xfId="14230" xr:uid="{F1EB247A-A438-4DCC-B331-E8A3F3C8E9DE}"/>
    <cellStyle name="Note 2 2 2 3" xfId="1007" xr:uid="{00000000-0005-0000-0000-0000AE200000}"/>
    <cellStyle name="Note 2 2 2 3 2" xfId="3239" xr:uid="{00000000-0005-0000-0000-0000AF200000}"/>
    <cellStyle name="Note 2 2 2 3 2 2" xfId="7461" xr:uid="{00000000-0005-0000-0000-0000B0200000}"/>
    <cellStyle name="Note 2 2 2 3 2 2 2" xfId="42979" xr:uid="{BDFAAEBB-A24A-4C9C-B097-7A8BBC77FF56}"/>
    <cellStyle name="Note 2 2 2 3 2 2 3" xfId="34532" xr:uid="{7097A654-E9E6-4B34-BE30-A01EF17A0130}"/>
    <cellStyle name="Note 2 2 2 3 2 2 4" xfId="26084" xr:uid="{174FE58E-AD20-4FC9-B106-8BD6765EB494}"/>
    <cellStyle name="Note 2 2 2 3 2 2 5" xfId="16787" xr:uid="{2A14E825-89C8-4D8F-BBA4-2BB13ECE50CB}"/>
    <cellStyle name="Note 2 2 2 3 2 3" xfId="38762" xr:uid="{84434D8A-B11F-4738-B0B7-E28449BE0A53}"/>
    <cellStyle name="Note 2 2 2 3 2 4" xfId="30314" xr:uid="{7A9E959B-5710-402B-A388-793F661BFF82}"/>
    <cellStyle name="Note 2 2 2 3 2 5" xfId="21867" xr:uid="{73334572-4785-4AE3-9BA4-816FC85FCD9F}"/>
    <cellStyle name="Note 2 2 2 3 2 6" xfId="12570" xr:uid="{DFB12F74-F8F3-42D8-A06D-8F590F018C2F}"/>
    <cellStyle name="Note 2 2 2 3 3" xfId="5316" xr:uid="{00000000-0005-0000-0000-0000B1200000}"/>
    <cellStyle name="Note 2 2 2 3 3 2" xfId="40834" xr:uid="{352E2101-40D9-46C3-9E3F-0A4F5D7D4DCE}"/>
    <cellStyle name="Note 2 2 2 3 3 3" xfId="32387" xr:uid="{D0E5CF16-500E-4E72-A97D-4F3C4424B55F}"/>
    <cellStyle name="Note 2 2 2 3 3 4" xfId="23939" xr:uid="{E59ADF2C-7BA8-405E-A762-10DCBF7CE2C0}"/>
    <cellStyle name="Note 2 2 2 3 3 5" xfId="14642" xr:uid="{091D9F7F-EBAC-4BC8-AE8D-BF0B802C9CA0}"/>
    <cellStyle name="Note 2 2 2 3 4" xfId="9369" xr:uid="{37FCA23B-964B-404F-A343-B489211FDCDC}"/>
    <cellStyle name="Note 2 2 2 3 4 2" xfId="36617" xr:uid="{42C5ABC8-6C1B-4CC6-B21C-E0932AB18EE3}"/>
    <cellStyle name="Note 2 2 2 3 4 3" xfId="18682" xr:uid="{628610DC-B6DF-4CA9-9419-B23A8425E4DB}"/>
    <cellStyle name="Note 2 2 2 3 5" xfId="28169" xr:uid="{9D48850A-9A59-4A27-A67E-A8CBC31984F8}"/>
    <cellStyle name="Note 2 2 2 3 6" xfId="19722" xr:uid="{F1FF0771-8D4F-42ED-B546-9463D6DD6D59}"/>
    <cellStyle name="Note 2 2 2 3 7" xfId="10425" xr:uid="{052AF855-82C8-4056-B459-AD389EAC5797}"/>
    <cellStyle name="Note 2 2 2 4" xfId="1422" xr:uid="{00000000-0005-0000-0000-0000B2200000}"/>
    <cellStyle name="Note 2 2 2 4 2" xfId="3652" xr:uid="{00000000-0005-0000-0000-0000B3200000}"/>
    <cellStyle name="Note 2 2 2 4 2 2" xfId="7874" xr:uid="{00000000-0005-0000-0000-0000B4200000}"/>
    <cellStyle name="Note 2 2 2 4 2 2 2" xfId="43392" xr:uid="{BB94CFEE-ADD7-4BE3-8C54-9A9A179BD8F2}"/>
    <cellStyle name="Note 2 2 2 4 2 2 3" xfId="34945" xr:uid="{B9CF0BF4-98C1-4E64-8A3B-69E5080EC0A2}"/>
    <cellStyle name="Note 2 2 2 4 2 2 4" xfId="26497" xr:uid="{4D9DFC4E-148E-47C4-BBBC-FB20B29B6A27}"/>
    <cellStyle name="Note 2 2 2 4 2 2 5" xfId="17200" xr:uid="{C1414A57-466F-46DB-93CB-9F4CCC341D76}"/>
    <cellStyle name="Note 2 2 2 4 2 3" xfId="39175" xr:uid="{F0E0C4F9-0BA2-467A-8676-6CC1A5BD8152}"/>
    <cellStyle name="Note 2 2 2 4 2 4" xfId="30727" xr:uid="{F7706B54-F201-4B72-BD6A-E010E99DB8DD}"/>
    <cellStyle name="Note 2 2 2 4 2 5" xfId="22280" xr:uid="{DB7941E7-5378-4E6F-A790-A9FDE8FDE747}"/>
    <cellStyle name="Note 2 2 2 4 2 6" xfId="12983" xr:uid="{4E327B9E-854D-4F0E-B5A7-6E215CA8CE8C}"/>
    <cellStyle name="Note 2 2 2 4 3" xfId="5729" xr:uid="{00000000-0005-0000-0000-0000B5200000}"/>
    <cellStyle name="Note 2 2 2 4 3 2" xfId="41247" xr:uid="{E4D469BE-8A7B-40EE-80A5-1E8A58D9F344}"/>
    <cellStyle name="Note 2 2 2 4 3 3" xfId="32800" xr:uid="{A1075D1E-A8B2-46B1-9006-DCB3AA8E7C3C}"/>
    <cellStyle name="Note 2 2 2 4 3 4" xfId="24352" xr:uid="{25A5DA55-0C7C-4CB5-A6D4-BE2F434CAACD}"/>
    <cellStyle name="Note 2 2 2 4 3 5" xfId="15055" xr:uid="{E9092D24-A8BF-4F26-81A1-0D3860E5A006}"/>
    <cellStyle name="Note 2 2 2 4 4" xfId="37030" xr:uid="{E76791E4-ECF2-4FFF-B68D-C5097F344BB7}"/>
    <cellStyle name="Note 2 2 2 4 5" xfId="28582" xr:uid="{81A094F2-AD4E-4D5D-A88B-255BCB479548}"/>
    <cellStyle name="Note 2 2 2 4 6" xfId="20135" xr:uid="{4C62D974-F571-4156-BA32-C603E51B82DE}"/>
    <cellStyle name="Note 2 2 2 4 7" xfId="10838" xr:uid="{4165E5CA-0754-46EA-AC49-7B7B2880972F}"/>
    <cellStyle name="Note 2 2 2 5" xfId="1836" xr:uid="{00000000-0005-0000-0000-0000B6200000}"/>
    <cellStyle name="Note 2 2 2 5 2" xfId="4065" xr:uid="{00000000-0005-0000-0000-0000B7200000}"/>
    <cellStyle name="Note 2 2 2 5 2 2" xfId="8287" xr:uid="{00000000-0005-0000-0000-0000B8200000}"/>
    <cellStyle name="Note 2 2 2 5 2 2 2" xfId="43805" xr:uid="{AE4D3017-C487-4DE3-8C55-51F0D96D018A}"/>
    <cellStyle name="Note 2 2 2 5 2 2 3" xfId="35358" xr:uid="{3B06CA27-9119-4E7A-A09D-F97DB59C6732}"/>
    <cellStyle name="Note 2 2 2 5 2 2 4" xfId="26910" xr:uid="{60B44040-A893-4CFC-ABD9-65AF67EE2A51}"/>
    <cellStyle name="Note 2 2 2 5 2 2 5" xfId="17613" xr:uid="{A3814B82-52FA-4A9E-8153-EF449205EC74}"/>
    <cellStyle name="Note 2 2 2 5 2 3" xfId="39588" xr:uid="{969120AE-A19B-4563-A8DA-0144ABEA923F}"/>
    <cellStyle name="Note 2 2 2 5 2 4" xfId="31140" xr:uid="{8F320C9D-9B7A-47ED-92BD-9E0CCFDCE65C}"/>
    <cellStyle name="Note 2 2 2 5 2 5" xfId="22693" xr:uid="{A74DF06C-A8DD-4029-BEF5-C367E8983BB6}"/>
    <cellStyle name="Note 2 2 2 5 2 6" xfId="13396" xr:uid="{09129418-058B-4117-A1D7-EA2BCFE243E5}"/>
    <cellStyle name="Note 2 2 2 5 3" xfId="6142" xr:uid="{00000000-0005-0000-0000-0000B9200000}"/>
    <cellStyle name="Note 2 2 2 5 3 2" xfId="41660" xr:uid="{3568F696-1DC2-432E-B072-F9C2D1A9D4F4}"/>
    <cellStyle name="Note 2 2 2 5 3 3" xfId="33213" xr:uid="{36DAAE5D-B9D2-414C-B35D-9424790A5EE7}"/>
    <cellStyle name="Note 2 2 2 5 3 4" xfId="24765" xr:uid="{B9063D63-746D-4A9D-A5AB-B04E4B59C0F5}"/>
    <cellStyle name="Note 2 2 2 5 3 5" xfId="15468" xr:uid="{472A5C1C-DBB2-4248-99CB-D7F4C35B094C}"/>
    <cellStyle name="Note 2 2 2 5 4" xfId="37443" xr:uid="{9B555F04-9D85-4EB0-84B2-B01AF0291C07}"/>
    <cellStyle name="Note 2 2 2 5 5" xfId="28995" xr:uid="{1064E608-816E-4621-A10B-D9B2CE441395}"/>
    <cellStyle name="Note 2 2 2 5 6" xfId="20548" xr:uid="{76C73B05-D54D-4F79-AC78-2B455EA151B3}"/>
    <cellStyle name="Note 2 2 2 5 7" xfId="11251" xr:uid="{44638F99-4F87-444E-B52F-5ED32FEBB1D2}"/>
    <cellStyle name="Note 2 2 2 6" xfId="2249" xr:uid="{00000000-0005-0000-0000-0000BA200000}"/>
    <cellStyle name="Note 2 2 2 6 2" xfId="4478" xr:uid="{00000000-0005-0000-0000-0000BB200000}"/>
    <cellStyle name="Note 2 2 2 6 2 2" xfId="8700" xr:uid="{00000000-0005-0000-0000-0000BC200000}"/>
    <cellStyle name="Note 2 2 2 6 2 2 2" xfId="44218" xr:uid="{D946D4B3-7C45-4C3E-9628-165ABCB260B2}"/>
    <cellStyle name="Note 2 2 2 6 2 2 3" xfId="35771" xr:uid="{A2080F40-FC4B-4983-8533-E10F13F3522C}"/>
    <cellStyle name="Note 2 2 2 6 2 2 4" xfId="27323" xr:uid="{F69C340E-4C3D-4088-B8A4-9792B59BC9E1}"/>
    <cellStyle name="Note 2 2 2 6 2 2 5" xfId="18026" xr:uid="{7B57D3C1-6960-40DC-9741-292BEF045658}"/>
    <cellStyle name="Note 2 2 2 6 2 3" xfId="40001" xr:uid="{4CB2881D-503B-4460-977B-F2BFDFE65161}"/>
    <cellStyle name="Note 2 2 2 6 2 4" xfId="31553" xr:uid="{F84BD74E-DC89-4F1F-99FF-FDFAC465D629}"/>
    <cellStyle name="Note 2 2 2 6 2 5" xfId="23106" xr:uid="{9AD4BFB9-4A5E-4C45-A88A-012C20DDEAB5}"/>
    <cellStyle name="Note 2 2 2 6 2 6" xfId="13809" xr:uid="{49601FBF-3506-4120-BBC7-E847B2206ABB}"/>
    <cellStyle name="Note 2 2 2 6 3" xfId="6555" xr:uid="{00000000-0005-0000-0000-0000BD200000}"/>
    <cellStyle name="Note 2 2 2 6 3 2" xfId="42073" xr:uid="{F6B94EC0-9114-4AA0-8F0F-B045F94A285A}"/>
    <cellStyle name="Note 2 2 2 6 3 3" xfId="33626" xr:uid="{676E9373-32A4-46C7-84D2-0A8514F3BBCD}"/>
    <cellStyle name="Note 2 2 2 6 3 4" xfId="25178" xr:uid="{A6AF9ADB-BEAB-4B76-A06C-E8AF20302BAD}"/>
    <cellStyle name="Note 2 2 2 6 3 5" xfId="15881" xr:uid="{A114655F-1219-43BD-9A73-4630BE1C6BDC}"/>
    <cellStyle name="Note 2 2 2 6 4" xfId="37856" xr:uid="{30FFA8FE-15B0-4038-BA11-7D377169F55D}"/>
    <cellStyle name="Note 2 2 2 6 5" xfId="29408" xr:uid="{821470A1-B491-4147-A709-BF007F59F2D3}"/>
    <cellStyle name="Note 2 2 2 6 6" xfId="20961" xr:uid="{8ABF984C-CA2C-464C-BE1B-F0CFF8F65F2A}"/>
    <cellStyle name="Note 2 2 2 6 7" xfId="11664" xr:uid="{7F43B56C-4409-4745-8038-238609275AF5}"/>
    <cellStyle name="Note 2 2 2 7" xfId="2685" xr:uid="{00000000-0005-0000-0000-0000BE200000}"/>
    <cellStyle name="Note 2 2 2 7 2" xfId="6968" xr:uid="{00000000-0005-0000-0000-0000BF200000}"/>
    <cellStyle name="Note 2 2 2 7 2 2" xfId="42486" xr:uid="{92B22A9F-D01A-4F0B-B41F-C70DE13B6074}"/>
    <cellStyle name="Note 2 2 2 7 2 3" xfId="34039" xr:uid="{6C409A30-94B5-46B3-A342-A5655BBB5FF9}"/>
    <cellStyle name="Note 2 2 2 7 2 4" xfId="25591" xr:uid="{1BAC86A2-A8FC-4A48-8D65-FA333CA93F59}"/>
    <cellStyle name="Note 2 2 2 7 2 5" xfId="16294" xr:uid="{BA2D8436-8C17-40FE-9789-8F36A8F0A599}"/>
    <cellStyle name="Note 2 2 2 7 3" xfId="38269" xr:uid="{8F596F88-B8C1-4C25-9A76-09B65E59348F}"/>
    <cellStyle name="Note 2 2 2 7 4" xfId="29821" xr:uid="{9B72717C-57E7-4D68-AA26-2116CD885720}"/>
    <cellStyle name="Note 2 2 2 7 5" xfId="21374" xr:uid="{398AB786-2895-4FE4-8C47-D08F945C6FFF}"/>
    <cellStyle name="Note 2 2 2 7 6" xfId="12077" xr:uid="{49D2BD8B-8901-4E4A-9B08-C189BBAE0693}"/>
    <cellStyle name="Note 2 2 2 8" xfId="2744" xr:uid="{00000000-0005-0000-0000-0000C0200000}"/>
    <cellStyle name="Note 2 2 2 9" xfId="2825" xr:uid="{00000000-0005-0000-0000-0000C1200000}"/>
    <cellStyle name="Note 2 2 2 9 2" xfId="7048" xr:uid="{00000000-0005-0000-0000-0000C2200000}"/>
    <cellStyle name="Note 2 2 2 9 2 2" xfId="42566" xr:uid="{34383A97-D16F-49DC-9912-20C73D767557}"/>
    <cellStyle name="Note 2 2 2 9 2 3" xfId="34119" xr:uid="{7E701B1C-C91D-4236-B984-68203F4EC995}"/>
    <cellStyle name="Note 2 2 2 9 2 4" xfId="25671" xr:uid="{AC01C2D2-9833-4FAB-9EFA-C51018D10525}"/>
    <cellStyle name="Note 2 2 2 9 2 5" xfId="16374" xr:uid="{A6392839-FAEF-47EF-8430-F52DFCC2C193}"/>
    <cellStyle name="Note 2 2 2 9 3" xfId="38349" xr:uid="{13AE7A10-5E8D-431F-8D44-0DF2D64C24A1}"/>
    <cellStyle name="Note 2 2 2 9 4" xfId="29901" xr:uid="{E2C1FDD5-B9C4-4F20-9D20-C8294F244805}"/>
    <cellStyle name="Note 2 2 2 9 5" xfId="21454" xr:uid="{3CD27DEE-EBC7-4BD9-A272-3FEBB3A23729}"/>
    <cellStyle name="Note 2 2 2 9 6" xfId="12157" xr:uid="{1360EBCE-9C81-429F-807B-1D3F9ECCC67C}"/>
    <cellStyle name="Note 2 2 3" xfId="548" xr:uid="{00000000-0005-0000-0000-0000C3200000}"/>
    <cellStyle name="Note 2 2 3 10" xfId="9048" xr:uid="{894401FF-B7D8-49E8-91E6-A1C42DD04D54}"/>
    <cellStyle name="Note 2 2 3 10 2" xfId="36206" xr:uid="{09B39A04-C461-405B-96CA-D1BC9B744ECF}"/>
    <cellStyle name="Note 2 2 3 10 3" xfId="18371" xr:uid="{FEDC3A35-90FE-464C-92E0-2E0D471BF677}"/>
    <cellStyle name="Note 2 2 3 11" xfId="27758" xr:uid="{A9FFF03D-C6E2-4DE7-9A83-0905CA2ADADB}"/>
    <cellStyle name="Note 2 2 3 12" xfId="19311" xr:uid="{3A64AFDF-2F2B-41B2-90F5-8C5254790CFC}"/>
    <cellStyle name="Note 2 2 3 13" xfId="10014" xr:uid="{3321C24A-5B61-4BB3-954C-A991DDC0E810}"/>
    <cellStyle name="Note 2 2 3 2" xfId="1009" xr:uid="{00000000-0005-0000-0000-0000C4200000}"/>
    <cellStyle name="Note 2 2 3 2 2" xfId="3241" xr:uid="{00000000-0005-0000-0000-0000C5200000}"/>
    <cellStyle name="Note 2 2 3 2 2 2" xfId="7463" xr:uid="{00000000-0005-0000-0000-0000C6200000}"/>
    <cellStyle name="Note 2 2 3 2 2 2 2" xfId="42981" xr:uid="{12191FE7-ACE6-45F9-8739-E97F9D45598F}"/>
    <cellStyle name="Note 2 2 3 2 2 2 3" xfId="34534" xr:uid="{12942337-D8FA-457C-B23B-F98E455355F0}"/>
    <cellStyle name="Note 2 2 3 2 2 2 4" xfId="26086" xr:uid="{EB4DEF85-233B-402E-ACDB-D78F448A6B7D}"/>
    <cellStyle name="Note 2 2 3 2 2 2 5" xfId="16789" xr:uid="{C807ACC2-7F60-4EFF-90E8-7FEF68D40AF0}"/>
    <cellStyle name="Note 2 2 3 2 2 3" xfId="38764" xr:uid="{D79B27AC-0EEF-4C45-9C15-CC7E4A5EBD2F}"/>
    <cellStyle name="Note 2 2 3 2 2 4" xfId="30316" xr:uid="{12425915-28EF-46EF-9DE5-644D2720AEE6}"/>
    <cellStyle name="Note 2 2 3 2 2 5" xfId="21869" xr:uid="{D7139F3A-392A-4561-A7DD-00962B1874F7}"/>
    <cellStyle name="Note 2 2 3 2 2 6" xfId="12572" xr:uid="{AF4ADF9C-6FCF-4E51-8062-BA309D32D196}"/>
    <cellStyle name="Note 2 2 3 2 3" xfId="5318" xr:uid="{00000000-0005-0000-0000-0000C7200000}"/>
    <cellStyle name="Note 2 2 3 2 3 2" xfId="40836" xr:uid="{91E912C7-904C-40DD-ACC9-BF620394D4F7}"/>
    <cellStyle name="Note 2 2 3 2 3 3" xfId="32389" xr:uid="{063A06DB-359D-4ED0-AB52-5B90D3654331}"/>
    <cellStyle name="Note 2 2 3 2 3 4" xfId="23941" xr:uid="{A3869DFE-3D11-4056-909E-B7DD3F4E3F74}"/>
    <cellStyle name="Note 2 2 3 2 3 5" xfId="14644" xr:uid="{2B977C1D-AF01-4719-8449-A6B688AAA20D}"/>
    <cellStyle name="Note 2 2 3 2 4" xfId="9473" xr:uid="{7711F4E0-385B-44CD-ACEA-5E9D7E4CD8DC}"/>
    <cellStyle name="Note 2 2 3 2 4 2" xfId="36619" xr:uid="{FF380746-C732-4918-9B1C-596A4DB37C17}"/>
    <cellStyle name="Note 2 2 3 2 4 3" xfId="18786" xr:uid="{10B7D3A5-196F-49B7-BE98-5150C6303BEA}"/>
    <cellStyle name="Note 2 2 3 2 5" xfId="28171" xr:uid="{701FF582-487B-4412-8760-F1458FC21C39}"/>
    <cellStyle name="Note 2 2 3 2 6" xfId="19724" xr:uid="{216CEC4D-BC2E-4766-9989-EB5D20270647}"/>
    <cellStyle name="Note 2 2 3 2 7" xfId="10427" xr:uid="{1F4931B8-D2AD-41B2-93B2-DDF863A1521F}"/>
    <cellStyle name="Note 2 2 3 3" xfId="1424" xr:uid="{00000000-0005-0000-0000-0000C8200000}"/>
    <cellStyle name="Note 2 2 3 3 2" xfId="3654" xr:uid="{00000000-0005-0000-0000-0000C9200000}"/>
    <cellStyle name="Note 2 2 3 3 2 2" xfId="7876" xr:uid="{00000000-0005-0000-0000-0000CA200000}"/>
    <cellStyle name="Note 2 2 3 3 2 2 2" xfId="43394" xr:uid="{C35B465B-AC3A-46D8-B649-62EDF0828C2B}"/>
    <cellStyle name="Note 2 2 3 3 2 2 3" xfId="34947" xr:uid="{16FD00E5-80A8-4C93-BF71-2BE98C7F63B2}"/>
    <cellStyle name="Note 2 2 3 3 2 2 4" xfId="26499" xr:uid="{E274D864-964E-414E-9179-B768BE3F58B9}"/>
    <cellStyle name="Note 2 2 3 3 2 2 5" xfId="17202" xr:uid="{EB0109C4-58D9-4769-A760-AFF307C1F770}"/>
    <cellStyle name="Note 2 2 3 3 2 3" xfId="39177" xr:uid="{DF03DD98-DDC1-41C0-A9E8-6E4001273A8D}"/>
    <cellStyle name="Note 2 2 3 3 2 4" xfId="30729" xr:uid="{AC1789C4-4824-444C-8A6C-076D34794052}"/>
    <cellStyle name="Note 2 2 3 3 2 5" xfId="22282" xr:uid="{F506D483-EE5C-436B-9EAD-00B72CE0F16A}"/>
    <cellStyle name="Note 2 2 3 3 2 6" xfId="12985" xr:uid="{852EC4A5-2F45-4BDC-B5A7-A40B69EBC3C1}"/>
    <cellStyle name="Note 2 2 3 3 3" xfId="5731" xr:uid="{00000000-0005-0000-0000-0000CB200000}"/>
    <cellStyle name="Note 2 2 3 3 3 2" xfId="41249" xr:uid="{FE000565-0967-4226-A8EF-6CB3B42AAD4B}"/>
    <cellStyle name="Note 2 2 3 3 3 3" xfId="32802" xr:uid="{80B38180-8685-42C5-8C91-6E472D34478B}"/>
    <cellStyle name="Note 2 2 3 3 3 4" xfId="24354" xr:uid="{8A611E55-A623-4CC0-9848-EBCD1A8DBEA9}"/>
    <cellStyle name="Note 2 2 3 3 3 5" xfId="15057" xr:uid="{7C10670B-CB13-4859-B7DA-E0C6FF6F922A}"/>
    <cellStyle name="Note 2 2 3 3 4" xfId="37032" xr:uid="{4C409DE5-9DC4-415D-8A62-AB6C6A7263E9}"/>
    <cellStyle name="Note 2 2 3 3 5" xfId="28584" xr:uid="{498958ED-643D-4C83-8B65-BEE2630E1AEA}"/>
    <cellStyle name="Note 2 2 3 3 6" xfId="20137" xr:uid="{CF1D6E61-70BF-4027-8118-B096661AB8DD}"/>
    <cellStyle name="Note 2 2 3 3 7" xfId="10840" xr:uid="{CBEB50B4-699E-4FA0-9044-E55FB75B3F76}"/>
    <cellStyle name="Note 2 2 3 4" xfId="1838" xr:uid="{00000000-0005-0000-0000-0000CC200000}"/>
    <cellStyle name="Note 2 2 3 4 2" xfId="4067" xr:uid="{00000000-0005-0000-0000-0000CD200000}"/>
    <cellStyle name="Note 2 2 3 4 2 2" xfId="8289" xr:uid="{00000000-0005-0000-0000-0000CE200000}"/>
    <cellStyle name="Note 2 2 3 4 2 2 2" xfId="43807" xr:uid="{13092775-65A7-449A-AE34-198D5311382B}"/>
    <cellStyle name="Note 2 2 3 4 2 2 3" xfId="35360" xr:uid="{43B8177D-2C23-4BF7-A131-1863BA81CADF}"/>
    <cellStyle name="Note 2 2 3 4 2 2 4" xfId="26912" xr:uid="{EC8AD9D2-F3A9-415D-9AE5-DF44E6F80DFD}"/>
    <cellStyle name="Note 2 2 3 4 2 2 5" xfId="17615" xr:uid="{8F0389EE-0A8B-419A-8D6C-32F21E50E11A}"/>
    <cellStyle name="Note 2 2 3 4 2 3" xfId="39590" xr:uid="{11D9B94B-809A-4DC3-B949-7B54CAE59E9B}"/>
    <cellStyle name="Note 2 2 3 4 2 4" xfId="31142" xr:uid="{DA103CAB-D09B-4CB4-8A50-5362DEDA97FD}"/>
    <cellStyle name="Note 2 2 3 4 2 5" xfId="22695" xr:uid="{D6FAE189-5767-4F00-815C-8A5CB09139DC}"/>
    <cellStyle name="Note 2 2 3 4 2 6" xfId="13398" xr:uid="{59EB4979-7ADE-445A-B8BD-DA581CC544E7}"/>
    <cellStyle name="Note 2 2 3 4 3" xfId="6144" xr:uid="{00000000-0005-0000-0000-0000CF200000}"/>
    <cellStyle name="Note 2 2 3 4 3 2" xfId="41662" xr:uid="{170A94CC-9224-46E0-BC47-E9FF5293124B}"/>
    <cellStyle name="Note 2 2 3 4 3 3" xfId="33215" xr:uid="{96EE3A23-A7AF-4636-87F2-E02A2A54C0C4}"/>
    <cellStyle name="Note 2 2 3 4 3 4" xfId="24767" xr:uid="{A26D1188-2023-4631-B1CB-261DC080345A}"/>
    <cellStyle name="Note 2 2 3 4 3 5" xfId="15470" xr:uid="{77434FD2-D717-42B7-919C-30E0E6A9DDD8}"/>
    <cellStyle name="Note 2 2 3 4 4" xfId="37445" xr:uid="{683E814E-A7F2-4AE9-BBAD-B4FA3EF29C47}"/>
    <cellStyle name="Note 2 2 3 4 5" xfId="28997" xr:uid="{27401727-5654-433E-ADA6-843F65C9EA3E}"/>
    <cellStyle name="Note 2 2 3 4 6" xfId="20550" xr:uid="{AC81CA31-45D6-41FF-9758-7CFE0963C178}"/>
    <cellStyle name="Note 2 2 3 4 7" xfId="11253" xr:uid="{0251AD5A-3CB5-4920-9A70-EC1FBB9B292E}"/>
    <cellStyle name="Note 2 2 3 5" xfId="2251" xr:uid="{00000000-0005-0000-0000-0000D0200000}"/>
    <cellStyle name="Note 2 2 3 5 2" xfId="4480" xr:uid="{00000000-0005-0000-0000-0000D1200000}"/>
    <cellStyle name="Note 2 2 3 5 2 2" xfId="8702" xr:uid="{00000000-0005-0000-0000-0000D2200000}"/>
    <cellStyle name="Note 2 2 3 5 2 2 2" xfId="44220" xr:uid="{DDD90E39-9FEE-42BA-BDC5-2298CE0DE24B}"/>
    <cellStyle name="Note 2 2 3 5 2 2 3" xfId="35773" xr:uid="{1E64BA40-076B-4DC0-8465-0CAF76DBAC00}"/>
    <cellStyle name="Note 2 2 3 5 2 2 4" xfId="27325" xr:uid="{BC59521C-B6E5-4196-98B5-01C21C954EAB}"/>
    <cellStyle name="Note 2 2 3 5 2 2 5" xfId="18028" xr:uid="{6493100F-BCF1-4000-B969-B89093884FDB}"/>
    <cellStyle name="Note 2 2 3 5 2 3" xfId="40003" xr:uid="{6EC6AD3F-FFA9-4895-B0BB-BB168725C1D2}"/>
    <cellStyle name="Note 2 2 3 5 2 4" xfId="31555" xr:uid="{CD99FD3B-7C13-488B-AF12-C0B7677510EB}"/>
    <cellStyle name="Note 2 2 3 5 2 5" xfId="23108" xr:uid="{374FF31C-4F61-4148-9CB0-F6545D6F8536}"/>
    <cellStyle name="Note 2 2 3 5 2 6" xfId="13811" xr:uid="{94782A06-2025-469D-97AB-6E212E9646CE}"/>
    <cellStyle name="Note 2 2 3 5 3" xfId="6557" xr:uid="{00000000-0005-0000-0000-0000D3200000}"/>
    <cellStyle name="Note 2 2 3 5 3 2" xfId="42075" xr:uid="{844BBBFF-4C97-4A87-BD87-8F7470569D20}"/>
    <cellStyle name="Note 2 2 3 5 3 3" xfId="33628" xr:uid="{CA4269C2-16A5-4071-8D90-90E49C41BF9A}"/>
    <cellStyle name="Note 2 2 3 5 3 4" xfId="25180" xr:uid="{51E71C17-E5F7-4F0C-89F9-633D24511FE2}"/>
    <cellStyle name="Note 2 2 3 5 3 5" xfId="15883" xr:uid="{B7EEBF7E-D7EC-4D7C-A039-6FDC0F3933D0}"/>
    <cellStyle name="Note 2 2 3 5 4" xfId="37858" xr:uid="{44B844BB-1581-4EA6-8232-3B96C583575D}"/>
    <cellStyle name="Note 2 2 3 5 5" xfId="29410" xr:uid="{311D52A7-F37D-43EB-AC88-D3E9B011E117}"/>
    <cellStyle name="Note 2 2 3 5 6" xfId="20963" xr:uid="{01B3D0E2-794E-4CCD-8536-200BF9F78BB6}"/>
    <cellStyle name="Note 2 2 3 5 7" xfId="11666" xr:uid="{2C824494-D454-4A14-A965-7BF4A85C3165}"/>
    <cellStyle name="Note 2 2 3 6" xfId="2687" xr:uid="{00000000-0005-0000-0000-0000D4200000}"/>
    <cellStyle name="Note 2 2 3 6 2" xfId="6970" xr:uid="{00000000-0005-0000-0000-0000D5200000}"/>
    <cellStyle name="Note 2 2 3 6 2 2" xfId="42488" xr:uid="{FD6DC660-F06F-4695-BF06-14946DC1CA3A}"/>
    <cellStyle name="Note 2 2 3 6 2 3" xfId="34041" xr:uid="{9FCF19CC-B33E-40B9-AE1B-02572793E1CE}"/>
    <cellStyle name="Note 2 2 3 6 2 4" xfId="25593" xr:uid="{8A0448BF-E18C-4382-B792-F9EC7338094E}"/>
    <cellStyle name="Note 2 2 3 6 2 5" xfId="16296" xr:uid="{0D172F3A-7EFF-48BB-A630-38016E8D24F6}"/>
    <cellStyle name="Note 2 2 3 6 3" xfId="38271" xr:uid="{5679C8DA-BB06-44CE-87D6-CA68B438EA65}"/>
    <cellStyle name="Note 2 2 3 6 4" xfId="29823" xr:uid="{51A98D3F-9981-43C7-966B-573F13C27F4A}"/>
    <cellStyle name="Note 2 2 3 6 5" xfId="21376" xr:uid="{964C75BD-F495-4576-B4DF-45539A51027A}"/>
    <cellStyle name="Note 2 2 3 6 6" xfId="12079" xr:uid="{16433551-6553-44B1-8330-F1A4FDA3C8A7}"/>
    <cellStyle name="Note 2 2 3 7" xfId="2746" xr:uid="{00000000-0005-0000-0000-0000D6200000}"/>
    <cellStyle name="Note 2 2 3 8" xfId="2827" xr:uid="{00000000-0005-0000-0000-0000D7200000}"/>
    <cellStyle name="Note 2 2 3 8 2" xfId="7050" xr:uid="{00000000-0005-0000-0000-0000D8200000}"/>
    <cellStyle name="Note 2 2 3 8 2 2" xfId="42568" xr:uid="{D856C465-235B-4383-B0DE-98EEB19DB3B9}"/>
    <cellStyle name="Note 2 2 3 8 2 3" xfId="34121" xr:uid="{7B9DF82A-19BF-4C5A-81DC-F11E902C4077}"/>
    <cellStyle name="Note 2 2 3 8 2 4" xfId="25673" xr:uid="{04F4EC98-2710-4BF4-86CD-C988817E5EBC}"/>
    <cellStyle name="Note 2 2 3 8 2 5" xfId="16376" xr:uid="{3B7E1545-2B67-4E93-B57A-2266E2190CA2}"/>
    <cellStyle name="Note 2 2 3 8 3" xfId="38351" xr:uid="{BDDC5AF3-EAE7-4026-80E3-9706BF3CD672}"/>
    <cellStyle name="Note 2 2 3 8 4" xfId="29903" xr:uid="{E69DDD8A-156C-4D45-9F32-7D7A7AF4CFAF}"/>
    <cellStyle name="Note 2 2 3 8 5" xfId="21456" xr:uid="{6EAC650A-89E5-4496-821B-3679AC58B09C}"/>
    <cellStyle name="Note 2 2 3 8 6" xfId="12159" xr:uid="{C841F06E-2465-4667-9599-027077073241}"/>
    <cellStyle name="Note 2 2 3 9" xfId="4905" xr:uid="{00000000-0005-0000-0000-0000D9200000}"/>
    <cellStyle name="Note 2 2 3 9 2" xfId="40423" xr:uid="{B24E43E9-162A-4B9A-8929-61ABAF4C07C6}"/>
    <cellStyle name="Note 2 2 3 9 3" xfId="31976" xr:uid="{BF91F452-80A3-42F4-B8D0-F63D0C7B5089}"/>
    <cellStyle name="Note 2 2 3 9 4" xfId="23528" xr:uid="{B8C30F2E-534A-4A5E-B243-E4B358589D41}"/>
    <cellStyle name="Note 2 2 3 9 5" xfId="14231" xr:uid="{F1A58BF9-1E8E-4691-B163-37833467A6BF}"/>
    <cellStyle name="Note 2 2 4" xfId="1006" xr:uid="{00000000-0005-0000-0000-0000DA200000}"/>
    <cellStyle name="Note 2 2 4 2" xfId="3238" xr:uid="{00000000-0005-0000-0000-0000DB200000}"/>
    <cellStyle name="Note 2 2 4 2 2" xfId="7460" xr:uid="{00000000-0005-0000-0000-0000DC200000}"/>
    <cellStyle name="Note 2 2 4 2 2 2" xfId="42978" xr:uid="{878478F4-7875-424C-BE02-44EB258A4B32}"/>
    <cellStyle name="Note 2 2 4 2 2 3" xfId="34531" xr:uid="{07359CDF-A796-40FB-8743-635729328259}"/>
    <cellStyle name="Note 2 2 4 2 2 4" xfId="26083" xr:uid="{CC9C3205-353C-42F2-A530-7C1260D37841}"/>
    <cellStyle name="Note 2 2 4 2 2 5" xfId="16786" xr:uid="{5932008F-20D7-497E-BCF4-639CBC080F91}"/>
    <cellStyle name="Note 2 2 4 2 3" xfId="38761" xr:uid="{321B6C18-805B-475B-80B4-7CA1ADF07EFD}"/>
    <cellStyle name="Note 2 2 4 2 4" xfId="30313" xr:uid="{4ABA5EB0-A0E1-4C6D-8B29-10CB8346B19C}"/>
    <cellStyle name="Note 2 2 4 2 5" xfId="21866" xr:uid="{9AD65FA4-D752-4F50-B760-BB424326B500}"/>
    <cellStyle name="Note 2 2 4 2 6" xfId="12569" xr:uid="{B2371B8C-9E2E-438E-8D53-050A7FB4F1BC}"/>
    <cellStyle name="Note 2 2 4 3" xfId="5315" xr:uid="{00000000-0005-0000-0000-0000DD200000}"/>
    <cellStyle name="Note 2 2 4 3 2" xfId="40833" xr:uid="{31B7E2FB-4EF3-4D7E-8B35-9F12FB3B5DE2}"/>
    <cellStyle name="Note 2 2 4 3 3" xfId="32386" xr:uid="{49B8A974-7063-4A69-A752-48167F57B9D9}"/>
    <cellStyle name="Note 2 2 4 3 4" xfId="23938" xr:uid="{D0BDED5A-8581-4B88-A3A5-AE44F7964FEF}"/>
    <cellStyle name="Note 2 2 4 3 5" xfId="14641" xr:uid="{1E8B1574-0932-4AFD-AF67-C26BFFF81AF9}"/>
    <cellStyle name="Note 2 2 4 4" xfId="9266" xr:uid="{8B6F7B8D-50FA-47DA-836F-17B0F9492E54}"/>
    <cellStyle name="Note 2 2 4 4 2" xfId="36616" xr:uid="{9381F55E-EAE2-476C-99E2-B962EE233E17}"/>
    <cellStyle name="Note 2 2 4 4 3" xfId="18579" xr:uid="{8C6AD284-581B-443E-AE3A-AE7823DF8F3D}"/>
    <cellStyle name="Note 2 2 4 5" xfId="28168" xr:uid="{5364B33C-97DF-4246-94CC-1EA2B0EA91D8}"/>
    <cellStyle name="Note 2 2 4 6" xfId="19721" xr:uid="{169B6D8D-7870-4984-880E-9B1A47E39BA8}"/>
    <cellStyle name="Note 2 2 4 7" xfId="10424" xr:uid="{CEB6C257-E8E7-4242-A48B-C6CA2FC83561}"/>
    <cellStyle name="Note 2 2 5" xfId="1421" xr:uid="{00000000-0005-0000-0000-0000DE200000}"/>
    <cellStyle name="Note 2 2 5 2" xfId="3651" xr:uid="{00000000-0005-0000-0000-0000DF200000}"/>
    <cellStyle name="Note 2 2 5 2 2" xfId="7873" xr:uid="{00000000-0005-0000-0000-0000E0200000}"/>
    <cellStyle name="Note 2 2 5 2 2 2" xfId="43391" xr:uid="{9FD5556A-5B8F-48C8-9B58-D554443E9951}"/>
    <cellStyle name="Note 2 2 5 2 2 3" xfId="34944" xr:uid="{025CDE58-2E57-42AA-A4FC-A06D90496946}"/>
    <cellStyle name="Note 2 2 5 2 2 4" xfId="26496" xr:uid="{43466F72-ADD2-4C07-B14A-A8AEBB371647}"/>
    <cellStyle name="Note 2 2 5 2 2 5" xfId="17199" xr:uid="{CE4CD68E-CC95-42B5-9709-9ADAB857113E}"/>
    <cellStyle name="Note 2 2 5 2 3" xfId="39174" xr:uid="{61B861C9-183E-40C1-A5EF-DA14C2360E43}"/>
    <cellStyle name="Note 2 2 5 2 4" xfId="30726" xr:uid="{02440526-5A8D-4554-8445-8677447E342A}"/>
    <cellStyle name="Note 2 2 5 2 5" xfId="22279" xr:uid="{B5FEE4F8-7AA3-4557-BB0E-DF11A970DE75}"/>
    <cellStyle name="Note 2 2 5 2 6" xfId="12982" xr:uid="{F4092FE0-0ACF-4BCA-B0D9-3CCF12464E51}"/>
    <cellStyle name="Note 2 2 5 3" xfId="5728" xr:uid="{00000000-0005-0000-0000-0000E1200000}"/>
    <cellStyle name="Note 2 2 5 3 2" xfId="41246" xr:uid="{F804E2AE-5B5D-44B8-A44F-992B6D20BBB8}"/>
    <cellStyle name="Note 2 2 5 3 3" xfId="32799" xr:uid="{1B616C26-0AFC-4733-B9C4-69379BC2933E}"/>
    <cellStyle name="Note 2 2 5 3 4" xfId="24351" xr:uid="{6ECB4184-AB60-4AEC-9389-43A9FC8E89E3}"/>
    <cellStyle name="Note 2 2 5 3 5" xfId="15054" xr:uid="{B787824B-0C19-4F6B-884D-EB8D1A980E1C}"/>
    <cellStyle name="Note 2 2 5 4" xfId="37029" xr:uid="{06CC3F55-6535-4601-BFC4-98F7CD3A464F}"/>
    <cellStyle name="Note 2 2 5 5" xfId="28581" xr:uid="{98AC70BF-AF1E-4767-8E36-9584CB754D10}"/>
    <cellStyle name="Note 2 2 5 6" xfId="20134" xr:uid="{0C130E98-9ED8-4592-ABDB-1522D5BFA21D}"/>
    <cellStyle name="Note 2 2 5 7" xfId="10837" xr:uid="{B00C3049-104C-4FAD-B412-D13A7D5A66CE}"/>
    <cellStyle name="Note 2 2 6" xfId="1835" xr:uid="{00000000-0005-0000-0000-0000E2200000}"/>
    <cellStyle name="Note 2 2 6 2" xfId="4064" xr:uid="{00000000-0005-0000-0000-0000E3200000}"/>
    <cellStyle name="Note 2 2 6 2 2" xfId="8286" xr:uid="{00000000-0005-0000-0000-0000E4200000}"/>
    <cellStyle name="Note 2 2 6 2 2 2" xfId="43804" xr:uid="{A0136F64-0D7A-4B60-B55C-B4DF0F6C106D}"/>
    <cellStyle name="Note 2 2 6 2 2 3" xfId="35357" xr:uid="{02E35BF4-B7C6-4E36-834C-7D407B886BC6}"/>
    <cellStyle name="Note 2 2 6 2 2 4" xfId="26909" xr:uid="{2DDA463A-5C8A-4D9C-97CA-A89EDDCE12E8}"/>
    <cellStyle name="Note 2 2 6 2 2 5" xfId="17612" xr:uid="{AC8E1E92-9DE3-4485-85EE-C6C3CE24368F}"/>
    <cellStyle name="Note 2 2 6 2 3" xfId="39587" xr:uid="{11A2A43F-2267-42AF-AB16-CC3635F54150}"/>
    <cellStyle name="Note 2 2 6 2 4" xfId="31139" xr:uid="{CF50C6BB-3ADD-4DCD-A2E4-FA7A7A851682}"/>
    <cellStyle name="Note 2 2 6 2 5" xfId="22692" xr:uid="{86277D1F-C4D6-4DC8-8860-438C720E60E0}"/>
    <cellStyle name="Note 2 2 6 2 6" xfId="13395" xr:uid="{525A30A3-5898-4665-AE0A-B409B35F81AF}"/>
    <cellStyle name="Note 2 2 6 3" xfId="6141" xr:uid="{00000000-0005-0000-0000-0000E5200000}"/>
    <cellStyle name="Note 2 2 6 3 2" xfId="41659" xr:uid="{F0B5E95B-5713-4F64-BA62-FB9298D56923}"/>
    <cellStyle name="Note 2 2 6 3 3" xfId="33212" xr:uid="{5BD3E8E6-304A-43A0-8726-801FA2DD2809}"/>
    <cellStyle name="Note 2 2 6 3 4" xfId="24764" xr:uid="{E8D96CD9-5332-4063-B2F3-6019327FEAD3}"/>
    <cellStyle name="Note 2 2 6 3 5" xfId="15467" xr:uid="{A14FF61F-133B-4417-B7CC-EDCE5CAC18EE}"/>
    <cellStyle name="Note 2 2 6 4" xfId="37442" xr:uid="{A0E085A9-0E82-4F7D-B0A6-F89C2D13076C}"/>
    <cellStyle name="Note 2 2 6 5" xfId="28994" xr:uid="{6FE5D699-0ECB-463F-B67D-47639C7B696C}"/>
    <cellStyle name="Note 2 2 6 6" xfId="20547" xr:uid="{62D5D657-ACD3-4D72-B84F-D9981EB8F672}"/>
    <cellStyle name="Note 2 2 6 7" xfId="11250" xr:uid="{A08DBE11-6EC9-437A-BB27-063DD3A53CC1}"/>
    <cellStyle name="Note 2 2 7" xfId="2248" xr:uid="{00000000-0005-0000-0000-0000E6200000}"/>
    <cellStyle name="Note 2 2 7 2" xfId="4477" xr:uid="{00000000-0005-0000-0000-0000E7200000}"/>
    <cellStyle name="Note 2 2 7 2 2" xfId="8699" xr:uid="{00000000-0005-0000-0000-0000E8200000}"/>
    <cellStyle name="Note 2 2 7 2 2 2" xfId="44217" xr:uid="{A15EC72B-ADAD-4EE6-BD3E-FB2EF9E18590}"/>
    <cellStyle name="Note 2 2 7 2 2 3" xfId="35770" xr:uid="{EA049C26-5873-4550-9009-74DD9AEDCB0F}"/>
    <cellStyle name="Note 2 2 7 2 2 4" xfId="27322" xr:uid="{A1806098-B1C0-4480-9A53-C0B213655CDC}"/>
    <cellStyle name="Note 2 2 7 2 2 5" xfId="18025" xr:uid="{9A04DC48-FE49-40F3-A2B7-55DE665E14D1}"/>
    <cellStyle name="Note 2 2 7 2 3" xfId="40000" xr:uid="{41416582-7E75-49BE-AE65-FBF84A04B016}"/>
    <cellStyle name="Note 2 2 7 2 4" xfId="31552" xr:uid="{F0782CEB-8C8C-4C0A-9688-6FEFFD828026}"/>
    <cellStyle name="Note 2 2 7 2 5" xfId="23105" xr:uid="{2B0F63A2-DB72-4EBA-96E6-E5FDCDAA115B}"/>
    <cellStyle name="Note 2 2 7 2 6" xfId="13808" xr:uid="{253A97B0-A249-4E76-BF78-658F553A78B7}"/>
    <cellStyle name="Note 2 2 7 3" xfId="6554" xr:uid="{00000000-0005-0000-0000-0000E9200000}"/>
    <cellStyle name="Note 2 2 7 3 2" xfId="42072" xr:uid="{8C1E16C4-4B83-4DA1-901F-8DD401E11224}"/>
    <cellStyle name="Note 2 2 7 3 3" xfId="33625" xr:uid="{987041FF-8E20-4CD0-8197-8392E918A311}"/>
    <cellStyle name="Note 2 2 7 3 4" xfId="25177" xr:uid="{C52B1E7C-62B4-479D-B7BC-E8DFE16235C1}"/>
    <cellStyle name="Note 2 2 7 3 5" xfId="15880" xr:uid="{526C24DE-45B4-4E3F-AC7B-0D07527A7A0D}"/>
    <cellStyle name="Note 2 2 7 4" xfId="37855" xr:uid="{49710111-EEDF-4C3C-AFFB-E3B54CFC0EFA}"/>
    <cellStyle name="Note 2 2 7 5" xfId="29407" xr:uid="{F9C1CC2E-3B1A-4F2B-9D79-7476F9BC07DC}"/>
    <cellStyle name="Note 2 2 7 6" xfId="20960" xr:uid="{B88CDB32-1157-4CF1-A1FC-307A405A6D2B}"/>
    <cellStyle name="Note 2 2 7 7" xfId="11663" xr:uid="{D86F57D3-A8BD-4209-A635-240B2CAD7FB1}"/>
    <cellStyle name="Note 2 2 8" xfId="2684" xr:uid="{00000000-0005-0000-0000-0000EA200000}"/>
    <cellStyle name="Note 2 2 8 2" xfId="6967" xr:uid="{00000000-0005-0000-0000-0000EB200000}"/>
    <cellStyle name="Note 2 2 8 2 2" xfId="42485" xr:uid="{8160E40D-185D-47DE-8FDE-73D32F9A0E94}"/>
    <cellStyle name="Note 2 2 8 2 3" xfId="34038" xr:uid="{5646148A-A738-4D77-80B5-B6CBF428D3AE}"/>
    <cellStyle name="Note 2 2 8 2 4" xfId="25590" xr:uid="{BF8870CD-73E7-4D62-B31E-3E5D7767F39E}"/>
    <cellStyle name="Note 2 2 8 2 5" xfId="16293" xr:uid="{DCDA97BB-F4A3-4A57-AAC7-3D8CAF0BBD8D}"/>
    <cellStyle name="Note 2 2 8 3" xfId="38268" xr:uid="{BBEA1727-33D4-48E8-8B46-379182F5D6C9}"/>
    <cellStyle name="Note 2 2 8 4" xfId="29820" xr:uid="{413E7235-D752-4C22-83D0-9E07F4685174}"/>
    <cellStyle name="Note 2 2 8 5" xfId="21373" xr:uid="{7CA70F4D-C7B7-4118-8E28-12E226DF8648}"/>
    <cellStyle name="Note 2 2 8 6" xfId="12076" xr:uid="{2BF75DF2-0D58-456F-859E-8223687FBBEC}"/>
    <cellStyle name="Note 2 2 9" xfId="2743" xr:uid="{00000000-0005-0000-0000-0000EC200000}"/>
    <cellStyle name="Note 2 3" xfId="549" xr:uid="{00000000-0005-0000-0000-0000ED200000}"/>
    <cellStyle name="Note 2 3 10" xfId="4906" xr:uid="{00000000-0005-0000-0000-0000EE200000}"/>
    <cellStyle name="Note 2 3 10 2" xfId="40424" xr:uid="{92F34A23-79E6-45ED-A506-FF657BE18FC0}"/>
    <cellStyle name="Note 2 3 10 3" xfId="31977" xr:uid="{8B0270F8-268E-420C-9025-0665EEBC55AA}"/>
    <cellStyle name="Note 2 3 10 4" xfId="23529" xr:uid="{044FDCDC-AE56-43DE-A694-864D117F8DB9}"/>
    <cellStyle name="Note 2 3 10 5" xfId="14232" xr:uid="{70CDF848-4F3B-4A53-91E5-62394200F281}"/>
    <cellStyle name="Note 2 3 11" xfId="8894" xr:uid="{2BFFE8D0-DA42-4876-8895-58F80713E965}"/>
    <cellStyle name="Note 2 3 11 2" xfId="36207" xr:uid="{ABFB7362-DD87-4866-949F-8035ECD364E3}"/>
    <cellStyle name="Note 2 3 11 3" xfId="18217" xr:uid="{904B0937-9FF6-4E4B-942A-1D08A1151B6E}"/>
    <cellStyle name="Note 2 3 12" xfId="27759" xr:uid="{D3F8D8F1-297E-448D-87CC-185DDF93F84A}"/>
    <cellStyle name="Note 2 3 13" xfId="19312" xr:uid="{2F11EEC1-A0E9-4220-99C2-A955B54A7E52}"/>
    <cellStyle name="Note 2 3 14" xfId="10015" xr:uid="{8615005A-E2BE-4BE3-9B02-58423ABBA803}"/>
    <cellStyle name="Note 2 3 2" xfId="550" xr:uid="{00000000-0005-0000-0000-0000EF200000}"/>
    <cellStyle name="Note 2 3 2 10" xfId="9101" xr:uid="{1822EEA2-225E-465E-B4CD-D4615440EC62}"/>
    <cellStyle name="Note 2 3 2 10 2" xfId="36208" xr:uid="{8DB2AED9-473B-4BDE-B404-06922FA25CC7}"/>
    <cellStyle name="Note 2 3 2 10 3" xfId="18424" xr:uid="{87A35991-1B89-40D2-BDAD-158F3F15E327}"/>
    <cellStyle name="Note 2 3 2 11" xfId="27760" xr:uid="{353F32EB-337E-4314-A0D3-33EDD71F303F}"/>
    <cellStyle name="Note 2 3 2 12" xfId="19313" xr:uid="{9A793962-279E-4F38-9F79-53822DABF21F}"/>
    <cellStyle name="Note 2 3 2 13" xfId="10016" xr:uid="{F40129DE-4D53-43FC-AF33-5401AD346EE3}"/>
    <cellStyle name="Note 2 3 2 2" xfId="1011" xr:uid="{00000000-0005-0000-0000-0000F0200000}"/>
    <cellStyle name="Note 2 3 2 2 2" xfId="3243" xr:uid="{00000000-0005-0000-0000-0000F1200000}"/>
    <cellStyle name="Note 2 3 2 2 2 2" xfId="7465" xr:uid="{00000000-0005-0000-0000-0000F2200000}"/>
    <cellStyle name="Note 2 3 2 2 2 2 2" xfId="42983" xr:uid="{F725BF95-DC6C-4390-B7C2-EF0B2B11441D}"/>
    <cellStyle name="Note 2 3 2 2 2 2 3" xfId="34536" xr:uid="{F7C00364-DC47-427C-A257-EA0CE3790983}"/>
    <cellStyle name="Note 2 3 2 2 2 2 4" xfId="26088" xr:uid="{8377C34D-489D-4C43-8A83-DBA99E5D171B}"/>
    <cellStyle name="Note 2 3 2 2 2 2 5" xfId="16791" xr:uid="{C4B398A0-CB28-4E8A-9DC2-E5E5ED7982B1}"/>
    <cellStyle name="Note 2 3 2 2 2 3" xfId="38766" xr:uid="{C60C5F49-DC86-4EB7-A5D1-C336D9ED933A}"/>
    <cellStyle name="Note 2 3 2 2 2 4" xfId="30318" xr:uid="{46CCB7F7-D002-409E-B125-BFE70399001A}"/>
    <cellStyle name="Note 2 3 2 2 2 5" xfId="21871" xr:uid="{15816B4D-B0AF-4789-A940-3A517F20F7DE}"/>
    <cellStyle name="Note 2 3 2 2 2 6" xfId="12574" xr:uid="{CA034014-F04B-4956-8940-0FF77B8E00A8}"/>
    <cellStyle name="Note 2 3 2 2 3" xfId="5320" xr:uid="{00000000-0005-0000-0000-0000F3200000}"/>
    <cellStyle name="Note 2 3 2 2 3 2" xfId="40838" xr:uid="{043B5958-D916-4BA5-894D-972674DAC178}"/>
    <cellStyle name="Note 2 3 2 2 3 3" xfId="32391" xr:uid="{A054A1CF-930F-46CE-827B-C653E27E75C2}"/>
    <cellStyle name="Note 2 3 2 2 3 4" xfId="23943" xr:uid="{46AA2B04-BC1D-49DD-8879-7249044AC114}"/>
    <cellStyle name="Note 2 3 2 2 3 5" xfId="14646" xr:uid="{ACB96344-66FB-42DF-A636-3F8EF5A10C7C}"/>
    <cellStyle name="Note 2 3 2 2 4" xfId="9526" xr:uid="{1C428179-0C82-4F5D-9FE4-E11D597F9E89}"/>
    <cellStyle name="Note 2 3 2 2 4 2" xfId="36621" xr:uid="{4F3A2D25-63A1-4FF5-9FEE-A79BDC62D996}"/>
    <cellStyle name="Note 2 3 2 2 4 3" xfId="18839" xr:uid="{87521E36-996D-4E9E-8DE4-8227DF6D0933}"/>
    <cellStyle name="Note 2 3 2 2 5" xfId="28173" xr:uid="{F4EB040E-6C39-41C7-9F1C-73AE6F53AE52}"/>
    <cellStyle name="Note 2 3 2 2 6" xfId="19726" xr:uid="{B498D510-9FAA-46B1-BAD4-8320E1F673EC}"/>
    <cellStyle name="Note 2 3 2 2 7" xfId="10429" xr:uid="{6C7284CC-0EBD-436D-8C8F-3ADA1802FADE}"/>
    <cellStyle name="Note 2 3 2 3" xfId="1426" xr:uid="{00000000-0005-0000-0000-0000F4200000}"/>
    <cellStyle name="Note 2 3 2 3 2" xfId="3656" xr:uid="{00000000-0005-0000-0000-0000F5200000}"/>
    <cellStyle name="Note 2 3 2 3 2 2" xfId="7878" xr:uid="{00000000-0005-0000-0000-0000F6200000}"/>
    <cellStyle name="Note 2 3 2 3 2 2 2" xfId="43396" xr:uid="{03C9B98E-8888-46FA-AA39-0F17BC817DB1}"/>
    <cellStyle name="Note 2 3 2 3 2 2 3" xfId="34949" xr:uid="{17D28880-22C5-40CD-8F8C-3178298A8059}"/>
    <cellStyle name="Note 2 3 2 3 2 2 4" xfId="26501" xr:uid="{FAB207CF-38BA-4CDB-BA54-61B3B3183379}"/>
    <cellStyle name="Note 2 3 2 3 2 2 5" xfId="17204" xr:uid="{990E4E66-14CF-4C1A-9232-D328234E0624}"/>
    <cellStyle name="Note 2 3 2 3 2 3" xfId="39179" xr:uid="{219E0F08-B936-4136-8438-E9577ED32203}"/>
    <cellStyle name="Note 2 3 2 3 2 4" xfId="30731" xr:uid="{BDEC715D-F3BD-4427-B6A4-67B0420895B6}"/>
    <cellStyle name="Note 2 3 2 3 2 5" xfId="22284" xr:uid="{036CAC0C-560B-4B07-913F-DC92C53FC549}"/>
    <cellStyle name="Note 2 3 2 3 2 6" xfId="12987" xr:uid="{D06C8E5D-900E-4C53-8B49-BCCB8402DA7E}"/>
    <cellStyle name="Note 2 3 2 3 3" xfId="5733" xr:uid="{00000000-0005-0000-0000-0000F7200000}"/>
    <cellStyle name="Note 2 3 2 3 3 2" xfId="41251" xr:uid="{510E8C09-4059-4047-A972-A25E2735BE98}"/>
    <cellStyle name="Note 2 3 2 3 3 3" xfId="32804" xr:uid="{8E23C65A-64AF-4569-96F6-45529D5DEB8E}"/>
    <cellStyle name="Note 2 3 2 3 3 4" xfId="24356" xr:uid="{835BA302-140C-4101-8261-3037B3369F3A}"/>
    <cellStyle name="Note 2 3 2 3 3 5" xfId="15059" xr:uid="{F0935EEF-7D2B-4D38-B8C7-DBD75AF21A2C}"/>
    <cellStyle name="Note 2 3 2 3 4" xfId="37034" xr:uid="{3EB1AE30-4B7C-4485-9458-B2E53C23B5FB}"/>
    <cellStyle name="Note 2 3 2 3 5" xfId="28586" xr:uid="{61A742F1-AC56-4823-B26E-340507DF1C13}"/>
    <cellStyle name="Note 2 3 2 3 6" xfId="20139" xr:uid="{C22F70A1-FFC7-4CBA-8E4A-63E1B86D58F4}"/>
    <cellStyle name="Note 2 3 2 3 7" xfId="10842" xr:uid="{A7036392-056D-4510-ABCC-23D2F76667D6}"/>
    <cellStyle name="Note 2 3 2 4" xfId="1840" xr:uid="{00000000-0005-0000-0000-0000F8200000}"/>
    <cellStyle name="Note 2 3 2 4 2" xfId="4069" xr:uid="{00000000-0005-0000-0000-0000F9200000}"/>
    <cellStyle name="Note 2 3 2 4 2 2" xfId="8291" xr:uid="{00000000-0005-0000-0000-0000FA200000}"/>
    <cellStyle name="Note 2 3 2 4 2 2 2" xfId="43809" xr:uid="{9FC0AF1A-1B90-45AD-8C52-C2D9D6C24CA4}"/>
    <cellStyle name="Note 2 3 2 4 2 2 3" xfId="35362" xr:uid="{D6A858C3-ED73-4ADC-948F-F0B87F2E3E70}"/>
    <cellStyle name="Note 2 3 2 4 2 2 4" xfId="26914" xr:uid="{6E3A416B-F19D-4F5A-853F-B5030051F69E}"/>
    <cellStyle name="Note 2 3 2 4 2 2 5" xfId="17617" xr:uid="{5F72B492-B0EB-47C8-BE3A-34BDA8CC27B7}"/>
    <cellStyle name="Note 2 3 2 4 2 3" xfId="39592" xr:uid="{4212445F-0959-436A-A4CD-BBBA24FF63B7}"/>
    <cellStyle name="Note 2 3 2 4 2 4" xfId="31144" xr:uid="{7C92F122-BB77-4E4D-BF2D-B932571EBAF0}"/>
    <cellStyle name="Note 2 3 2 4 2 5" xfId="22697" xr:uid="{681E235A-54C4-416C-8901-667398690197}"/>
    <cellStyle name="Note 2 3 2 4 2 6" xfId="13400" xr:uid="{5BCE941C-1998-4620-9336-C59B67369574}"/>
    <cellStyle name="Note 2 3 2 4 3" xfId="6146" xr:uid="{00000000-0005-0000-0000-0000FB200000}"/>
    <cellStyle name="Note 2 3 2 4 3 2" xfId="41664" xr:uid="{747E60E3-503A-4B90-A891-D9A1041E8DBA}"/>
    <cellStyle name="Note 2 3 2 4 3 3" xfId="33217" xr:uid="{1C5C2644-BCC8-4150-AA92-C12087C39EF2}"/>
    <cellStyle name="Note 2 3 2 4 3 4" xfId="24769" xr:uid="{5E6526AA-2A7B-4F6A-98A5-9C051FA38C79}"/>
    <cellStyle name="Note 2 3 2 4 3 5" xfId="15472" xr:uid="{07C96EC3-C416-4790-93CF-C40D40C6C313}"/>
    <cellStyle name="Note 2 3 2 4 4" xfId="37447" xr:uid="{15C05CC9-BE7A-4F5D-A13F-A18C2962FB26}"/>
    <cellStyle name="Note 2 3 2 4 5" xfId="28999" xr:uid="{1A1FCADE-7252-4218-B459-0B4E42EFA0D2}"/>
    <cellStyle name="Note 2 3 2 4 6" xfId="20552" xr:uid="{217B4223-2D8A-4CA9-A1F5-B8DC15EC8BD2}"/>
    <cellStyle name="Note 2 3 2 4 7" xfId="11255" xr:uid="{9CDF4FD4-641B-40B3-A263-C0BE49B5D37E}"/>
    <cellStyle name="Note 2 3 2 5" xfId="2253" xr:uid="{00000000-0005-0000-0000-0000FC200000}"/>
    <cellStyle name="Note 2 3 2 5 2" xfId="4482" xr:uid="{00000000-0005-0000-0000-0000FD200000}"/>
    <cellStyle name="Note 2 3 2 5 2 2" xfId="8704" xr:uid="{00000000-0005-0000-0000-0000FE200000}"/>
    <cellStyle name="Note 2 3 2 5 2 2 2" xfId="44222" xr:uid="{D8ECE6F3-57DE-4338-9D83-78EC36971456}"/>
    <cellStyle name="Note 2 3 2 5 2 2 3" xfId="35775" xr:uid="{5E02F089-CD12-4080-B4DC-39FF8EDA6FF4}"/>
    <cellStyle name="Note 2 3 2 5 2 2 4" xfId="27327" xr:uid="{E5C23937-F5BE-4E49-A4BF-1BDA184EB666}"/>
    <cellStyle name="Note 2 3 2 5 2 2 5" xfId="18030" xr:uid="{7FE81AD9-6687-4CF0-A46A-864F0C4EDC35}"/>
    <cellStyle name="Note 2 3 2 5 2 3" xfId="40005" xr:uid="{2F75AB77-CF28-44A9-A0A8-88D522BC71B7}"/>
    <cellStyle name="Note 2 3 2 5 2 4" xfId="31557" xr:uid="{8AF281C4-A783-4BB4-BE68-14F211D7B3F3}"/>
    <cellStyle name="Note 2 3 2 5 2 5" xfId="23110" xr:uid="{7E10D4B4-AE58-4B27-B2A1-3400662E9ACE}"/>
    <cellStyle name="Note 2 3 2 5 2 6" xfId="13813" xr:uid="{FF5185C4-DF5F-42CF-9E06-D2262542CADF}"/>
    <cellStyle name="Note 2 3 2 5 3" xfId="6559" xr:uid="{00000000-0005-0000-0000-0000FF200000}"/>
    <cellStyle name="Note 2 3 2 5 3 2" xfId="42077" xr:uid="{7BE97307-5C78-47D5-B809-6E4D4AB0FE40}"/>
    <cellStyle name="Note 2 3 2 5 3 3" xfId="33630" xr:uid="{77CA74BC-36CB-40DB-A4D8-F37B351BC278}"/>
    <cellStyle name="Note 2 3 2 5 3 4" xfId="25182" xr:uid="{EFF25341-E3B8-4762-8CA3-687773558914}"/>
    <cellStyle name="Note 2 3 2 5 3 5" xfId="15885" xr:uid="{AB68C545-717B-4875-8F41-75A05282A2F1}"/>
    <cellStyle name="Note 2 3 2 5 4" xfId="37860" xr:uid="{7AA29DC7-F361-4A5E-B393-F90CC96DF3DC}"/>
    <cellStyle name="Note 2 3 2 5 5" xfId="29412" xr:uid="{B4ED328C-2877-4993-A15C-DB994EB8C6EB}"/>
    <cellStyle name="Note 2 3 2 5 6" xfId="20965" xr:uid="{1406A4FE-7716-4CC0-AEAA-CF6ACD5E29A0}"/>
    <cellStyle name="Note 2 3 2 5 7" xfId="11668" xr:uid="{91EFC844-B896-4B96-AD3B-47B1D557EC1E}"/>
    <cellStyle name="Note 2 3 2 6" xfId="2689" xr:uid="{00000000-0005-0000-0000-000000210000}"/>
    <cellStyle name="Note 2 3 2 6 2" xfId="6972" xr:uid="{00000000-0005-0000-0000-000001210000}"/>
    <cellStyle name="Note 2 3 2 6 2 2" xfId="42490" xr:uid="{1F11698F-7B17-40B9-BFBC-FAA4EDFA04FC}"/>
    <cellStyle name="Note 2 3 2 6 2 3" xfId="34043" xr:uid="{5E038EB1-0DF0-4A1E-8B77-5DB5488DF452}"/>
    <cellStyle name="Note 2 3 2 6 2 4" xfId="25595" xr:uid="{1B0CC9D6-5F40-4410-8C60-1F000D6D04B3}"/>
    <cellStyle name="Note 2 3 2 6 2 5" xfId="16298" xr:uid="{506A0CB2-2D49-42E0-B104-85921B2DF5B9}"/>
    <cellStyle name="Note 2 3 2 6 3" xfId="38273" xr:uid="{08F561FA-2A6C-474F-ABBE-5E4F1F56D863}"/>
    <cellStyle name="Note 2 3 2 6 4" xfId="29825" xr:uid="{460D7790-B8A6-4841-B8CC-358B2B4F10CE}"/>
    <cellStyle name="Note 2 3 2 6 5" xfId="21378" xr:uid="{259F78F1-15FB-4D06-AAFE-E07D76D53B63}"/>
    <cellStyle name="Note 2 3 2 6 6" xfId="12081" xr:uid="{EBB45199-9F02-4A3B-8DAC-B0D26340EAAE}"/>
    <cellStyle name="Note 2 3 2 7" xfId="2748" xr:uid="{00000000-0005-0000-0000-000002210000}"/>
    <cellStyle name="Note 2 3 2 8" xfId="2829" xr:uid="{00000000-0005-0000-0000-000003210000}"/>
    <cellStyle name="Note 2 3 2 8 2" xfId="7052" xr:uid="{00000000-0005-0000-0000-000004210000}"/>
    <cellStyle name="Note 2 3 2 8 2 2" xfId="42570" xr:uid="{7775C790-5B08-499B-B576-4796DBC2537D}"/>
    <cellStyle name="Note 2 3 2 8 2 3" xfId="34123" xr:uid="{55A9C1E9-A08A-4992-BD62-6DD781E4D085}"/>
    <cellStyle name="Note 2 3 2 8 2 4" xfId="25675" xr:uid="{5700768E-4F4E-4611-B4E5-EB76F589E10A}"/>
    <cellStyle name="Note 2 3 2 8 2 5" xfId="16378" xr:uid="{4DF6945E-B4CC-48D0-AD3C-65A3E2887BAE}"/>
    <cellStyle name="Note 2 3 2 8 3" xfId="38353" xr:uid="{B646D26C-7478-44D9-9CB5-359F749F78FF}"/>
    <cellStyle name="Note 2 3 2 8 4" xfId="29905" xr:uid="{E5989A86-857A-4ACB-9AB0-F0FF900B1D67}"/>
    <cellStyle name="Note 2 3 2 8 5" xfId="21458" xr:uid="{F956747E-C3CD-4B70-858B-7D54E84E7A51}"/>
    <cellStyle name="Note 2 3 2 8 6" xfId="12161" xr:uid="{033C6AF3-B87D-4E9D-8DE6-96707EA45680}"/>
    <cellStyle name="Note 2 3 2 9" xfId="4907" xr:uid="{00000000-0005-0000-0000-000005210000}"/>
    <cellStyle name="Note 2 3 2 9 2" xfId="40425" xr:uid="{211E2C65-F673-4415-A134-A16108A18D33}"/>
    <cellStyle name="Note 2 3 2 9 3" xfId="31978" xr:uid="{5F70A812-D459-4AF5-AC7F-BA848F36BE59}"/>
    <cellStyle name="Note 2 3 2 9 4" xfId="23530" xr:uid="{365C03B1-62DE-44FC-ACB3-E573CB398084}"/>
    <cellStyle name="Note 2 3 2 9 5" xfId="14233" xr:uid="{C74B8C4B-8422-4CA7-8E33-F0F2620D240E}"/>
    <cellStyle name="Note 2 3 3" xfId="1010" xr:uid="{00000000-0005-0000-0000-000006210000}"/>
    <cellStyle name="Note 2 3 3 2" xfId="3242" xr:uid="{00000000-0005-0000-0000-000007210000}"/>
    <cellStyle name="Note 2 3 3 2 2" xfId="7464" xr:uid="{00000000-0005-0000-0000-000008210000}"/>
    <cellStyle name="Note 2 3 3 2 2 2" xfId="42982" xr:uid="{ECC4852B-7E7A-4F81-B803-36356A279F8D}"/>
    <cellStyle name="Note 2 3 3 2 2 3" xfId="34535" xr:uid="{5DCD39CF-6827-4137-AE1E-956C08CD2CE1}"/>
    <cellStyle name="Note 2 3 3 2 2 4" xfId="26087" xr:uid="{F0210C22-AFD4-4199-AB37-2B8E9AC6ADEE}"/>
    <cellStyle name="Note 2 3 3 2 2 5" xfId="16790" xr:uid="{39DA42F3-B6C4-4C15-B468-1276F28EEF58}"/>
    <cellStyle name="Note 2 3 3 2 3" xfId="38765" xr:uid="{49938301-6798-47FA-A231-4855A50D887E}"/>
    <cellStyle name="Note 2 3 3 2 4" xfId="30317" xr:uid="{3478F623-D505-4442-84E5-82D0D1FC0AE2}"/>
    <cellStyle name="Note 2 3 3 2 5" xfId="21870" xr:uid="{F72A9E0D-898E-4812-A81E-A0C3F64DFD49}"/>
    <cellStyle name="Note 2 3 3 2 6" xfId="12573" xr:uid="{30D40249-F44E-4871-A244-4F4566B3FD83}"/>
    <cellStyle name="Note 2 3 3 3" xfId="5319" xr:uid="{00000000-0005-0000-0000-000009210000}"/>
    <cellStyle name="Note 2 3 3 3 2" xfId="40837" xr:uid="{6C94613B-09CA-4C25-AD28-9038A0C1EA75}"/>
    <cellStyle name="Note 2 3 3 3 3" xfId="32390" xr:uid="{736CA27D-5DD2-4EBF-80C1-CE16CE555186}"/>
    <cellStyle name="Note 2 3 3 3 4" xfId="23942" xr:uid="{66D745BA-C89A-4FE5-AFCF-55108BB34442}"/>
    <cellStyle name="Note 2 3 3 3 5" xfId="14645" xr:uid="{EDC756F9-041A-4010-B3E6-D18205C9A5DA}"/>
    <cellStyle name="Note 2 3 3 4" xfId="9319" xr:uid="{06E4A3C6-5CAA-4424-B4C3-41162F21AE7D}"/>
    <cellStyle name="Note 2 3 3 4 2" xfId="36620" xr:uid="{01A65EA1-1378-45C8-B452-4476BB5C4AE7}"/>
    <cellStyle name="Note 2 3 3 4 3" xfId="18632" xr:uid="{1ADCDDCA-0A63-4A33-9934-9DBB0BF86C26}"/>
    <cellStyle name="Note 2 3 3 5" xfId="28172" xr:uid="{6CB00C64-9AE6-4E71-B913-D683705DCF99}"/>
    <cellStyle name="Note 2 3 3 6" xfId="19725" xr:uid="{F7BC2FEE-6B2B-45A1-923A-E27A133F8D12}"/>
    <cellStyle name="Note 2 3 3 7" xfId="10428" xr:uid="{21AB3A4A-44AF-4726-9B15-75E7C80BAC2A}"/>
    <cellStyle name="Note 2 3 4" xfId="1425" xr:uid="{00000000-0005-0000-0000-00000A210000}"/>
    <cellStyle name="Note 2 3 4 2" xfId="3655" xr:uid="{00000000-0005-0000-0000-00000B210000}"/>
    <cellStyle name="Note 2 3 4 2 2" xfId="7877" xr:uid="{00000000-0005-0000-0000-00000C210000}"/>
    <cellStyle name="Note 2 3 4 2 2 2" xfId="43395" xr:uid="{6225352B-0E84-457C-B0FC-1CA287951253}"/>
    <cellStyle name="Note 2 3 4 2 2 3" xfId="34948" xr:uid="{C27C09E9-5546-4956-A8FD-C2A0D374144D}"/>
    <cellStyle name="Note 2 3 4 2 2 4" xfId="26500" xr:uid="{68F26232-C8B4-4916-92FD-EB5928B4C157}"/>
    <cellStyle name="Note 2 3 4 2 2 5" xfId="17203" xr:uid="{0A8FCB4B-24F6-4D21-8F8B-35036033C409}"/>
    <cellStyle name="Note 2 3 4 2 3" xfId="39178" xr:uid="{B39BD52A-5ADF-48AD-91E4-A8FD88CFB507}"/>
    <cellStyle name="Note 2 3 4 2 4" xfId="30730" xr:uid="{20252F4A-F43A-48D4-86E7-967E1D5280C4}"/>
    <cellStyle name="Note 2 3 4 2 5" xfId="22283" xr:uid="{08E7A4F9-8361-4C58-842E-4B59B4E4C70C}"/>
    <cellStyle name="Note 2 3 4 2 6" xfId="12986" xr:uid="{365FEAEC-A2AF-495C-83F0-EC93CE48C99E}"/>
    <cellStyle name="Note 2 3 4 3" xfId="5732" xr:uid="{00000000-0005-0000-0000-00000D210000}"/>
    <cellStyle name="Note 2 3 4 3 2" xfId="41250" xr:uid="{71CCBE3B-9FDB-41C9-A29A-179EFC26798C}"/>
    <cellStyle name="Note 2 3 4 3 3" xfId="32803" xr:uid="{B81C295D-241F-4DB2-AB75-55C9ECAD21CE}"/>
    <cellStyle name="Note 2 3 4 3 4" xfId="24355" xr:uid="{4D140B38-ED49-48E9-83F6-5A60E8BE7A5B}"/>
    <cellStyle name="Note 2 3 4 3 5" xfId="15058" xr:uid="{53416D91-EC3C-4E08-B0F4-EF488423F6A2}"/>
    <cellStyle name="Note 2 3 4 4" xfId="37033" xr:uid="{62C8FD5A-8151-4627-9120-73CC43A7CA5A}"/>
    <cellStyle name="Note 2 3 4 5" xfId="28585" xr:uid="{8449A295-BDD5-49C8-BF4A-1BF50773EFE9}"/>
    <cellStyle name="Note 2 3 4 6" xfId="20138" xr:uid="{11350232-BA3E-4A17-9776-BE6F1915FE31}"/>
    <cellStyle name="Note 2 3 4 7" xfId="10841" xr:uid="{ECBFF07F-75FB-46C0-AD5F-CDF9A516A676}"/>
    <cellStyle name="Note 2 3 5" xfId="1839" xr:uid="{00000000-0005-0000-0000-00000E210000}"/>
    <cellStyle name="Note 2 3 5 2" xfId="4068" xr:uid="{00000000-0005-0000-0000-00000F210000}"/>
    <cellStyle name="Note 2 3 5 2 2" xfId="8290" xr:uid="{00000000-0005-0000-0000-000010210000}"/>
    <cellStyle name="Note 2 3 5 2 2 2" xfId="43808" xr:uid="{7D648539-FEB2-489C-BE42-DDE345069B8C}"/>
    <cellStyle name="Note 2 3 5 2 2 3" xfId="35361" xr:uid="{BFB1B687-B5F3-4828-BB04-A03769BC5E48}"/>
    <cellStyle name="Note 2 3 5 2 2 4" xfId="26913" xr:uid="{CEABB70A-4591-4ACC-B233-045E1B812362}"/>
    <cellStyle name="Note 2 3 5 2 2 5" xfId="17616" xr:uid="{6E23ABBA-E3AA-41CE-849B-B1EA177FDDCB}"/>
    <cellStyle name="Note 2 3 5 2 3" xfId="39591" xr:uid="{B58B683E-5BD7-4D3B-AD9D-CA0F419CF21A}"/>
    <cellStyle name="Note 2 3 5 2 4" xfId="31143" xr:uid="{20928B61-EB0D-43E5-B7E8-824DC37EC729}"/>
    <cellStyle name="Note 2 3 5 2 5" xfId="22696" xr:uid="{D60F0E22-BFAB-408D-9EE2-575FBD0DD22F}"/>
    <cellStyle name="Note 2 3 5 2 6" xfId="13399" xr:uid="{4FC17D73-3FA7-48A7-B12B-2FDC699AD7CF}"/>
    <cellStyle name="Note 2 3 5 3" xfId="6145" xr:uid="{00000000-0005-0000-0000-000011210000}"/>
    <cellStyle name="Note 2 3 5 3 2" xfId="41663" xr:uid="{BFD7B0B6-600C-46A9-878A-CA606266B963}"/>
    <cellStyle name="Note 2 3 5 3 3" xfId="33216" xr:uid="{E6A30E8E-030A-4225-B86D-8ACB70024172}"/>
    <cellStyle name="Note 2 3 5 3 4" xfId="24768" xr:uid="{4F4706EB-61FA-4BAA-909B-1AA08ED874BD}"/>
    <cellStyle name="Note 2 3 5 3 5" xfId="15471" xr:uid="{5DFF8C1E-24AD-4046-A04E-8C692EA8AFED}"/>
    <cellStyle name="Note 2 3 5 4" xfId="37446" xr:uid="{4D55A238-6B8D-4849-892A-9457B9A23090}"/>
    <cellStyle name="Note 2 3 5 5" xfId="28998" xr:uid="{F49EB8AF-850F-43F0-A26B-33A36A1D5F59}"/>
    <cellStyle name="Note 2 3 5 6" xfId="20551" xr:uid="{A3FA35C6-54CB-48A5-B13A-6D6AA9EC6416}"/>
    <cellStyle name="Note 2 3 5 7" xfId="11254" xr:uid="{54617E01-A71B-4F3A-A07C-734879858C5F}"/>
    <cellStyle name="Note 2 3 6" xfId="2252" xr:uid="{00000000-0005-0000-0000-000012210000}"/>
    <cellStyle name="Note 2 3 6 2" xfId="4481" xr:uid="{00000000-0005-0000-0000-000013210000}"/>
    <cellStyle name="Note 2 3 6 2 2" xfId="8703" xr:uid="{00000000-0005-0000-0000-000014210000}"/>
    <cellStyle name="Note 2 3 6 2 2 2" xfId="44221" xr:uid="{2740FA30-EE0F-48A7-B7DB-ACCCAD183DA0}"/>
    <cellStyle name="Note 2 3 6 2 2 3" xfId="35774" xr:uid="{736FE9B6-A093-4046-A0D0-608AAE4C93EB}"/>
    <cellStyle name="Note 2 3 6 2 2 4" xfId="27326" xr:uid="{70F5E991-2265-4CF6-AA82-F1CC3AEE0C2E}"/>
    <cellStyle name="Note 2 3 6 2 2 5" xfId="18029" xr:uid="{D8931A16-8643-440E-AB97-9D81465C3418}"/>
    <cellStyle name="Note 2 3 6 2 3" xfId="40004" xr:uid="{141529B1-FA46-49E4-9D84-31E46A607723}"/>
    <cellStyle name="Note 2 3 6 2 4" xfId="31556" xr:uid="{FE9A20E1-815F-4362-BE5D-7B6426D81F72}"/>
    <cellStyle name="Note 2 3 6 2 5" xfId="23109" xr:uid="{345CA20B-F1A0-4E7B-A8E0-A0630F896288}"/>
    <cellStyle name="Note 2 3 6 2 6" xfId="13812" xr:uid="{FBD5D714-0383-422A-8FFC-9AA668225ABD}"/>
    <cellStyle name="Note 2 3 6 3" xfId="6558" xr:uid="{00000000-0005-0000-0000-000015210000}"/>
    <cellStyle name="Note 2 3 6 3 2" xfId="42076" xr:uid="{35410483-BF1C-45EB-B414-3591663000D5}"/>
    <cellStyle name="Note 2 3 6 3 3" xfId="33629" xr:uid="{B38653F2-5B81-429C-8E78-E03034DD5A4D}"/>
    <cellStyle name="Note 2 3 6 3 4" xfId="25181" xr:uid="{E9808CAD-A8A4-46CF-92F9-461678345D39}"/>
    <cellStyle name="Note 2 3 6 3 5" xfId="15884" xr:uid="{1528146C-E862-43FA-A3E0-99B207E365E2}"/>
    <cellStyle name="Note 2 3 6 4" xfId="37859" xr:uid="{5DBA86A7-1B63-4255-A80A-27CBC78FAC25}"/>
    <cellStyle name="Note 2 3 6 5" xfId="29411" xr:uid="{688DB61B-C30F-44D7-88C9-F897091DCF8C}"/>
    <cellStyle name="Note 2 3 6 6" xfId="20964" xr:uid="{FD75CAFD-06BF-4030-98C6-9B426E980A46}"/>
    <cellStyle name="Note 2 3 6 7" xfId="11667" xr:uid="{8454D515-F913-4BC9-B303-37EFBD6D38C0}"/>
    <cellStyle name="Note 2 3 7" xfId="2688" xr:uid="{00000000-0005-0000-0000-000016210000}"/>
    <cellStyle name="Note 2 3 7 2" xfId="6971" xr:uid="{00000000-0005-0000-0000-000017210000}"/>
    <cellStyle name="Note 2 3 7 2 2" xfId="42489" xr:uid="{3D0CA8BA-0090-4B1E-B3C8-539EA189E46B}"/>
    <cellStyle name="Note 2 3 7 2 3" xfId="34042" xr:uid="{7587A875-7690-4BFC-999F-7130AD9F5B72}"/>
    <cellStyle name="Note 2 3 7 2 4" xfId="25594" xr:uid="{EE95AB5D-B55A-4398-8831-629CF7B3D5ED}"/>
    <cellStyle name="Note 2 3 7 2 5" xfId="16297" xr:uid="{8253B18D-3234-46C2-9F91-6D2F819A8FFB}"/>
    <cellStyle name="Note 2 3 7 3" xfId="38272" xr:uid="{373EB243-A396-45C6-ABB1-8B4F5CE7BD19}"/>
    <cellStyle name="Note 2 3 7 4" xfId="29824" xr:uid="{C59BBCA4-E8C7-4B81-AAB1-97B2CF35531C}"/>
    <cellStyle name="Note 2 3 7 5" xfId="21377" xr:uid="{9FB420B0-E480-44F5-AD88-61DA0896DDC5}"/>
    <cellStyle name="Note 2 3 7 6" xfId="12080" xr:uid="{85050127-ABA2-473E-8BD7-C8CD690E87FF}"/>
    <cellStyle name="Note 2 3 8" xfId="2747" xr:uid="{00000000-0005-0000-0000-000018210000}"/>
    <cellStyle name="Note 2 3 9" xfId="2828" xr:uid="{00000000-0005-0000-0000-000019210000}"/>
    <cellStyle name="Note 2 3 9 2" xfId="7051" xr:uid="{00000000-0005-0000-0000-00001A210000}"/>
    <cellStyle name="Note 2 3 9 2 2" xfId="42569" xr:uid="{278B83AD-E5D1-4F87-B765-29EAB7B4DEEC}"/>
    <cellStyle name="Note 2 3 9 2 3" xfId="34122" xr:uid="{9FA93179-1833-4B0C-9E5B-D944ADEF541C}"/>
    <cellStyle name="Note 2 3 9 2 4" xfId="25674" xr:uid="{6C127630-5E20-4995-9DD4-9714AA965294}"/>
    <cellStyle name="Note 2 3 9 2 5" xfId="16377" xr:uid="{3EED2E45-2299-483A-9566-194EDD93D231}"/>
    <cellStyle name="Note 2 3 9 3" xfId="38352" xr:uid="{9FBDE7E3-A821-4867-BD83-B0D762E0A767}"/>
    <cellStyle name="Note 2 3 9 4" xfId="29904" xr:uid="{AB102DD1-EFBE-423B-8AD6-137B544CDB51}"/>
    <cellStyle name="Note 2 3 9 5" xfId="21457" xr:uid="{B37F417C-4841-4863-9428-45BFFF8A704F}"/>
    <cellStyle name="Note 2 3 9 6" xfId="12160" xr:uid="{7AD6D34B-5CE4-448C-B6A9-6BE47868AEEA}"/>
    <cellStyle name="Note 2 4" xfId="551" xr:uid="{00000000-0005-0000-0000-00001B210000}"/>
    <cellStyle name="Note 2 4 10" xfId="8998" xr:uid="{AC87C288-14A9-4FB3-A26C-1706964E6651}"/>
    <cellStyle name="Note 2 4 10 2" xfId="36209" xr:uid="{0F5B58DE-E24D-46EA-AFB6-275932C1B661}"/>
    <cellStyle name="Note 2 4 10 3" xfId="18321" xr:uid="{E7089E52-F6FC-459A-97FD-72A931AC738A}"/>
    <cellStyle name="Note 2 4 11" xfId="27761" xr:uid="{A92D2DB0-CCDD-422F-AC91-ACDAAE5009DF}"/>
    <cellStyle name="Note 2 4 12" xfId="19314" xr:uid="{27510FC6-65FA-4693-883F-97424DFA318A}"/>
    <cellStyle name="Note 2 4 13" xfId="10017" xr:uid="{5FAF30C1-8651-4D77-8209-8C6B9E79B984}"/>
    <cellStyle name="Note 2 4 2" xfId="1012" xr:uid="{00000000-0005-0000-0000-00001C210000}"/>
    <cellStyle name="Note 2 4 2 2" xfId="3244" xr:uid="{00000000-0005-0000-0000-00001D210000}"/>
    <cellStyle name="Note 2 4 2 2 2" xfId="7466" xr:uid="{00000000-0005-0000-0000-00001E210000}"/>
    <cellStyle name="Note 2 4 2 2 2 2" xfId="42984" xr:uid="{E1ABD7B4-5A99-496A-BF5E-397645CD71E1}"/>
    <cellStyle name="Note 2 4 2 2 2 3" xfId="34537" xr:uid="{D9154C43-3B1A-428B-80FB-D52AA8A97E1A}"/>
    <cellStyle name="Note 2 4 2 2 2 4" xfId="26089" xr:uid="{0124103F-D774-4794-8E89-598FF47E1CE8}"/>
    <cellStyle name="Note 2 4 2 2 2 5" xfId="16792" xr:uid="{9BB92DC8-C78E-4B2B-8440-8FE715302898}"/>
    <cellStyle name="Note 2 4 2 2 3" xfId="38767" xr:uid="{A54FFB7E-FCC9-41C0-88F5-3CD5B88F85E1}"/>
    <cellStyle name="Note 2 4 2 2 4" xfId="30319" xr:uid="{FAA6EFF0-8E8E-4DC7-ACBB-476CA42B38FC}"/>
    <cellStyle name="Note 2 4 2 2 5" xfId="21872" xr:uid="{84B396F4-EA96-4C1D-9490-EB5C8C7A5519}"/>
    <cellStyle name="Note 2 4 2 2 6" xfId="12575" xr:uid="{5316D4AD-843B-449E-A977-B43BFEEC40CA}"/>
    <cellStyle name="Note 2 4 2 3" xfId="5321" xr:uid="{00000000-0005-0000-0000-00001F210000}"/>
    <cellStyle name="Note 2 4 2 3 2" xfId="40839" xr:uid="{A03F6AD4-3321-48C3-9FE9-B0EEB00AFFD8}"/>
    <cellStyle name="Note 2 4 2 3 3" xfId="32392" xr:uid="{82F32104-3985-4C20-B93E-AE5B4E81E20B}"/>
    <cellStyle name="Note 2 4 2 3 4" xfId="23944" xr:uid="{EAAC7A63-FBF6-4CA8-9292-DD9DD8DCE7C8}"/>
    <cellStyle name="Note 2 4 2 3 5" xfId="14647" xr:uid="{A6CCD7ED-AE5D-4317-969C-CDF8B7E4E4B6}"/>
    <cellStyle name="Note 2 4 2 4" xfId="9423" xr:uid="{43B93802-BE55-43D9-BEBC-4095E3C1FF74}"/>
    <cellStyle name="Note 2 4 2 4 2" xfId="36622" xr:uid="{D1865C75-678A-483E-8BBD-312AD272AC99}"/>
    <cellStyle name="Note 2 4 2 4 3" xfId="18736" xr:uid="{A7E2E53E-E18E-492E-AE88-2B0DBEBB66A9}"/>
    <cellStyle name="Note 2 4 2 5" xfId="28174" xr:uid="{AA0D847A-F882-46C8-ADA2-2046C5A9DDA1}"/>
    <cellStyle name="Note 2 4 2 6" xfId="19727" xr:uid="{089E8ED1-73E7-435C-A5A2-0A8C7EC0C926}"/>
    <cellStyle name="Note 2 4 2 7" xfId="10430" xr:uid="{1409ED4D-2061-484C-9E9C-97D8F1CFEDFE}"/>
    <cellStyle name="Note 2 4 3" xfId="1427" xr:uid="{00000000-0005-0000-0000-000020210000}"/>
    <cellStyle name="Note 2 4 3 2" xfId="3657" xr:uid="{00000000-0005-0000-0000-000021210000}"/>
    <cellStyle name="Note 2 4 3 2 2" xfId="7879" xr:uid="{00000000-0005-0000-0000-000022210000}"/>
    <cellStyle name="Note 2 4 3 2 2 2" xfId="43397" xr:uid="{DD3D1B24-D16F-42A9-BF54-62B60DE11ABD}"/>
    <cellStyle name="Note 2 4 3 2 2 3" xfId="34950" xr:uid="{38F98883-6239-4BF9-8F63-BFE2DEABA501}"/>
    <cellStyle name="Note 2 4 3 2 2 4" xfId="26502" xr:uid="{CC95E1DC-6EAC-4DD5-9F14-7FAD2DEC47AB}"/>
    <cellStyle name="Note 2 4 3 2 2 5" xfId="17205" xr:uid="{E1D80EAD-7CA6-4BDA-BB8E-7A6A50F50736}"/>
    <cellStyle name="Note 2 4 3 2 3" xfId="39180" xr:uid="{C6B297FB-EE94-47A4-949B-368D31D492E7}"/>
    <cellStyle name="Note 2 4 3 2 4" xfId="30732" xr:uid="{8742D57B-6A4E-4B7B-AFC7-50ECAFFB85F8}"/>
    <cellStyle name="Note 2 4 3 2 5" xfId="22285" xr:uid="{24CC04FA-5145-4D8E-83F6-8268A8631D51}"/>
    <cellStyle name="Note 2 4 3 2 6" xfId="12988" xr:uid="{2998B849-0F7B-4857-8748-5479A7DDE55F}"/>
    <cellStyle name="Note 2 4 3 3" xfId="5734" xr:uid="{00000000-0005-0000-0000-000023210000}"/>
    <cellStyle name="Note 2 4 3 3 2" xfId="41252" xr:uid="{57258BF5-2D14-457B-B86F-89FF724559EE}"/>
    <cellStyle name="Note 2 4 3 3 3" xfId="32805" xr:uid="{C9032EE9-378F-4425-B69E-55D0022A14EF}"/>
    <cellStyle name="Note 2 4 3 3 4" xfId="24357" xr:uid="{AF0F8FD4-6657-46DC-8CDB-F78C37A0EB45}"/>
    <cellStyle name="Note 2 4 3 3 5" xfId="15060" xr:uid="{88173972-DBC0-462E-B252-A5D2B06E67FB}"/>
    <cellStyle name="Note 2 4 3 4" xfId="37035" xr:uid="{1DE74694-52B8-480E-B616-9BDD63BA66CB}"/>
    <cellStyle name="Note 2 4 3 5" xfId="28587" xr:uid="{74721A01-C97C-48EC-A0D7-A858F7845467}"/>
    <cellStyle name="Note 2 4 3 6" xfId="20140" xr:uid="{62CDB82C-F309-4128-B88B-B1DF06B81A2C}"/>
    <cellStyle name="Note 2 4 3 7" xfId="10843" xr:uid="{668B9A4E-103A-4C26-B6F2-0550976607A7}"/>
    <cellStyle name="Note 2 4 4" xfId="1841" xr:uid="{00000000-0005-0000-0000-000024210000}"/>
    <cellStyle name="Note 2 4 4 2" xfId="4070" xr:uid="{00000000-0005-0000-0000-000025210000}"/>
    <cellStyle name="Note 2 4 4 2 2" xfId="8292" xr:uid="{00000000-0005-0000-0000-000026210000}"/>
    <cellStyle name="Note 2 4 4 2 2 2" xfId="43810" xr:uid="{89C7389E-D220-495C-AD13-8CF6F3A7D6E1}"/>
    <cellStyle name="Note 2 4 4 2 2 3" xfId="35363" xr:uid="{8C160FD2-BD10-49BD-B86A-2C4C43A0C927}"/>
    <cellStyle name="Note 2 4 4 2 2 4" xfId="26915" xr:uid="{D08173A8-9B78-47EF-AF1E-4E9E12C2E795}"/>
    <cellStyle name="Note 2 4 4 2 2 5" xfId="17618" xr:uid="{4D189916-76FD-43B2-90CA-F6F4F7FD8EE3}"/>
    <cellStyle name="Note 2 4 4 2 3" xfId="39593" xr:uid="{EDA61735-240C-4C54-AE93-B8A1D2E9BCAD}"/>
    <cellStyle name="Note 2 4 4 2 4" xfId="31145" xr:uid="{4F2086DE-9D6F-4374-A672-2C293E1116EA}"/>
    <cellStyle name="Note 2 4 4 2 5" xfId="22698" xr:uid="{1DF83E9E-3BA8-42C0-B04D-543E4BBCFF15}"/>
    <cellStyle name="Note 2 4 4 2 6" xfId="13401" xr:uid="{786BE267-1203-4E94-9EE8-68C8131D1091}"/>
    <cellStyle name="Note 2 4 4 3" xfId="6147" xr:uid="{00000000-0005-0000-0000-000027210000}"/>
    <cellStyle name="Note 2 4 4 3 2" xfId="41665" xr:uid="{6084640E-4285-4554-AB41-CDDAB381573D}"/>
    <cellStyle name="Note 2 4 4 3 3" xfId="33218" xr:uid="{AF277F6F-A514-49F1-86A5-FC85151EB46C}"/>
    <cellStyle name="Note 2 4 4 3 4" xfId="24770" xr:uid="{58809342-E25B-4242-8B5A-73A375C4D626}"/>
    <cellStyle name="Note 2 4 4 3 5" xfId="15473" xr:uid="{74B09AD4-15EC-4963-BCB4-4099C28CB48B}"/>
    <cellStyle name="Note 2 4 4 4" xfId="37448" xr:uid="{EB86530C-96AD-4223-8AF7-09F747453016}"/>
    <cellStyle name="Note 2 4 4 5" xfId="29000" xr:uid="{70F57341-7D37-47E7-9FFE-7960B94E2377}"/>
    <cellStyle name="Note 2 4 4 6" xfId="20553" xr:uid="{9193650E-94C7-40D9-A930-BCAC582F4A5F}"/>
    <cellStyle name="Note 2 4 4 7" xfId="11256" xr:uid="{AAFF237D-2BF5-44B3-AACC-85D15001EC42}"/>
    <cellStyle name="Note 2 4 5" xfId="2254" xr:uid="{00000000-0005-0000-0000-000028210000}"/>
    <cellStyle name="Note 2 4 5 2" xfId="4483" xr:uid="{00000000-0005-0000-0000-000029210000}"/>
    <cellStyle name="Note 2 4 5 2 2" xfId="8705" xr:uid="{00000000-0005-0000-0000-00002A210000}"/>
    <cellStyle name="Note 2 4 5 2 2 2" xfId="44223" xr:uid="{958D17A0-0714-4C81-9E35-57CCAB68CEEF}"/>
    <cellStyle name="Note 2 4 5 2 2 3" xfId="35776" xr:uid="{C151A331-E650-4D75-90DB-A27F1BAC4C5F}"/>
    <cellStyle name="Note 2 4 5 2 2 4" xfId="27328" xr:uid="{74CC16D7-F05A-46F8-8349-C742C56C9F9F}"/>
    <cellStyle name="Note 2 4 5 2 2 5" xfId="18031" xr:uid="{209CA632-569E-4A4F-96B6-A7B0457921B0}"/>
    <cellStyle name="Note 2 4 5 2 3" xfId="40006" xr:uid="{6699385E-8D74-48EA-ACF2-FDEB40937D93}"/>
    <cellStyle name="Note 2 4 5 2 4" xfId="31558" xr:uid="{FC95FFA9-E532-402B-9505-8AC15F2B6FA4}"/>
    <cellStyle name="Note 2 4 5 2 5" xfId="23111" xr:uid="{8A021514-39FE-4418-8AA3-5B7250666616}"/>
    <cellStyle name="Note 2 4 5 2 6" xfId="13814" xr:uid="{7C044838-D65D-4C95-8569-C0F4CA2E9CBC}"/>
    <cellStyle name="Note 2 4 5 3" xfId="6560" xr:uid="{00000000-0005-0000-0000-00002B210000}"/>
    <cellStyle name="Note 2 4 5 3 2" xfId="42078" xr:uid="{5D999EA7-1C1A-4851-BBF3-17C4B6E3924B}"/>
    <cellStyle name="Note 2 4 5 3 3" xfId="33631" xr:uid="{2E4EA43C-DBD1-4BB8-A1D6-921CE2EF2A77}"/>
    <cellStyle name="Note 2 4 5 3 4" xfId="25183" xr:uid="{619BA4B3-C205-4772-B4F6-D9A561081977}"/>
    <cellStyle name="Note 2 4 5 3 5" xfId="15886" xr:uid="{997B102A-C438-45E0-AFE9-F5E34FCED6D6}"/>
    <cellStyle name="Note 2 4 5 4" xfId="37861" xr:uid="{986C63C5-1B3B-40B5-A69E-5827D5B175FB}"/>
    <cellStyle name="Note 2 4 5 5" xfId="29413" xr:uid="{838ED067-4EB6-40F8-B28E-E48611075D98}"/>
    <cellStyle name="Note 2 4 5 6" xfId="20966" xr:uid="{3B293576-7F5A-48CC-9382-ED59CBDC86FF}"/>
    <cellStyle name="Note 2 4 5 7" xfId="11669" xr:uid="{E92B3153-38A7-4D76-BBCA-48F30EF4203B}"/>
    <cellStyle name="Note 2 4 6" xfId="2690" xr:uid="{00000000-0005-0000-0000-00002C210000}"/>
    <cellStyle name="Note 2 4 6 2" xfId="6973" xr:uid="{00000000-0005-0000-0000-00002D210000}"/>
    <cellStyle name="Note 2 4 6 2 2" xfId="42491" xr:uid="{BD835DBF-3A8B-41B5-977C-49816D0359B4}"/>
    <cellStyle name="Note 2 4 6 2 3" xfId="34044" xr:uid="{513DCB87-262B-4BDF-8C7D-8D3361593A9F}"/>
    <cellStyle name="Note 2 4 6 2 4" xfId="25596" xr:uid="{02371C4E-ED4B-45E4-9BCC-8B20770C12DD}"/>
    <cellStyle name="Note 2 4 6 2 5" xfId="16299" xr:uid="{14C50D09-0DF2-4F03-B3FF-F5E665462668}"/>
    <cellStyle name="Note 2 4 6 3" xfId="38274" xr:uid="{A47C5123-4ACA-4627-A6F9-9D627FD90E17}"/>
    <cellStyle name="Note 2 4 6 4" xfId="29826" xr:uid="{93936FF6-3B81-4F34-BD8E-EBFF1471699E}"/>
    <cellStyle name="Note 2 4 6 5" xfId="21379" xr:uid="{41C98445-65B5-4B39-8639-1C0B4407C26A}"/>
    <cellStyle name="Note 2 4 6 6" xfId="12082" xr:uid="{7FF774FB-D410-4AF3-9B2D-D55F93E1ED97}"/>
    <cellStyle name="Note 2 4 7" xfId="2749" xr:uid="{00000000-0005-0000-0000-00002E210000}"/>
    <cellStyle name="Note 2 4 8" xfId="2830" xr:uid="{00000000-0005-0000-0000-00002F210000}"/>
    <cellStyle name="Note 2 4 8 2" xfId="7053" xr:uid="{00000000-0005-0000-0000-000030210000}"/>
    <cellStyle name="Note 2 4 8 2 2" xfId="42571" xr:uid="{4D139126-5629-4FB4-9376-EDAEBE0010B4}"/>
    <cellStyle name="Note 2 4 8 2 3" xfId="34124" xr:uid="{EC05D565-613A-4BD2-A29D-3A9A0627FBA4}"/>
    <cellStyle name="Note 2 4 8 2 4" xfId="25676" xr:uid="{97E167BE-305F-4E70-A20E-590ACAA4BDE1}"/>
    <cellStyle name="Note 2 4 8 2 5" xfId="16379" xr:uid="{DF955507-4D85-4758-9DB0-AF025B23660B}"/>
    <cellStyle name="Note 2 4 8 3" xfId="38354" xr:uid="{3B30FEF9-DE7D-45CF-99A3-86F2772B9FD8}"/>
    <cellStyle name="Note 2 4 8 4" xfId="29906" xr:uid="{6F3BF149-EEF3-4D19-8380-989B52596065}"/>
    <cellStyle name="Note 2 4 8 5" xfId="21459" xr:uid="{9B251326-6316-4019-BE24-145627F8FE79}"/>
    <cellStyle name="Note 2 4 8 6" xfId="12162" xr:uid="{2DD1468B-7265-408B-BC61-BB9C3D44698F}"/>
    <cellStyle name="Note 2 4 9" xfId="4908" xr:uid="{00000000-0005-0000-0000-000031210000}"/>
    <cellStyle name="Note 2 4 9 2" xfId="40426" xr:uid="{84391EFA-8DB9-4DFE-B72B-E0E2F735613B}"/>
    <cellStyle name="Note 2 4 9 3" xfId="31979" xr:uid="{6ED4EA63-0BF7-4073-8DFC-4B655D037A5E}"/>
    <cellStyle name="Note 2 4 9 4" xfId="23531" xr:uid="{AA8B629D-440A-4EEA-BEE7-B67780C6DD1F}"/>
    <cellStyle name="Note 2 4 9 5" xfId="14234" xr:uid="{B2CE919F-8745-484C-88C8-C0511CD831C6}"/>
    <cellStyle name="Note 2 5" xfId="552" xr:uid="{00000000-0005-0000-0000-000032210000}"/>
    <cellStyle name="Note 2 5 10" xfId="9215" xr:uid="{69947D86-0683-476F-9E74-96CA08091560}"/>
    <cellStyle name="Note 2 5 10 2" xfId="36210" xr:uid="{D58A7FEC-AE04-4128-9A2D-BB9F1E911357}"/>
    <cellStyle name="Note 2 5 10 3" xfId="18529" xr:uid="{A52C6AB5-8CED-4A22-A2DB-E44C186652B8}"/>
    <cellStyle name="Note 2 5 11" xfId="27762" xr:uid="{4EE2A22C-C15A-47D7-9267-505052A0439D}"/>
    <cellStyle name="Note 2 5 12" xfId="19315" xr:uid="{1FE22B95-5F11-40E7-8A2C-E0226B775FD8}"/>
    <cellStyle name="Note 2 5 13" xfId="10018" xr:uid="{A90B9939-9D08-4382-81AB-1B3F131A3E29}"/>
    <cellStyle name="Note 2 5 2" xfId="1013" xr:uid="{00000000-0005-0000-0000-000033210000}"/>
    <cellStyle name="Note 2 5 2 2" xfId="3245" xr:uid="{00000000-0005-0000-0000-000034210000}"/>
    <cellStyle name="Note 2 5 2 2 2" xfId="7467" xr:uid="{00000000-0005-0000-0000-000035210000}"/>
    <cellStyle name="Note 2 5 2 2 2 2" xfId="42985" xr:uid="{F53EDDBE-83B8-499D-8536-D32C1C27A50D}"/>
    <cellStyle name="Note 2 5 2 2 2 3" xfId="34538" xr:uid="{D0899ADB-C6A4-45F2-95F7-10786DBFE874}"/>
    <cellStyle name="Note 2 5 2 2 2 4" xfId="26090" xr:uid="{DE836E13-C49A-4585-81E5-DFC33562D590}"/>
    <cellStyle name="Note 2 5 2 2 2 5" xfId="16793" xr:uid="{C86E103D-75ED-40D0-AB74-6A9001F89FDB}"/>
    <cellStyle name="Note 2 5 2 2 3" xfId="38768" xr:uid="{E5FFD1A9-E11B-4845-B937-3F471D1D6DDE}"/>
    <cellStyle name="Note 2 5 2 2 4" xfId="30320" xr:uid="{46492978-09F1-4BBB-961B-E6D2FF95146A}"/>
    <cellStyle name="Note 2 5 2 2 5" xfId="21873" xr:uid="{AB1A8A8D-4F2A-4867-877B-5D8C0DCD84C7}"/>
    <cellStyle name="Note 2 5 2 2 6" xfId="12576" xr:uid="{16F79DB2-1FB3-40FC-B97D-42D73D959E27}"/>
    <cellStyle name="Note 2 5 2 3" xfId="5322" xr:uid="{00000000-0005-0000-0000-000036210000}"/>
    <cellStyle name="Note 2 5 2 3 2" xfId="40840" xr:uid="{B8EC9431-1605-402E-9814-E752EB5CC17C}"/>
    <cellStyle name="Note 2 5 2 3 3" xfId="32393" xr:uid="{C2007936-B826-4BED-99AE-A8075C0EE3E2}"/>
    <cellStyle name="Note 2 5 2 3 4" xfId="23945" xr:uid="{963C43D3-353A-461C-88E9-55C3867A78DE}"/>
    <cellStyle name="Note 2 5 2 3 5" xfId="14648" xr:uid="{7BFAFE25-E20E-4888-BF08-1A566855A046}"/>
    <cellStyle name="Note 2 5 2 4" xfId="9610" xr:uid="{26530D10-1DF8-4FA4-8FC9-4C945AA92A94}"/>
    <cellStyle name="Note 2 5 2 4 2" xfId="36623" xr:uid="{C1A0C2A6-2072-465E-A8BD-DE758F5A83AB}"/>
    <cellStyle name="Note 2 5 2 4 3" xfId="18908" xr:uid="{F16C28A0-3995-415F-98B3-8F3C45900C33}"/>
    <cellStyle name="Note 2 5 2 5" xfId="28175" xr:uid="{5DE933F6-2948-416B-87A1-E5C60015BC2A}"/>
    <cellStyle name="Note 2 5 2 6" xfId="19728" xr:uid="{FCDCF16A-BA08-436F-8CCB-495E3081C64B}"/>
    <cellStyle name="Note 2 5 2 7" xfId="10431" xr:uid="{9F7CB829-276C-43D3-8C85-C02C873A9319}"/>
    <cellStyle name="Note 2 5 3" xfId="1428" xr:uid="{00000000-0005-0000-0000-000037210000}"/>
    <cellStyle name="Note 2 5 3 2" xfId="3658" xr:uid="{00000000-0005-0000-0000-000038210000}"/>
    <cellStyle name="Note 2 5 3 2 2" xfId="7880" xr:uid="{00000000-0005-0000-0000-000039210000}"/>
    <cellStyle name="Note 2 5 3 2 2 2" xfId="43398" xr:uid="{8C4F23B1-AC0F-41E1-A1BF-2162BB15EC7A}"/>
    <cellStyle name="Note 2 5 3 2 2 3" xfId="34951" xr:uid="{39589DEF-87B6-4F5A-A9C7-AD1B291AFE6C}"/>
    <cellStyle name="Note 2 5 3 2 2 4" xfId="26503" xr:uid="{03D26E5E-C055-402F-901E-3FFCA2D58E78}"/>
    <cellStyle name="Note 2 5 3 2 2 5" xfId="17206" xr:uid="{38C944A9-2A29-40A3-A707-A545D99CF3F9}"/>
    <cellStyle name="Note 2 5 3 2 3" xfId="39181" xr:uid="{7E0003DF-CCD0-4E48-AD0B-AD78F905EB61}"/>
    <cellStyle name="Note 2 5 3 2 4" xfId="30733" xr:uid="{D6ED9846-29E2-4528-928F-916AF2D6AB2C}"/>
    <cellStyle name="Note 2 5 3 2 5" xfId="22286" xr:uid="{DDFBC2DD-67EC-4743-8040-EA14005E127B}"/>
    <cellStyle name="Note 2 5 3 2 6" xfId="12989" xr:uid="{38F3C28E-7F95-4B0C-B954-61FD35123835}"/>
    <cellStyle name="Note 2 5 3 3" xfId="5735" xr:uid="{00000000-0005-0000-0000-00003A210000}"/>
    <cellStyle name="Note 2 5 3 3 2" xfId="41253" xr:uid="{3B01A680-5861-4F11-BEEC-857C23036CD9}"/>
    <cellStyle name="Note 2 5 3 3 3" xfId="32806" xr:uid="{074A3D28-4039-4101-ADF1-A43AA7FAA845}"/>
    <cellStyle name="Note 2 5 3 3 4" xfId="24358" xr:uid="{76C07551-1CC2-4328-AAB8-4D30CBFFE275}"/>
    <cellStyle name="Note 2 5 3 3 5" xfId="15061" xr:uid="{CCDDE476-D537-4562-97F0-2D30C1A0086A}"/>
    <cellStyle name="Note 2 5 3 4" xfId="37036" xr:uid="{160B70F9-5296-4D84-8967-CE6A9C04D09A}"/>
    <cellStyle name="Note 2 5 3 5" xfId="28588" xr:uid="{E86CE75D-6148-4FB4-89C0-45EEE60151BD}"/>
    <cellStyle name="Note 2 5 3 6" xfId="20141" xr:uid="{00EF9837-3755-4924-B549-17DBCB310FC7}"/>
    <cellStyle name="Note 2 5 3 7" xfId="10844" xr:uid="{06F987AF-6E53-4D00-8957-28C9BE61790C}"/>
    <cellStyle name="Note 2 5 4" xfId="1842" xr:uid="{00000000-0005-0000-0000-00003B210000}"/>
    <cellStyle name="Note 2 5 4 2" xfId="4071" xr:uid="{00000000-0005-0000-0000-00003C210000}"/>
    <cellStyle name="Note 2 5 4 2 2" xfId="8293" xr:uid="{00000000-0005-0000-0000-00003D210000}"/>
    <cellStyle name="Note 2 5 4 2 2 2" xfId="43811" xr:uid="{00BA5BCB-CC0C-4F98-B835-EC06AD075B55}"/>
    <cellStyle name="Note 2 5 4 2 2 3" xfId="35364" xr:uid="{40F8AB54-C818-48DF-8479-6428DA2CEE54}"/>
    <cellStyle name="Note 2 5 4 2 2 4" xfId="26916" xr:uid="{3929F735-032F-4F7A-8A49-1953E3EA6F8B}"/>
    <cellStyle name="Note 2 5 4 2 2 5" xfId="17619" xr:uid="{1C4E45E1-81E7-49A4-841A-33F4A485C2CC}"/>
    <cellStyle name="Note 2 5 4 2 3" xfId="39594" xr:uid="{BE45A160-4EC0-4D08-85F5-6E07208FD12B}"/>
    <cellStyle name="Note 2 5 4 2 4" xfId="31146" xr:uid="{D3DA54E3-6790-44C6-BA9A-5345BF43DB45}"/>
    <cellStyle name="Note 2 5 4 2 5" xfId="22699" xr:uid="{55B52BB5-2ACD-460E-AFEE-76CAA8D9E62C}"/>
    <cellStyle name="Note 2 5 4 2 6" xfId="13402" xr:uid="{C8B10A24-00E7-4999-B25D-43E09881F45A}"/>
    <cellStyle name="Note 2 5 4 3" xfId="6148" xr:uid="{00000000-0005-0000-0000-00003E210000}"/>
    <cellStyle name="Note 2 5 4 3 2" xfId="41666" xr:uid="{F27B8EE6-41E9-4C13-9381-86416AD7C73E}"/>
    <cellStyle name="Note 2 5 4 3 3" xfId="33219" xr:uid="{73A02F2E-0C55-4255-8945-ED64370B18D9}"/>
    <cellStyle name="Note 2 5 4 3 4" xfId="24771" xr:uid="{B13E8EC2-95BA-462E-B625-338D911D7961}"/>
    <cellStyle name="Note 2 5 4 3 5" xfId="15474" xr:uid="{D35A7382-71F9-4204-A8D3-56F61733EB09}"/>
    <cellStyle name="Note 2 5 4 4" xfId="37449" xr:uid="{C987096E-6F9A-4B59-98A2-40B60F61E5F0}"/>
    <cellStyle name="Note 2 5 4 5" xfId="29001" xr:uid="{FD3839F4-3495-4F29-85BD-0822CC90F5BF}"/>
    <cellStyle name="Note 2 5 4 6" xfId="20554" xr:uid="{DDD0CEC3-9874-4841-86D3-47038FC43150}"/>
    <cellStyle name="Note 2 5 4 7" xfId="11257" xr:uid="{E057D86F-C221-4E13-B767-AF42B21A4B70}"/>
    <cellStyle name="Note 2 5 5" xfId="2255" xr:uid="{00000000-0005-0000-0000-00003F210000}"/>
    <cellStyle name="Note 2 5 5 2" xfId="4484" xr:uid="{00000000-0005-0000-0000-000040210000}"/>
    <cellStyle name="Note 2 5 5 2 2" xfId="8706" xr:uid="{00000000-0005-0000-0000-000041210000}"/>
    <cellStyle name="Note 2 5 5 2 2 2" xfId="44224" xr:uid="{2CCEFA31-EFB1-43E6-BE8F-C37AA80DD95B}"/>
    <cellStyle name="Note 2 5 5 2 2 3" xfId="35777" xr:uid="{10F85E80-E5DA-4C55-9A36-01A50136A9A1}"/>
    <cellStyle name="Note 2 5 5 2 2 4" xfId="27329" xr:uid="{62FD78A1-7513-4977-AE34-D160FD565FD4}"/>
    <cellStyle name="Note 2 5 5 2 2 5" xfId="18032" xr:uid="{203885E5-888F-4B7F-9916-ADB164AF5D94}"/>
    <cellStyle name="Note 2 5 5 2 3" xfId="40007" xr:uid="{A084EF7C-A2FD-49A0-B063-5F7811102CFE}"/>
    <cellStyle name="Note 2 5 5 2 4" xfId="31559" xr:uid="{29FB3E42-25DC-4E05-9298-1329B17A77A8}"/>
    <cellStyle name="Note 2 5 5 2 5" xfId="23112" xr:uid="{64FB1F7E-6005-42B2-B527-DFA9ED6D1A1A}"/>
    <cellStyle name="Note 2 5 5 2 6" xfId="13815" xr:uid="{2B864585-1657-4049-9270-C3ED7C1C8601}"/>
    <cellStyle name="Note 2 5 5 3" xfId="6561" xr:uid="{00000000-0005-0000-0000-000042210000}"/>
    <cellStyle name="Note 2 5 5 3 2" xfId="42079" xr:uid="{F27B1E8C-2B38-40BF-98E2-8683F6E5EF10}"/>
    <cellStyle name="Note 2 5 5 3 3" xfId="33632" xr:uid="{DB90F74A-6D34-437F-AC26-09F3E01923FF}"/>
    <cellStyle name="Note 2 5 5 3 4" xfId="25184" xr:uid="{417FDA8C-C6E8-434A-BACB-7AC4ADC1EECE}"/>
    <cellStyle name="Note 2 5 5 3 5" xfId="15887" xr:uid="{AA6A095A-8DAF-4EF4-A247-E557A89A99BB}"/>
    <cellStyle name="Note 2 5 5 4" xfId="37862" xr:uid="{CF6BAD02-9C88-4F36-907B-0BCE2449F013}"/>
    <cellStyle name="Note 2 5 5 5" xfId="29414" xr:uid="{6F748EE5-1B08-42E9-81FA-DD2720CE04C4}"/>
    <cellStyle name="Note 2 5 5 6" xfId="20967" xr:uid="{6BF75A3F-B1EC-435D-A54B-861B7A25993A}"/>
    <cellStyle name="Note 2 5 5 7" xfId="11670" xr:uid="{348BB12A-0B00-47FE-AE04-C33CD3067CFA}"/>
    <cellStyle name="Note 2 5 6" xfId="2691" xr:uid="{00000000-0005-0000-0000-000043210000}"/>
    <cellStyle name="Note 2 5 6 2" xfId="6974" xr:uid="{00000000-0005-0000-0000-000044210000}"/>
    <cellStyle name="Note 2 5 6 2 2" xfId="42492" xr:uid="{90CF3BC3-EF45-4415-A3D4-0BF5A67541EB}"/>
    <cellStyle name="Note 2 5 6 2 3" xfId="34045" xr:uid="{8441C35E-D0FD-469C-B24D-46F3BB7722CE}"/>
    <cellStyle name="Note 2 5 6 2 4" xfId="25597" xr:uid="{C57C042D-709C-4958-AF0F-A5BDC196A4C7}"/>
    <cellStyle name="Note 2 5 6 2 5" xfId="16300" xr:uid="{4AA46C41-9783-4C5D-8184-48AB2C6B4394}"/>
    <cellStyle name="Note 2 5 6 3" xfId="38275" xr:uid="{2EDFED98-5F1C-45AC-AAD4-6594879EC26D}"/>
    <cellStyle name="Note 2 5 6 4" xfId="29827" xr:uid="{848A1363-1D5D-45DF-BAA6-08D605149425}"/>
    <cellStyle name="Note 2 5 6 5" xfId="21380" xr:uid="{16D15A1C-8C9A-4A6C-B65B-20CD84EF68DB}"/>
    <cellStyle name="Note 2 5 6 6" xfId="12083" xr:uid="{ABFB9F22-E279-4430-9185-C35F1047E8EF}"/>
    <cellStyle name="Note 2 5 7" xfId="2750" xr:uid="{00000000-0005-0000-0000-000045210000}"/>
    <cellStyle name="Note 2 5 8" xfId="2831" xr:uid="{00000000-0005-0000-0000-000046210000}"/>
    <cellStyle name="Note 2 5 8 2" xfId="7054" xr:uid="{00000000-0005-0000-0000-000047210000}"/>
    <cellStyle name="Note 2 5 8 2 2" xfId="42572" xr:uid="{CB9BF5FD-8BA5-4D09-9618-424F0BA7D9DE}"/>
    <cellStyle name="Note 2 5 8 2 3" xfId="34125" xr:uid="{2A1CCC3C-E348-49C2-95E2-ABE706BA5531}"/>
    <cellStyle name="Note 2 5 8 2 4" xfId="25677" xr:uid="{A157C06D-03D0-40CC-8218-BE288425E740}"/>
    <cellStyle name="Note 2 5 8 2 5" xfId="16380" xr:uid="{F68E0042-0B63-4E4E-A996-7BC4574341CB}"/>
    <cellStyle name="Note 2 5 8 3" xfId="38355" xr:uid="{6C676633-DFCA-4C53-861E-123B266E9BCA}"/>
    <cellStyle name="Note 2 5 8 4" xfId="29907" xr:uid="{B9113556-DEB0-4AA7-B6F4-1F7EA2A728E1}"/>
    <cellStyle name="Note 2 5 8 5" xfId="21460" xr:uid="{1B6B2AE7-4759-4056-9628-19F59A183DA1}"/>
    <cellStyle name="Note 2 5 8 6" xfId="12163" xr:uid="{57871F82-76BC-4C33-ACDE-1AE17C5B60A2}"/>
    <cellStyle name="Note 2 5 9" xfId="4909" xr:uid="{00000000-0005-0000-0000-000048210000}"/>
    <cellStyle name="Note 2 5 9 2" xfId="40427" xr:uid="{95358868-6D52-4EFC-AC2D-734B8EA59958}"/>
    <cellStyle name="Note 2 5 9 3" xfId="31980" xr:uid="{4D6ABFAE-2CDE-42BE-BD95-5C7AB7324BB1}"/>
    <cellStyle name="Note 2 5 9 4" xfId="23532" xr:uid="{EB739087-C5CB-48D2-A8DF-461F072B684A}"/>
    <cellStyle name="Note 2 5 9 5" xfId="14235" xr:uid="{FA719AF4-7254-4346-BED8-4AC3FECD376D}"/>
    <cellStyle name="Note 2 6" xfId="9587" xr:uid="{DE0DCBC9-1C06-4AD6-BDCF-10B3C6A625B6}"/>
    <cellStyle name="Note 2 7" xfId="8791" xr:uid="{7AC3614D-154D-4BB0-B207-B3151ECF2433}"/>
    <cellStyle name="Note 2 7 2" xfId="18114" xr:uid="{B059DFB4-1C18-41D2-9E84-0A972E3E83A1}"/>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42573" xr:uid="{B4AAA483-1E2A-49E3-B03C-27EAEB322B60}"/>
    <cellStyle name="Note 3 2 10 2 3" xfId="34126" xr:uid="{E912DA57-1379-4391-B069-CB1E52EFB2F4}"/>
    <cellStyle name="Note 3 2 10 2 4" xfId="25678" xr:uid="{A43EDEA2-6430-466E-AC5F-F778A940CD38}"/>
    <cellStyle name="Note 3 2 10 2 5" xfId="16381" xr:uid="{F5C3438E-200D-4D58-BC9A-D6F574EE9493}"/>
    <cellStyle name="Note 3 2 10 3" xfId="38356" xr:uid="{3E18B6FC-37F0-4233-BE28-AB3EDA58C988}"/>
    <cellStyle name="Note 3 2 10 4" xfId="29908" xr:uid="{10712CE1-5BB9-4EC8-BBD7-54A9ED0B9860}"/>
    <cellStyle name="Note 3 2 10 5" xfId="21461" xr:uid="{522DD2EE-EF5B-495D-B400-12D74F904C36}"/>
    <cellStyle name="Note 3 2 10 6" xfId="12164" xr:uid="{1A35150C-0AD7-4440-8F3F-C3BA531D7AEA}"/>
    <cellStyle name="Note 3 2 11" xfId="4910" xr:uid="{00000000-0005-0000-0000-00004D210000}"/>
    <cellStyle name="Note 3 2 11 2" xfId="40428" xr:uid="{D107BEDA-393C-4FC5-A56A-15BAFE69F8D4}"/>
    <cellStyle name="Note 3 2 11 3" xfId="31981" xr:uid="{8E91152A-6C92-48F3-AD33-FF0AE3CBC4AC}"/>
    <cellStyle name="Note 3 2 11 4" xfId="23533" xr:uid="{1A60A8B0-F102-4B17-9605-92BD26297187}"/>
    <cellStyle name="Note 3 2 11 5" xfId="14236" xr:uid="{066AC645-BABF-4C46-B434-2E50988808C4}"/>
    <cellStyle name="Note 3 2 12" xfId="8842" xr:uid="{646587AC-B7A9-43E2-AC1E-1B77745805D8}"/>
    <cellStyle name="Note 3 2 12 2" xfId="36211" xr:uid="{2F90B00E-D3C1-481F-9C83-A52F86788559}"/>
    <cellStyle name="Note 3 2 12 3" xfId="18165" xr:uid="{390F8D65-B5E8-4E64-A458-80D8B9F3D467}"/>
    <cellStyle name="Note 3 2 13" xfId="27763" xr:uid="{87E18108-7A3A-455C-A1A5-CD8A67EA67B3}"/>
    <cellStyle name="Note 3 2 14" xfId="19316" xr:uid="{B7122676-AAC1-45F6-BB54-3298D7F914C1}"/>
    <cellStyle name="Note 3 2 15" xfId="10019" xr:uid="{9AF51427-BB35-4ADE-88F7-13AFE815615D}"/>
    <cellStyle name="Note 3 2 2" xfId="555" xr:uid="{00000000-0005-0000-0000-00004E210000}"/>
    <cellStyle name="Note 3 2 2 10" xfId="4911" xr:uid="{00000000-0005-0000-0000-00004F210000}"/>
    <cellStyle name="Note 3 2 2 10 2" xfId="40429" xr:uid="{6890DBFB-C9C6-48AC-B8BF-26C19FF6842B}"/>
    <cellStyle name="Note 3 2 2 10 3" xfId="31982" xr:uid="{04C5404A-6A7D-4FC1-A0AB-EAF2F0C154BB}"/>
    <cellStyle name="Note 3 2 2 10 4" xfId="23534" xr:uid="{199A0917-8025-447E-A076-5A85D95F64A2}"/>
    <cellStyle name="Note 3 2 2 10 5" xfId="14237" xr:uid="{C3A64B17-7AA6-4EE1-8E1B-259B55C7FF8D}"/>
    <cellStyle name="Note 3 2 2 11" xfId="8945" xr:uid="{D320AF38-4F47-4266-9CB9-3BD7E15BFDAE}"/>
    <cellStyle name="Note 3 2 2 11 2" xfId="36212" xr:uid="{552D3D89-5376-4987-9B91-4EA94E7EB1A2}"/>
    <cellStyle name="Note 3 2 2 11 3" xfId="18268" xr:uid="{4B6DCB1C-C2E3-4DE9-986F-2798C5A24C14}"/>
    <cellStyle name="Note 3 2 2 12" xfId="27764" xr:uid="{807CD43B-08B2-44A4-A3B1-842321B3BE6D}"/>
    <cellStyle name="Note 3 2 2 13" xfId="19317" xr:uid="{8B0C07F3-CEF1-461D-B7BA-66B48FF5700F}"/>
    <cellStyle name="Note 3 2 2 14" xfId="10020" xr:uid="{D0355463-B4DE-4C62-9F20-C1854B4A19EE}"/>
    <cellStyle name="Note 3 2 2 2" xfId="556" xr:uid="{00000000-0005-0000-0000-000050210000}"/>
    <cellStyle name="Note 3 2 2 2 10" xfId="9152" xr:uid="{24874F5B-4700-44ED-9556-84C4E89A274D}"/>
    <cellStyle name="Note 3 2 2 2 10 2" xfId="36213" xr:uid="{B6537CEC-7223-400E-997E-7141A156B7CE}"/>
    <cellStyle name="Note 3 2 2 2 10 3" xfId="18475" xr:uid="{6F5E866F-DAA5-4CF7-BA2B-767A28AD43F3}"/>
    <cellStyle name="Note 3 2 2 2 11" xfId="27765" xr:uid="{067606E2-F72E-4A2D-AD90-281BD8C2E777}"/>
    <cellStyle name="Note 3 2 2 2 12" xfId="19318" xr:uid="{9A44D199-09F4-4D97-B3D9-5FCCF7693197}"/>
    <cellStyle name="Note 3 2 2 2 13" xfId="10021" xr:uid="{63D04944-59DE-4E5E-88E6-9514867B074E}"/>
    <cellStyle name="Note 3 2 2 2 2" xfId="1016" xr:uid="{00000000-0005-0000-0000-000051210000}"/>
    <cellStyle name="Note 3 2 2 2 2 2" xfId="3248" xr:uid="{00000000-0005-0000-0000-000052210000}"/>
    <cellStyle name="Note 3 2 2 2 2 2 2" xfId="7470" xr:uid="{00000000-0005-0000-0000-000053210000}"/>
    <cellStyle name="Note 3 2 2 2 2 2 2 2" xfId="42988" xr:uid="{6AA456A0-E0F3-465D-9D6F-083ADEB8D17E}"/>
    <cellStyle name="Note 3 2 2 2 2 2 2 3" xfId="34541" xr:uid="{72462160-E472-447C-8547-4CB6670AD9DD}"/>
    <cellStyle name="Note 3 2 2 2 2 2 2 4" xfId="26093" xr:uid="{94298AD9-756C-4269-93F3-9765C8B101F3}"/>
    <cellStyle name="Note 3 2 2 2 2 2 2 5" xfId="16796" xr:uid="{53ED05F5-D09D-4505-AF4D-A255593CF02C}"/>
    <cellStyle name="Note 3 2 2 2 2 2 3" xfId="38771" xr:uid="{7999C042-0FD0-40B2-8838-7381E8C50098}"/>
    <cellStyle name="Note 3 2 2 2 2 2 4" xfId="30323" xr:uid="{B90C50BD-7000-4984-84EF-0B5182BE18C6}"/>
    <cellStyle name="Note 3 2 2 2 2 2 5" xfId="21876" xr:uid="{6764415C-DBCB-4E41-A711-A573F7A67C08}"/>
    <cellStyle name="Note 3 2 2 2 2 2 6" xfId="12579" xr:uid="{7C4A13E3-CD80-488E-B464-03B251C04862}"/>
    <cellStyle name="Note 3 2 2 2 2 3" xfId="5325" xr:uid="{00000000-0005-0000-0000-000054210000}"/>
    <cellStyle name="Note 3 2 2 2 2 3 2" xfId="40843" xr:uid="{B1E53F78-E4DF-4D88-8237-AE6800112F6B}"/>
    <cellStyle name="Note 3 2 2 2 2 3 3" xfId="32396" xr:uid="{0EF43C3B-6336-4038-B722-C736A32E402A}"/>
    <cellStyle name="Note 3 2 2 2 2 3 4" xfId="23948" xr:uid="{D5334BEF-2270-4C5B-B554-73C8A6BB07EA}"/>
    <cellStyle name="Note 3 2 2 2 2 3 5" xfId="14651" xr:uid="{E406C932-0B8E-4C29-A947-62656FC8E193}"/>
    <cellStyle name="Note 3 2 2 2 2 4" xfId="9577" xr:uid="{7C0C89D7-CA14-4942-89B2-D584AC810EDC}"/>
    <cellStyle name="Note 3 2 2 2 2 4 2" xfId="36626" xr:uid="{B3BCCF89-7A3D-46B7-AC97-C81E74D8B9DA}"/>
    <cellStyle name="Note 3 2 2 2 2 4 3" xfId="18890" xr:uid="{2F31EC87-E5FB-4F16-99B4-AB280D43A7FE}"/>
    <cellStyle name="Note 3 2 2 2 2 5" xfId="28178" xr:uid="{39D0E7A4-B07D-443D-9EB7-331F020B9AC4}"/>
    <cellStyle name="Note 3 2 2 2 2 6" xfId="19731" xr:uid="{F4DEA40F-B90B-48FC-9861-1DC2BCA61BD7}"/>
    <cellStyle name="Note 3 2 2 2 2 7" xfId="10434" xr:uid="{9FB2F000-1BDC-48BF-9EC7-B142E1C42D16}"/>
    <cellStyle name="Note 3 2 2 2 3" xfId="1431" xr:uid="{00000000-0005-0000-0000-000055210000}"/>
    <cellStyle name="Note 3 2 2 2 3 2" xfId="3661" xr:uid="{00000000-0005-0000-0000-000056210000}"/>
    <cellStyle name="Note 3 2 2 2 3 2 2" xfId="7883" xr:uid="{00000000-0005-0000-0000-000057210000}"/>
    <cellStyle name="Note 3 2 2 2 3 2 2 2" xfId="43401" xr:uid="{4CDC3884-E0FE-4D8E-833E-D28E1A4DDF9C}"/>
    <cellStyle name="Note 3 2 2 2 3 2 2 3" xfId="34954" xr:uid="{5E57982B-08B9-441A-8B04-5A5B9FBFAB71}"/>
    <cellStyle name="Note 3 2 2 2 3 2 2 4" xfId="26506" xr:uid="{4FAB8A5E-5C63-4DD5-86B1-502403408C92}"/>
    <cellStyle name="Note 3 2 2 2 3 2 2 5" xfId="17209" xr:uid="{86582006-3E2C-4EF5-B340-17C187FB3C5F}"/>
    <cellStyle name="Note 3 2 2 2 3 2 3" xfId="39184" xr:uid="{7296D865-D2B4-45D7-9FAD-0D6EA137352F}"/>
    <cellStyle name="Note 3 2 2 2 3 2 4" xfId="30736" xr:uid="{E3F46C6C-2A05-454B-9A64-E03A81AE95C7}"/>
    <cellStyle name="Note 3 2 2 2 3 2 5" xfId="22289" xr:uid="{C170C33F-2D78-4FD5-845C-6DBD2E82918F}"/>
    <cellStyle name="Note 3 2 2 2 3 2 6" xfId="12992" xr:uid="{5F2A976A-50A1-45FD-87AA-AFF39329FF48}"/>
    <cellStyle name="Note 3 2 2 2 3 3" xfId="5738" xr:uid="{00000000-0005-0000-0000-000058210000}"/>
    <cellStyle name="Note 3 2 2 2 3 3 2" xfId="41256" xr:uid="{9134F18C-18ED-4A79-9789-F311C6BFEA3C}"/>
    <cellStyle name="Note 3 2 2 2 3 3 3" xfId="32809" xr:uid="{FE7A3C94-D772-4233-AED8-647635FF3A48}"/>
    <cellStyle name="Note 3 2 2 2 3 3 4" xfId="24361" xr:uid="{BC71B61A-6602-407E-A512-8E9B9385EBBE}"/>
    <cellStyle name="Note 3 2 2 2 3 3 5" xfId="15064" xr:uid="{25ABE3AF-6271-4979-85B1-F8956E3E72EF}"/>
    <cellStyle name="Note 3 2 2 2 3 4" xfId="37039" xr:uid="{F960EDE0-2E76-4B68-ADFE-85211BF937D0}"/>
    <cellStyle name="Note 3 2 2 2 3 5" xfId="28591" xr:uid="{D7061966-7CD5-4849-B539-8A85E70C40FF}"/>
    <cellStyle name="Note 3 2 2 2 3 6" xfId="20144" xr:uid="{63EEF804-555E-4A26-8D62-731DC5337EE6}"/>
    <cellStyle name="Note 3 2 2 2 3 7" xfId="10847" xr:uid="{A7FA7E20-FCF5-43F4-91E3-7A437696BC84}"/>
    <cellStyle name="Note 3 2 2 2 4" xfId="1845" xr:uid="{00000000-0005-0000-0000-000059210000}"/>
    <cellStyle name="Note 3 2 2 2 4 2" xfId="4074" xr:uid="{00000000-0005-0000-0000-00005A210000}"/>
    <cellStyle name="Note 3 2 2 2 4 2 2" xfId="8296" xr:uid="{00000000-0005-0000-0000-00005B210000}"/>
    <cellStyle name="Note 3 2 2 2 4 2 2 2" xfId="43814" xr:uid="{1C5D59DC-A4FB-4052-A5AC-1151D7E8FFE9}"/>
    <cellStyle name="Note 3 2 2 2 4 2 2 3" xfId="35367" xr:uid="{DD4D084B-28B6-4BFA-9F08-CB27CDAFBF3E}"/>
    <cellStyle name="Note 3 2 2 2 4 2 2 4" xfId="26919" xr:uid="{FC5EF9E5-273E-4371-BF8C-D529EEE4D93E}"/>
    <cellStyle name="Note 3 2 2 2 4 2 2 5" xfId="17622" xr:uid="{5F49AFF0-5F87-4D6B-9092-A889F077FC53}"/>
    <cellStyle name="Note 3 2 2 2 4 2 3" xfId="39597" xr:uid="{2F647236-06C5-46DF-9219-CA3E2415884A}"/>
    <cellStyle name="Note 3 2 2 2 4 2 4" xfId="31149" xr:uid="{B6F725BB-97CB-408B-9A5A-8911DB161E90}"/>
    <cellStyle name="Note 3 2 2 2 4 2 5" xfId="22702" xr:uid="{2298E50A-884B-4B1D-8CF0-73747051F6E7}"/>
    <cellStyle name="Note 3 2 2 2 4 2 6" xfId="13405" xr:uid="{E3FF732C-9DE7-4F28-AF14-E6D4BF5E02C9}"/>
    <cellStyle name="Note 3 2 2 2 4 3" xfId="6151" xr:uid="{00000000-0005-0000-0000-00005C210000}"/>
    <cellStyle name="Note 3 2 2 2 4 3 2" xfId="41669" xr:uid="{E048EF17-1A43-474A-9518-DB1BC5BDF70E}"/>
    <cellStyle name="Note 3 2 2 2 4 3 3" xfId="33222" xr:uid="{B2A1EC65-3FF3-4CF8-8A8E-A1682290A36F}"/>
    <cellStyle name="Note 3 2 2 2 4 3 4" xfId="24774" xr:uid="{E71FFD4F-0A85-4976-990F-0D60B2BACEE3}"/>
    <cellStyle name="Note 3 2 2 2 4 3 5" xfId="15477" xr:uid="{65369365-BAB8-4C9C-A45E-2F8DB929A38D}"/>
    <cellStyle name="Note 3 2 2 2 4 4" xfId="37452" xr:uid="{7BC52597-8CE9-478B-815C-2ECA69E0F8F6}"/>
    <cellStyle name="Note 3 2 2 2 4 5" xfId="29004" xr:uid="{5F42AC05-BA65-46E5-B450-863C80024C1D}"/>
    <cellStyle name="Note 3 2 2 2 4 6" xfId="20557" xr:uid="{05965F2D-F89A-4310-8294-84DA5CE10571}"/>
    <cellStyle name="Note 3 2 2 2 4 7" xfId="11260" xr:uid="{4DC4D2FA-5307-4403-AE06-86415DE7D0F0}"/>
    <cellStyle name="Note 3 2 2 2 5" xfId="2258" xr:uid="{00000000-0005-0000-0000-00005D210000}"/>
    <cellStyle name="Note 3 2 2 2 5 2" xfId="4487" xr:uid="{00000000-0005-0000-0000-00005E210000}"/>
    <cellStyle name="Note 3 2 2 2 5 2 2" xfId="8709" xr:uid="{00000000-0005-0000-0000-00005F210000}"/>
    <cellStyle name="Note 3 2 2 2 5 2 2 2" xfId="44227" xr:uid="{6E0DF4A0-85F7-44EC-98F4-98B4C6512EAA}"/>
    <cellStyle name="Note 3 2 2 2 5 2 2 3" xfId="35780" xr:uid="{9A83D908-D8A8-495A-8296-3EC6C2E94A63}"/>
    <cellStyle name="Note 3 2 2 2 5 2 2 4" xfId="27332" xr:uid="{D21B2164-0DF3-4F7C-BFB9-E2F1341E534C}"/>
    <cellStyle name="Note 3 2 2 2 5 2 2 5" xfId="18035" xr:uid="{4B91BB94-D00C-4A41-BC32-995F96971EDC}"/>
    <cellStyle name="Note 3 2 2 2 5 2 3" xfId="40010" xr:uid="{8438CB67-C847-469D-8CDD-8C83026B2D8D}"/>
    <cellStyle name="Note 3 2 2 2 5 2 4" xfId="31562" xr:uid="{80BDC72D-49BB-401C-8C65-96BCEB66FFC6}"/>
    <cellStyle name="Note 3 2 2 2 5 2 5" xfId="23115" xr:uid="{8D1FE97E-3D80-4338-B1D1-704AA1D13FD5}"/>
    <cellStyle name="Note 3 2 2 2 5 2 6" xfId="13818" xr:uid="{FC99E428-B43D-4130-BA6B-910F9FCC311C}"/>
    <cellStyle name="Note 3 2 2 2 5 3" xfId="6564" xr:uid="{00000000-0005-0000-0000-000060210000}"/>
    <cellStyle name="Note 3 2 2 2 5 3 2" xfId="42082" xr:uid="{BDB5CEF0-9D07-44E1-8DF9-4E8C853E3CCC}"/>
    <cellStyle name="Note 3 2 2 2 5 3 3" xfId="33635" xr:uid="{34242260-C1C9-45D0-947F-894A6D207333}"/>
    <cellStyle name="Note 3 2 2 2 5 3 4" xfId="25187" xr:uid="{8F3F1F94-4A47-4173-83B9-8231716EEED2}"/>
    <cellStyle name="Note 3 2 2 2 5 3 5" xfId="15890" xr:uid="{7D162480-8981-4D55-B581-5E8830A56DF1}"/>
    <cellStyle name="Note 3 2 2 2 5 4" xfId="37865" xr:uid="{73CA6A63-6FC6-4313-8D03-E8EC154A88B8}"/>
    <cellStyle name="Note 3 2 2 2 5 5" xfId="29417" xr:uid="{1BF0F26D-AAC1-416D-BE15-890B0592E073}"/>
    <cellStyle name="Note 3 2 2 2 5 6" xfId="20970" xr:uid="{6F064AE1-A664-409D-B58B-0A118C157B3C}"/>
    <cellStyle name="Note 3 2 2 2 5 7" xfId="11673" xr:uid="{6AFD4BF6-4473-4FB9-8744-866F1D0E58D4}"/>
    <cellStyle name="Note 3 2 2 2 6" xfId="2694" xr:uid="{00000000-0005-0000-0000-000061210000}"/>
    <cellStyle name="Note 3 2 2 2 6 2" xfId="6977" xr:uid="{00000000-0005-0000-0000-000062210000}"/>
    <cellStyle name="Note 3 2 2 2 6 2 2" xfId="42495" xr:uid="{FA5FDCD9-FBA0-4C13-9214-E112E7565A0A}"/>
    <cellStyle name="Note 3 2 2 2 6 2 3" xfId="34048" xr:uid="{400F1700-12BE-498D-8243-C8C145DDA59D}"/>
    <cellStyle name="Note 3 2 2 2 6 2 4" xfId="25600" xr:uid="{1AEC687A-FD6F-42A2-83EE-8AB8DE443B6B}"/>
    <cellStyle name="Note 3 2 2 2 6 2 5" xfId="16303" xr:uid="{13B647C9-D717-4EFD-9C93-23BB0960773F}"/>
    <cellStyle name="Note 3 2 2 2 6 3" xfId="38278" xr:uid="{BA173797-2EA5-43AA-832F-70C3C9684F9D}"/>
    <cellStyle name="Note 3 2 2 2 6 4" xfId="29830" xr:uid="{B6F1F873-8EA6-4AB7-981D-7700824B7FD6}"/>
    <cellStyle name="Note 3 2 2 2 6 5" xfId="21383" xr:uid="{E5F33186-F654-4381-A1C8-05F56328CE17}"/>
    <cellStyle name="Note 3 2 2 2 6 6" xfId="12086" xr:uid="{9BB0778A-6DA8-43E5-A433-9BD342D846EE}"/>
    <cellStyle name="Note 3 2 2 2 7" xfId="2753" xr:uid="{00000000-0005-0000-0000-000063210000}"/>
    <cellStyle name="Note 3 2 2 2 8" xfId="2834" xr:uid="{00000000-0005-0000-0000-000064210000}"/>
    <cellStyle name="Note 3 2 2 2 8 2" xfId="7057" xr:uid="{00000000-0005-0000-0000-000065210000}"/>
    <cellStyle name="Note 3 2 2 2 8 2 2" xfId="42575" xr:uid="{32E61680-A807-4275-92D6-30E31D7960A0}"/>
    <cellStyle name="Note 3 2 2 2 8 2 3" xfId="34128" xr:uid="{DA1CBC15-5EC2-46D4-BF3E-8E36D99E6B74}"/>
    <cellStyle name="Note 3 2 2 2 8 2 4" xfId="25680" xr:uid="{0BFD17BF-75F8-445F-9918-5C78FD10A9BB}"/>
    <cellStyle name="Note 3 2 2 2 8 2 5" xfId="16383" xr:uid="{719462DB-835B-4FDF-8C67-0271198E33BB}"/>
    <cellStyle name="Note 3 2 2 2 8 3" xfId="38358" xr:uid="{317F5F2B-8303-497E-B834-73F3EAA22959}"/>
    <cellStyle name="Note 3 2 2 2 8 4" xfId="29910" xr:uid="{B284F874-8E73-492E-86C9-6E0894B5774A}"/>
    <cellStyle name="Note 3 2 2 2 8 5" xfId="21463" xr:uid="{44EA8F04-4FE1-466B-8B4C-2DF0706672A2}"/>
    <cellStyle name="Note 3 2 2 2 8 6" xfId="12166" xr:uid="{41834B26-2678-4FEE-BBD2-6DBFB20CE6A6}"/>
    <cellStyle name="Note 3 2 2 2 9" xfId="4912" xr:uid="{00000000-0005-0000-0000-000066210000}"/>
    <cellStyle name="Note 3 2 2 2 9 2" xfId="40430" xr:uid="{4B464DFB-5F5A-487E-8904-0DE385013F38}"/>
    <cellStyle name="Note 3 2 2 2 9 3" xfId="31983" xr:uid="{758B5DC3-D54A-43D4-8C68-202FA0053CF5}"/>
    <cellStyle name="Note 3 2 2 2 9 4" xfId="23535" xr:uid="{FA5DDCD8-4C9C-42EC-9D67-8B76FCBE43CF}"/>
    <cellStyle name="Note 3 2 2 2 9 5" xfId="14238" xr:uid="{C4432C53-6799-4F33-9443-C29B979CB4A7}"/>
    <cellStyle name="Note 3 2 2 3" xfId="1015" xr:uid="{00000000-0005-0000-0000-000067210000}"/>
    <cellStyle name="Note 3 2 2 3 2" xfId="3247" xr:uid="{00000000-0005-0000-0000-000068210000}"/>
    <cellStyle name="Note 3 2 2 3 2 2" xfId="7469" xr:uid="{00000000-0005-0000-0000-000069210000}"/>
    <cellStyle name="Note 3 2 2 3 2 2 2" xfId="42987" xr:uid="{A2741ECF-A98C-49FC-B717-26789E84E465}"/>
    <cellStyle name="Note 3 2 2 3 2 2 3" xfId="34540" xr:uid="{6D52A6DE-E614-43BC-84F8-FE59C836D811}"/>
    <cellStyle name="Note 3 2 2 3 2 2 4" xfId="26092" xr:uid="{9C9A34DA-74E8-4B2F-B9B7-2B76A343D4BB}"/>
    <cellStyle name="Note 3 2 2 3 2 2 5" xfId="16795" xr:uid="{52C3AF4A-E5B6-4E06-8852-BF5D7D091521}"/>
    <cellStyle name="Note 3 2 2 3 2 3" xfId="38770" xr:uid="{7EEA9B97-E999-4791-8A01-4F110FD3D155}"/>
    <cellStyle name="Note 3 2 2 3 2 4" xfId="30322" xr:uid="{BD9ADEB5-0B75-4A25-AD3B-9738D7503847}"/>
    <cellStyle name="Note 3 2 2 3 2 5" xfId="21875" xr:uid="{827FB97A-814F-4F03-9E37-6F0324A012FA}"/>
    <cellStyle name="Note 3 2 2 3 2 6" xfId="12578" xr:uid="{28E2A5C1-C64A-486A-B48A-22ED64F6CE52}"/>
    <cellStyle name="Note 3 2 2 3 3" xfId="5324" xr:uid="{00000000-0005-0000-0000-00006A210000}"/>
    <cellStyle name="Note 3 2 2 3 3 2" xfId="40842" xr:uid="{CAFFEB3E-D05D-4C5C-B659-DD044875D9A5}"/>
    <cellStyle name="Note 3 2 2 3 3 3" xfId="32395" xr:uid="{62DBB603-CEBE-4DD4-A64D-9B38BE7B23BF}"/>
    <cellStyle name="Note 3 2 2 3 3 4" xfId="23947" xr:uid="{6C514872-4C55-4294-9677-71F62F85B5EA}"/>
    <cellStyle name="Note 3 2 2 3 3 5" xfId="14650" xr:uid="{A5ED576F-41BA-4091-A168-532E087483BD}"/>
    <cellStyle name="Note 3 2 2 3 4" xfId="9370" xr:uid="{7A803908-679B-4EF0-9BD4-89724B1FB321}"/>
    <cellStyle name="Note 3 2 2 3 4 2" xfId="36625" xr:uid="{6616EFF6-8819-4C6B-97AD-830A13C94A17}"/>
    <cellStyle name="Note 3 2 2 3 4 3" xfId="18683" xr:uid="{5FC1E322-EEE9-4525-B938-E200DA2194F0}"/>
    <cellStyle name="Note 3 2 2 3 5" xfId="28177" xr:uid="{AF36B84E-4827-42E4-9EDD-9E1F2053AECE}"/>
    <cellStyle name="Note 3 2 2 3 6" xfId="19730" xr:uid="{111B78F4-AE9B-4209-8B8F-3CF683876490}"/>
    <cellStyle name="Note 3 2 2 3 7" xfId="10433" xr:uid="{374B7534-1270-45E9-AA8A-84589A804A11}"/>
    <cellStyle name="Note 3 2 2 4" xfId="1430" xr:uid="{00000000-0005-0000-0000-00006B210000}"/>
    <cellStyle name="Note 3 2 2 4 2" xfId="3660" xr:uid="{00000000-0005-0000-0000-00006C210000}"/>
    <cellStyle name="Note 3 2 2 4 2 2" xfId="7882" xr:uid="{00000000-0005-0000-0000-00006D210000}"/>
    <cellStyle name="Note 3 2 2 4 2 2 2" xfId="43400" xr:uid="{C696F5F9-B0E6-4A6D-A705-30463060BD79}"/>
    <cellStyle name="Note 3 2 2 4 2 2 3" xfId="34953" xr:uid="{A971018A-3CFA-4166-B47D-B1D0AF3C4089}"/>
    <cellStyle name="Note 3 2 2 4 2 2 4" xfId="26505" xr:uid="{6AC60A57-C43A-4123-9B2F-4B163665A687}"/>
    <cellStyle name="Note 3 2 2 4 2 2 5" xfId="17208" xr:uid="{57D456B6-E26F-4A75-9ACB-9C54D1BDF15E}"/>
    <cellStyle name="Note 3 2 2 4 2 3" xfId="39183" xr:uid="{00161922-0CAD-48CF-8A1E-E76138AFA3DF}"/>
    <cellStyle name="Note 3 2 2 4 2 4" xfId="30735" xr:uid="{08683F08-7239-4F99-9784-D7E32AB16F31}"/>
    <cellStyle name="Note 3 2 2 4 2 5" xfId="22288" xr:uid="{1E026B7D-3729-4FA2-A22F-55B6E4DB028F}"/>
    <cellStyle name="Note 3 2 2 4 2 6" xfId="12991" xr:uid="{F8171487-D6CB-450F-BECA-4485F314413B}"/>
    <cellStyle name="Note 3 2 2 4 3" xfId="5737" xr:uid="{00000000-0005-0000-0000-00006E210000}"/>
    <cellStyle name="Note 3 2 2 4 3 2" xfId="41255" xr:uid="{7FB2FA8D-3813-4125-A6AA-AD986C55CA23}"/>
    <cellStyle name="Note 3 2 2 4 3 3" xfId="32808" xr:uid="{D1E64E81-629A-4AF2-9ACB-8A9718472900}"/>
    <cellStyle name="Note 3 2 2 4 3 4" xfId="24360" xr:uid="{494BC324-D7AA-4F19-B98A-6FEE62021E62}"/>
    <cellStyle name="Note 3 2 2 4 3 5" xfId="15063" xr:uid="{1D5F717F-7C72-4081-8F9D-EE2229831B8C}"/>
    <cellStyle name="Note 3 2 2 4 4" xfId="37038" xr:uid="{116837FC-3C6E-437D-AA3E-7E78E25838CA}"/>
    <cellStyle name="Note 3 2 2 4 5" xfId="28590" xr:uid="{9ED40112-8C42-47D8-95AC-3435EDAAF2EB}"/>
    <cellStyle name="Note 3 2 2 4 6" xfId="20143" xr:uid="{64841B1A-AC2F-4189-8C43-06CBB60CFADA}"/>
    <cellStyle name="Note 3 2 2 4 7" xfId="10846" xr:uid="{57A80514-D74E-4857-8EE6-F54B078D9936}"/>
    <cellStyle name="Note 3 2 2 5" xfId="1844" xr:uid="{00000000-0005-0000-0000-00006F210000}"/>
    <cellStyle name="Note 3 2 2 5 2" xfId="4073" xr:uid="{00000000-0005-0000-0000-000070210000}"/>
    <cellStyle name="Note 3 2 2 5 2 2" xfId="8295" xr:uid="{00000000-0005-0000-0000-000071210000}"/>
    <cellStyle name="Note 3 2 2 5 2 2 2" xfId="43813" xr:uid="{B6DF273A-8E99-43DC-BEFD-A2B2A50383B4}"/>
    <cellStyle name="Note 3 2 2 5 2 2 3" xfId="35366" xr:uid="{3BF204EF-C1AA-438E-98A5-1048CB4DF15C}"/>
    <cellStyle name="Note 3 2 2 5 2 2 4" xfId="26918" xr:uid="{D2AF21FA-166E-40B6-BA20-367E75C43DCD}"/>
    <cellStyle name="Note 3 2 2 5 2 2 5" xfId="17621" xr:uid="{DE8C0148-44C7-47F8-9B09-87224EA60405}"/>
    <cellStyle name="Note 3 2 2 5 2 3" xfId="39596" xr:uid="{AC8CDB8F-D01B-45C3-B057-6CD8A1B38675}"/>
    <cellStyle name="Note 3 2 2 5 2 4" xfId="31148" xr:uid="{311071CF-CC51-450F-8406-4C5C12D9643F}"/>
    <cellStyle name="Note 3 2 2 5 2 5" xfId="22701" xr:uid="{B1CABE76-00DD-4AE3-8B4E-CFDE26A0B47C}"/>
    <cellStyle name="Note 3 2 2 5 2 6" xfId="13404" xr:uid="{44897134-9340-4EA8-B012-F5E395B6091C}"/>
    <cellStyle name="Note 3 2 2 5 3" xfId="6150" xr:uid="{00000000-0005-0000-0000-000072210000}"/>
    <cellStyle name="Note 3 2 2 5 3 2" xfId="41668" xr:uid="{6C72F81C-55FE-410C-A545-213AE39898B7}"/>
    <cellStyle name="Note 3 2 2 5 3 3" xfId="33221" xr:uid="{341F7F39-2972-4189-8954-66600857D039}"/>
    <cellStyle name="Note 3 2 2 5 3 4" xfId="24773" xr:uid="{DD2AB798-BA3E-416A-9D6B-96B34B48FCE7}"/>
    <cellStyle name="Note 3 2 2 5 3 5" xfId="15476" xr:uid="{4BE2222E-4CDE-4FD5-9709-72AFDBD39176}"/>
    <cellStyle name="Note 3 2 2 5 4" xfId="37451" xr:uid="{CBF91CF5-87D0-4E29-9530-EB31B2170DA5}"/>
    <cellStyle name="Note 3 2 2 5 5" xfId="29003" xr:uid="{2F7E04B7-C91B-4BD3-B4B0-55F2983FB2B0}"/>
    <cellStyle name="Note 3 2 2 5 6" xfId="20556" xr:uid="{2C6D8702-B734-4119-A54D-FE81D823118F}"/>
    <cellStyle name="Note 3 2 2 5 7" xfId="11259" xr:uid="{173FB429-23C8-48D7-A531-ADE904A7CA83}"/>
    <cellStyle name="Note 3 2 2 6" xfId="2257" xr:uid="{00000000-0005-0000-0000-000073210000}"/>
    <cellStyle name="Note 3 2 2 6 2" xfId="4486" xr:uid="{00000000-0005-0000-0000-000074210000}"/>
    <cellStyle name="Note 3 2 2 6 2 2" xfId="8708" xr:uid="{00000000-0005-0000-0000-000075210000}"/>
    <cellStyle name="Note 3 2 2 6 2 2 2" xfId="44226" xr:uid="{45CDE5C2-042C-44BD-8AD1-759DE584A22B}"/>
    <cellStyle name="Note 3 2 2 6 2 2 3" xfId="35779" xr:uid="{22DBDEFF-5F05-460D-ACA8-B0B119091F39}"/>
    <cellStyle name="Note 3 2 2 6 2 2 4" xfId="27331" xr:uid="{9AE27303-AAD5-42B2-BE0F-9B4E7D5F3EE8}"/>
    <cellStyle name="Note 3 2 2 6 2 2 5" xfId="18034" xr:uid="{F4F8EAE3-5A3B-4151-9DE5-D935CEAD7C6B}"/>
    <cellStyle name="Note 3 2 2 6 2 3" xfId="40009" xr:uid="{D0CA6A19-168A-4B32-B1CB-59CB79EC1F8C}"/>
    <cellStyle name="Note 3 2 2 6 2 4" xfId="31561" xr:uid="{66987111-DFDB-4BAF-9144-9420259E5709}"/>
    <cellStyle name="Note 3 2 2 6 2 5" xfId="23114" xr:uid="{61B4C154-C0A3-4B2E-9910-E24D7A1FE4DD}"/>
    <cellStyle name="Note 3 2 2 6 2 6" xfId="13817" xr:uid="{EB930CA0-D040-4A61-A10B-15601321C5C1}"/>
    <cellStyle name="Note 3 2 2 6 3" xfId="6563" xr:uid="{00000000-0005-0000-0000-000076210000}"/>
    <cellStyle name="Note 3 2 2 6 3 2" xfId="42081" xr:uid="{E5C8C41B-60DC-477B-827B-F4F8F332F29F}"/>
    <cellStyle name="Note 3 2 2 6 3 3" xfId="33634" xr:uid="{ADDE4BE8-429A-4B44-AB7F-529397DE0AE0}"/>
    <cellStyle name="Note 3 2 2 6 3 4" xfId="25186" xr:uid="{4036AD76-F832-4872-9862-E3EA4DD3C1B4}"/>
    <cellStyle name="Note 3 2 2 6 3 5" xfId="15889" xr:uid="{3F5E78BE-48F3-4374-9B9C-2B06E2C3F472}"/>
    <cellStyle name="Note 3 2 2 6 4" xfId="37864" xr:uid="{6EFB3AF8-A77F-4AB3-9BFF-059473EAA083}"/>
    <cellStyle name="Note 3 2 2 6 5" xfId="29416" xr:uid="{08163EC0-4396-4133-ADAE-5327DE133334}"/>
    <cellStyle name="Note 3 2 2 6 6" xfId="20969" xr:uid="{B107A35C-4057-4189-AE4B-DA551172DB47}"/>
    <cellStyle name="Note 3 2 2 6 7" xfId="11672" xr:uid="{BA28CF39-9324-4084-9D31-20FE004B9AFC}"/>
    <cellStyle name="Note 3 2 2 7" xfId="2693" xr:uid="{00000000-0005-0000-0000-000077210000}"/>
    <cellStyle name="Note 3 2 2 7 2" xfId="6976" xr:uid="{00000000-0005-0000-0000-000078210000}"/>
    <cellStyle name="Note 3 2 2 7 2 2" xfId="42494" xr:uid="{F1CFC95B-C781-43B4-8D07-CB8C8B82BE69}"/>
    <cellStyle name="Note 3 2 2 7 2 3" xfId="34047" xr:uid="{E199E1B4-9CE4-42D1-971B-A6A760DC969A}"/>
    <cellStyle name="Note 3 2 2 7 2 4" xfId="25599" xr:uid="{0A5E8C55-8274-4281-8505-AF9CD086B2E7}"/>
    <cellStyle name="Note 3 2 2 7 2 5" xfId="16302" xr:uid="{32E8C922-FB2E-4F88-BD04-1F0EF0291113}"/>
    <cellStyle name="Note 3 2 2 7 3" xfId="38277" xr:uid="{F76546AE-9535-4E1B-8B34-4698BB8308E7}"/>
    <cellStyle name="Note 3 2 2 7 4" xfId="29829" xr:uid="{9BFE9555-BB29-4E11-A55D-CFE4DE3F26DB}"/>
    <cellStyle name="Note 3 2 2 7 5" xfId="21382" xr:uid="{F48973E5-A75B-4E97-8BEC-691F6AD8C2BD}"/>
    <cellStyle name="Note 3 2 2 7 6" xfId="12085" xr:uid="{8B5DF23B-64A3-4E18-8FBF-AE87834EB858}"/>
    <cellStyle name="Note 3 2 2 8" xfId="2752" xr:uid="{00000000-0005-0000-0000-000079210000}"/>
    <cellStyle name="Note 3 2 2 9" xfId="2833" xr:uid="{00000000-0005-0000-0000-00007A210000}"/>
    <cellStyle name="Note 3 2 2 9 2" xfId="7056" xr:uid="{00000000-0005-0000-0000-00007B210000}"/>
    <cellStyle name="Note 3 2 2 9 2 2" xfId="42574" xr:uid="{3DD3E608-1A0D-4DBA-8F69-528616808EC5}"/>
    <cellStyle name="Note 3 2 2 9 2 3" xfId="34127" xr:uid="{702D09C5-1974-48A6-8B30-C6CCCA81BCA4}"/>
    <cellStyle name="Note 3 2 2 9 2 4" xfId="25679" xr:uid="{CB3A8818-FD41-44D5-8B41-91D796D44113}"/>
    <cellStyle name="Note 3 2 2 9 2 5" xfId="16382" xr:uid="{A196A654-7D3F-4D31-951C-C550EF804DF0}"/>
    <cellStyle name="Note 3 2 2 9 3" xfId="38357" xr:uid="{7824FB0B-A3EE-4107-9339-056AC994CEA0}"/>
    <cellStyle name="Note 3 2 2 9 4" xfId="29909" xr:uid="{B4DE6418-8A02-4557-B840-856B33A80D44}"/>
    <cellStyle name="Note 3 2 2 9 5" xfId="21462" xr:uid="{29AD6A43-47B4-4BBF-BFD8-DCF29190F8CA}"/>
    <cellStyle name="Note 3 2 2 9 6" xfId="12165" xr:uid="{5E519BBA-162B-496C-AB3A-2A3E13FC02CA}"/>
    <cellStyle name="Note 3 2 3" xfId="557" xr:uid="{00000000-0005-0000-0000-00007C210000}"/>
    <cellStyle name="Note 3 2 3 10" xfId="9049" xr:uid="{98DA21AE-8EED-4AF2-A5D5-94394E9C9EFE}"/>
    <cellStyle name="Note 3 2 3 10 2" xfId="36214" xr:uid="{3AFE4ED2-789B-4922-93DF-020A0D990144}"/>
    <cellStyle name="Note 3 2 3 10 3" xfId="18372" xr:uid="{C35D797C-3D7E-4F18-AEAA-D19003748D76}"/>
    <cellStyle name="Note 3 2 3 11" xfId="27766" xr:uid="{D06EAFE7-A21E-4E46-8D25-DDF0073614D9}"/>
    <cellStyle name="Note 3 2 3 12" xfId="19319" xr:uid="{DBCFC252-85F1-48A9-8B5A-0CBF642E5B9E}"/>
    <cellStyle name="Note 3 2 3 13" xfId="10022" xr:uid="{3DD6BF32-74BA-4864-AA06-26C36AE75C75}"/>
    <cellStyle name="Note 3 2 3 2" xfId="1017" xr:uid="{00000000-0005-0000-0000-00007D210000}"/>
    <cellStyle name="Note 3 2 3 2 2" xfId="3249" xr:uid="{00000000-0005-0000-0000-00007E210000}"/>
    <cellStyle name="Note 3 2 3 2 2 2" xfId="7471" xr:uid="{00000000-0005-0000-0000-00007F210000}"/>
    <cellStyle name="Note 3 2 3 2 2 2 2" xfId="42989" xr:uid="{F2F3859B-3960-45C7-9C0D-DAFAC0EB6D0A}"/>
    <cellStyle name="Note 3 2 3 2 2 2 3" xfId="34542" xr:uid="{429CD19E-68F6-4BEA-A310-79F6919B00D7}"/>
    <cellStyle name="Note 3 2 3 2 2 2 4" xfId="26094" xr:uid="{5C52AB47-2A07-4A3E-A7D7-4546EF3E575D}"/>
    <cellStyle name="Note 3 2 3 2 2 2 5" xfId="16797" xr:uid="{925F8B76-F756-4821-8B03-19481A70B964}"/>
    <cellStyle name="Note 3 2 3 2 2 3" xfId="38772" xr:uid="{D8589135-5C06-4319-8E58-8B3B559CCEE0}"/>
    <cellStyle name="Note 3 2 3 2 2 4" xfId="30324" xr:uid="{384F7636-F5A9-49F4-8DF7-78129A74A82D}"/>
    <cellStyle name="Note 3 2 3 2 2 5" xfId="21877" xr:uid="{0F2E0306-7DE7-44DE-8AA5-F01CCC03CC48}"/>
    <cellStyle name="Note 3 2 3 2 2 6" xfId="12580" xr:uid="{4CAAF775-27A6-473F-A8DE-AB6ABFD20C85}"/>
    <cellStyle name="Note 3 2 3 2 3" xfId="5326" xr:uid="{00000000-0005-0000-0000-000080210000}"/>
    <cellStyle name="Note 3 2 3 2 3 2" xfId="40844" xr:uid="{FBF5F3E6-531C-42DE-BCA2-845B2BA04D3B}"/>
    <cellStyle name="Note 3 2 3 2 3 3" xfId="32397" xr:uid="{87284A0B-4126-47CB-B4D6-B9B75396A15F}"/>
    <cellStyle name="Note 3 2 3 2 3 4" xfId="23949" xr:uid="{F6286A36-626A-48B4-B97E-A08ED273BA41}"/>
    <cellStyle name="Note 3 2 3 2 3 5" xfId="14652" xr:uid="{95708402-5134-427E-824D-CC6CC8C8C5EA}"/>
    <cellStyle name="Note 3 2 3 2 4" xfId="9474" xr:uid="{8827394E-7DCF-4E58-BF45-94E8587F7D91}"/>
    <cellStyle name="Note 3 2 3 2 4 2" xfId="36627" xr:uid="{40CC2EED-5CA5-4AB4-9944-B543A975937D}"/>
    <cellStyle name="Note 3 2 3 2 4 3" xfId="18787" xr:uid="{09355BDA-4B56-4111-84EF-570849A3C65D}"/>
    <cellStyle name="Note 3 2 3 2 5" xfId="28179" xr:uid="{80FB03D5-AE0E-4E5C-978F-E08C3EB6D515}"/>
    <cellStyle name="Note 3 2 3 2 6" xfId="19732" xr:uid="{990686CA-4ACD-48CE-AD20-71EF87ED680A}"/>
    <cellStyle name="Note 3 2 3 2 7" xfId="10435" xr:uid="{1075B234-6014-490E-9FA0-A194CD77738A}"/>
    <cellStyle name="Note 3 2 3 3" xfId="1432" xr:uid="{00000000-0005-0000-0000-000081210000}"/>
    <cellStyle name="Note 3 2 3 3 2" xfId="3662" xr:uid="{00000000-0005-0000-0000-000082210000}"/>
    <cellStyle name="Note 3 2 3 3 2 2" xfId="7884" xr:uid="{00000000-0005-0000-0000-000083210000}"/>
    <cellStyle name="Note 3 2 3 3 2 2 2" xfId="43402" xr:uid="{EAE872F2-D3C2-4F7A-A5C9-85D433F3C0FE}"/>
    <cellStyle name="Note 3 2 3 3 2 2 3" xfId="34955" xr:uid="{6FE70455-BFFD-4B2E-8500-BA6E9CF40BAB}"/>
    <cellStyle name="Note 3 2 3 3 2 2 4" xfId="26507" xr:uid="{3611FD34-FEFE-4FC0-B3F7-CD851034EE6D}"/>
    <cellStyle name="Note 3 2 3 3 2 2 5" xfId="17210" xr:uid="{1336D084-7910-45FE-A274-8BAF28939739}"/>
    <cellStyle name="Note 3 2 3 3 2 3" xfId="39185" xr:uid="{3D8C6000-D652-4CC9-A53F-BCFD0AB1C2EE}"/>
    <cellStyle name="Note 3 2 3 3 2 4" xfId="30737" xr:uid="{28DC3437-0F58-415C-B24F-7CBE968B72F0}"/>
    <cellStyle name="Note 3 2 3 3 2 5" xfId="22290" xr:uid="{B2EBE05E-B240-4A26-BFDD-4F39FC2F5B52}"/>
    <cellStyle name="Note 3 2 3 3 2 6" xfId="12993" xr:uid="{D07B3619-4D4B-4E67-81B9-7661F6038597}"/>
    <cellStyle name="Note 3 2 3 3 3" xfId="5739" xr:uid="{00000000-0005-0000-0000-000084210000}"/>
    <cellStyle name="Note 3 2 3 3 3 2" xfId="41257" xr:uid="{52039F45-5FCB-468A-9F8A-2EC715FC05BE}"/>
    <cellStyle name="Note 3 2 3 3 3 3" xfId="32810" xr:uid="{09B34261-3ED7-42D1-B308-1F374A0463ED}"/>
    <cellStyle name="Note 3 2 3 3 3 4" xfId="24362" xr:uid="{E6625F30-8B04-4CAF-A0F9-DD7F2975DCFB}"/>
    <cellStyle name="Note 3 2 3 3 3 5" xfId="15065" xr:uid="{370A1B60-4A46-4BF8-AD14-A6B8AFA24B95}"/>
    <cellStyle name="Note 3 2 3 3 4" xfId="37040" xr:uid="{5AF4312E-3BA9-463F-9A72-51E8D7986718}"/>
    <cellStyle name="Note 3 2 3 3 5" xfId="28592" xr:uid="{3C3DC62A-C086-4AC1-81BF-E44907C218DA}"/>
    <cellStyle name="Note 3 2 3 3 6" xfId="20145" xr:uid="{F82E80FE-82D7-4346-8B72-BFCF81AF85D5}"/>
    <cellStyle name="Note 3 2 3 3 7" xfId="10848" xr:uid="{142A2086-EE13-4B7A-AF9C-CF9702792A1E}"/>
    <cellStyle name="Note 3 2 3 4" xfId="1846" xr:uid="{00000000-0005-0000-0000-000085210000}"/>
    <cellStyle name="Note 3 2 3 4 2" xfId="4075" xr:uid="{00000000-0005-0000-0000-000086210000}"/>
    <cellStyle name="Note 3 2 3 4 2 2" xfId="8297" xr:uid="{00000000-0005-0000-0000-000087210000}"/>
    <cellStyle name="Note 3 2 3 4 2 2 2" xfId="43815" xr:uid="{322265A5-2B7E-4293-B38D-352B0046B91C}"/>
    <cellStyle name="Note 3 2 3 4 2 2 3" xfId="35368" xr:uid="{29DE14DF-0E7D-46A9-93A9-98D49EC872A2}"/>
    <cellStyle name="Note 3 2 3 4 2 2 4" xfId="26920" xr:uid="{CA8388F2-56FA-4180-B7D3-4D5B3B4BAC1B}"/>
    <cellStyle name="Note 3 2 3 4 2 2 5" xfId="17623" xr:uid="{3C21B7FB-8B6B-483E-B1DD-BA8C12FFC903}"/>
    <cellStyle name="Note 3 2 3 4 2 3" xfId="39598" xr:uid="{97F69922-1928-41BD-A53C-05109900B742}"/>
    <cellStyle name="Note 3 2 3 4 2 4" xfId="31150" xr:uid="{CD87035F-DAF8-4F03-8185-67561687E154}"/>
    <cellStyle name="Note 3 2 3 4 2 5" xfId="22703" xr:uid="{955FEE3D-98E2-448B-8539-05E48FF52B29}"/>
    <cellStyle name="Note 3 2 3 4 2 6" xfId="13406" xr:uid="{89AF542C-4D83-4332-AB8E-1937132DDF9E}"/>
    <cellStyle name="Note 3 2 3 4 3" xfId="6152" xr:uid="{00000000-0005-0000-0000-000088210000}"/>
    <cellStyle name="Note 3 2 3 4 3 2" xfId="41670" xr:uid="{A90DEE1A-6D6C-4C08-AF25-22175C8FD616}"/>
    <cellStyle name="Note 3 2 3 4 3 3" xfId="33223" xr:uid="{C6272495-00B0-4311-81D9-4136BEFE96E1}"/>
    <cellStyle name="Note 3 2 3 4 3 4" xfId="24775" xr:uid="{932BD4F0-AC70-4A01-A53E-FC42D21A7A2E}"/>
    <cellStyle name="Note 3 2 3 4 3 5" xfId="15478" xr:uid="{6355D3A2-98D8-4461-956D-720E5695BD59}"/>
    <cellStyle name="Note 3 2 3 4 4" xfId="37453" xr:uid="{7BFF6FC4-3D3B-4D75-B83B-98CA52126475}"/>
    <cellStyle name="Note 3 2 3 4 5" xfId="29005" xr:uid="{129B7565-3B17-4C2F-8435-0CE66CA84AD3}"/>
    <cellStyle name="Note 3 2 3 4 6" xfId="20558" xr:uid="{63215EBF-4019-441E-928E-71BD2B99BD4C}"/>
    <cellStyle name="Note 3 2 3 4 7" xfId="11261" xr:uid="{49ED7F9C-C2FA-47C3-93B3-A597DDB26E96}"/>
    <cellStyle name="Note 3 2 3 5" xfId="2259" xr:uid="{00000000-0005-0000-0000-000089210000}"/>
    <cellStyle name="Note 3 2 3 5 2" xfId="4488" xr:uid="{00000000-0005-0000-0000-00008A210000}"/>
    <cellStyle name="Note 3 2 3 5 2 2" xfId="8710" xr:uid="{00000000-0005-0000-0000-00008B210000}"/>
    <cellStyle name="Note 3 2 3 5 2 2 2" xfId="44228" xr:uid="{5919DEF7-6FE3-42E5-B056-7F8F2BDFDC65}"/>
    <cellStyle name="Note 3 2 3 5 2 2 3" xfId="35781" xr:uid="{C10928B4-BE26-43C5-9C31-8286FCD47BBF}"/>
    <cellStyle name="Note 3 2 3 5 2 2 4" xfId="27333" xr:uid="{15DC7E9D-A6F3-4A2F-B823-5A2728E830F4}"/>
    <cellStyle name="Note 3 2 3 5 2 2 5" xfId="18036" xr:uid="{CBD77483-06EF-418E-8D35-590C3FA851B0}"/>
    <cellStyle name="Note 3 2 3 5 2 3" xfId="40011" xr:uid="{80C49777-6235-453F-A9E2-AB47A4B219C2}"/>
    <cellStyle name="Note 3 2 3 5 2 4" xfId="31563" xr:uid="{1AD6E904-A575-4385-A44D-454544E671CD}"/>
    <cellStyle name="Note 3 2 3 5 2 5" xfId="23116" xr:uid="{289D3C94-08A5-49D7-A04F-B4A57E4FBD46}"/>
    <cellStyle name="Note 3 2 3 5 2 6" xfId="13819" xr:uid="{A2E51A5E-A82B-4C9D-96A2-D3B886794477}"/>
    <cellStyle name="Note 3 2 3 5 3" xfId="6565" xr:uid="{00000000-0005-0000-0000-00008C210000}"/>
    <cellStyle name="Note 3 2 3 5 3 2" xfId="42083" xr:uid="{A1032831-8E1A-4059-95D8-A77D75C38E30}"/>
    <cellStyle name="Note 3 2 3 5 3 3" xfId="33636" xr:uid="{3068B915-7312-4DDC-9865-8B98BA6AEE01}"/>
    <cellStyle name="Note 3 2 3 5 3 4" xfId="25188" xr:uid="{A42CD366-D431-44B1-B87E-F3CC8DD03F63}"/>
    <cellStyle name="Note 3 2 3 5 3 5" xfId="15891" xr:uid="{503612C3-EC62-465E-9765-857862FB8A4D}"/>
    <cellStyle name="Note 3 2 3 5 4" xfId="37866" xr:uid="{CC92DB94-4DDE-462A-8480-84D5A378C60A}"/>
    <cellStyle name="Note 3 2 3 5 5" xfId="29418" xr:uid="{4B4C7FA1-2336-4718-9378-F610AE3FF58B}"/>
    <cellStyle name="Note 3 2 3 5 6" xfId="20971" xr:uid="{8978E204-F5BD-4318-9D6C-779A99CF8262}"/>
    <cellStyle name="Note 3 2 3 5 7" xfId="11674" xr:uid="{50AFACCA-1A62-4955-8CEC-B831B1E88312}"/>
    <cellStyle name="Note 3 2 3 6" xfId="2695" xr:uid="{00000000-0005-0000-0000-00008D210000}"/>
    <cellStyle name="Note 3 2 3 6 2" xfId="6978" xr:uid="{00000000-0005-0000-0000-00008E210000}"/>
    <cellStyle name="Note 3 2 3 6 2 2" xfId="42496" xr:uid="{8E5F8877-9864-43AD-8FFD-899EDC6A230D}"/>
    <cellStyle name="Note 3 2 3 6 2 3" xfId="34049" xr:uid="{A11A2C09-6D37-45B3-B55E-66801752B944}"/>
    <cellStyle name="Note 3 2 3 6 2 4" xfId="25601" xr:uid="{D38A716E-EA63-4814-87B4-F93D90A590FD}"/>
    <cellStyle name="Note 3 2 3 6 2 5" xfId="16304" xr:uid="{00FA7B63-B38C-4E51-A391-90DCD9A59DEB}"/>
    <cellStyle name="Note 3 2 3 6 3" xfId="38279" xr:uid="{8B3ECEFC-6071-4CF8-8333-B9AAD2F2BA9B}"/>
    <cellStyle name="Note 3 2 3 6 4" xfId="29831" xr:uid="{4785B566-16F5-4FAE-8E8A-CB39D79BB247}"/>
    <cellStyle name="Note 3 2 3 6 5" xfId="21384" xr:uid="{8D1F49D2-D2C7-437C-BF86-4CD5BC5868A0}"/>
    <cellStyle name="Note 3 2 3 6 6" xfId="12087" xr:uid="{A2135547-7CE4-4287-B769-9858F06D03E4}"/>
    <cellStyle name="Note 3 2 3 7" xfId="2754" xr:uid="{00000000-0005-0000-0000-00008F210000}"/>
    <cellStyle name="Note 3 2 3 8" xfId="2835" xr:uid="{00000000-0005-0000-0000-000090210000}"/>
    <cellStyle name="Note 3 2 3 8 2" xfId="7058" xr:uid="{00000000-0005-0000-0000-000091210000}"/>
    <cellStyle name="Note 3 2 3 8 2 2" xfId="42576" xr:uid="{EA169911-D235-4D0F-96A4-1704A481EFC9}"/>
    <cellStyle name="Note 3 2 3 8 2 3" xfId="34129" xr:uid="{AEB04697-7D73-4650-BFBA-78BFC8A2CC8B}"/>
    <cellStyle name="Note 3 2 3 8 2 4" xfId="25681" xr:uid="{20ED40C2-2100-4D92-A5C4-C9CFF0AAE8BC}"/>
    <cellStyle name="Note 3 2 3 8 2 5" xfId="16384" xr:uid="{B3A327B2-7F52-4BD5-9074-BBF53963FD6E}"/>
    <cellStyle name="Note 3 2 3 8 3" xfId="38359" xr:uid="{D672C6CB-DE46-4451-8FC5-C9C1FE497EEF}"/>
    <cellStyle name="Note 3 2 3 8 4" xfId="29911" xr:uid="{EC0D0354-084C-4317-9D0C-8D17C0AE8275}"/>
    <cellStyle name="Note 3 2 3 8 5" xfId="21464" xr:uid="{D33C1774-C16E-4F12-AD45-54EA695BA96E}"/>
    <cellStyle name="Note 3 2 3 8 6" xfId="12167" xr:uid="{9D1E5E87-8449-4088-A0B1-7E02FE7848DC}"/>
    <cellStyle name="Note 3 2 3 9" xfId="4913" xr:uid="{00000000-0005-0000-0000-000092210000}"/>
    <cellStyle name="Note 3 2 3 9 2" xfId="40431" xr:uid="{D288FD31-168E-47C7-9E1C-27AAF8F07B44}"/>
    <cellStyle name="Note 3 2 3 9 3" xfId="31984" xr:uid="{A48BAA26-F094-40C1-B311-5D5FD50668A9}"/>
    <cellStyle name="Note 3 2 3 9 4" xfId="23536" xr:uid="{039240E0-D2B3-4CDD-B856-59AB2A8D1C65}"/>
    <cellStyle name="Note 3 2 3 9 5" xfId="14239" xr:uid="{0E1EF205-B84A-4F0F-BC7B-B69F90C1ED51}"/>
    <cellStyle name="Note 3 2 4" xfId="1014" xr:uid="{00000000-0005-0000-0000-000093210000}"/>
    <cellStyle name="Note 3 2 4 2" xfId="3246" xr:uid="{00000000-0005-0000-0000-000094210000}"/>
    <cellStyle name="Note 3 2 4 2 2" xfId="7468" xr:uid="{00000000-0005-0000-0000-000095210000}"/>
    <cellStyle name="Note 3 2 4 2 2 2" xfId="42986" xr:uid="{91698203-D0FA-4758-A2C6-6CBFE3542DAA}"/>
    <cellStyle name="Note 3 2 4 2 2 3" xfId="34539" xr:uid="{1FBF209C-E409-4000-9D05-027477839CD9}"/>
    <cellStyle name="Note 3 2 4 2 2 4" xfId="26091" xr:uid="{44BF43AE-DDB5-4E76-95F8-D2350DD27A85}"/>
    <cellStyle name="Note 3 2 4 2 2 5" xfId="16794" xr:uid="{73248E24-A0E8-464B-A8AE-4CC095D32B96}"/>
    <cellStyle name="Note 3 2 4 2 3" xfId="38769" xr:uid="{5A0B64EB-74F0-4761-B4AC-815C02659E2D}"/>
    <cellStyle name="Note 3 2 4 2 4" xfId="30321" xr:uid="{0E587CDB-B830-4AFD-BB7D-0722E7A4920A}"/>
    <cellStyle name="Note 3 2 4 2 5" xfId="21874" xr:uid="{2328F589-45C3-4F4E-8848-1656C71D953C}"/>
    <cellStyle name="Note 3 2 4 2 6" xfId="12577" xr:uid="{EC051143-A6B9-481A-93CB-83FC3D184AA8}"/>
    <cellStyle name="Note 3 2 4 3" xfId="5323" xr:uid="{00000000-0005-0000-0000-000096210000}"/>
    <cellStyle name="Note 3 2 4 3 2" xfId="40841" xr:uid="{AB2F2732-4699-40E5-901C-F81AE308B8FC}"/>
    <cellStyle name="Note 3 2 4 3 3" xfId="32394" xr:uid="{37614421-4964-4128-99BA-E99A1E77DF04}"/>
    <cellStyle name="Note 3 2 4 3 4" xfId="23946" xr:uid="{26A5DA85-14CE-4E7C-8588-152FD6C9B2CB}"/>
    <cellStyle name="Note 3 2 4 3 5" xfId="14649" xr:uid="{972F563B-0D4D-4CF4-9C43-C989631D48D5}"/>
    <cellStyle name="Note 3 2 4 4" xfId="9267" xr:uid="{1291CED5-E18E-4F1A-8856-A132B18F5C81}"/>
    <cellStyle name="Note 3 2 4 4 2" xfId="36624" xr:uid="{5A7AC004-6793-4CF0-927A-6EBA463FA54F}"/>
    <cellStyle name="Note 3 2 4 4 3" xfId="18580" xr:uid="{2E4755F0-A07A-4479-A93D-8A64715C5057}"/>
    <cellStyle name="Note 3 2 4 5" xfId="28176" xr:uid="{21F77202-7063-49C5-B54F-51F6CDD5B691}"/>
    <cellStyle name="Note 3 2 4 6" xfId="19729" xr:uid="{518E5443-D886-47AF-844E-A9097CB25C72}"/>
    <cellStyle name="Note 3 2 4 7" xfId="10432" xr:uid="{B053986B-EFA7-4933-8D06-69BBD06C2C20}"/>
    <cellStyle name="Note 3 2 5" xfId="1429" xr:uid="{00000000-0005-0000-0000-000097210000}"/>
    <cellStyle name="Note 3 2 5 2" xfId="3659" xr:uid="{00000000-0005-0000-0000-000098210000}"/>
    <cellStyle name="Note 3 2 5 2 2" xfId="7881" xr:uid="{00000000-0005-0000-0000-000099210000}"/>
    <cellStyle name="Note 3 2 5 2 2 2" xfId="43399" xr:uid="{CE5CC186-FD4C-4DB5-AA5E-91B2C718576F}"/>
    <cellStyle name="Note 3 2 5 2 2 3" xfId="34952" xr:uid="{53840CD9-9590-4AA9-B3D7-5DEAAF2E6B32}"/>
    <cellStyle name="Note 3 2 5 2 2 4" xfId="26504" xr:uid="{027766F0-7D92-4933-A7D4-C39902C18D26}"/>
    <cellStyle name="Note 3 2 5 2 2 5" xfId="17207" xr:uid="{54D7CA77-2E82-49FE-82E7-51285A7B4F10}"/>
    <cellStyle name="Note 3 2 5 2 3" xfId="39182" xr:uid="{C6ACE98E-DB56-4857-ACE5-365F36819BC0}"/>
    <cellStyle name="Note 3 2 5 2 4" xfId="30734" xr:uid="{CB384819-1E3D-4266-BFA5-1D645CC60A6B}"/>
    <cellStyle name="Note 3 2 5 2 5" xfId="22287" xr:uid="{A298CDB1-0CA0-4B25-BFAA-F609A463FDDC}"/>
    <cellStyle name="Note 3 2 5 2 6" xfId="12990" xr:uid="{CFF379B6-2934-47C7-AFE9-61E54B08B735}"/>
    <cellStyle name="Note 3 2 5 3" xfId="5736" xr:uid="{00000000-0005-0000-0000-00009A210000}"/>
    <cellStyle name="Note 3 2 5 3 2" xfId="41254" xr:uid="{FF1C2C02-2117-4B7D-BAC2-FC988826D28B}"/>
    <cellStyle name="Note 3 2 5 3 3" xfId="32807" xr:uid="{53012A1D-CF30-43AA-8AA3-8CC4A904C90B}"/>
    <cellStyle name="Note 3 2 5 3 4" xfId="24359" xr:uid="{42DEE78B-2652-4556-9E52-9D3BF18FE422}"/>
    <cellStyle name="Note 3 2 5 3 5" xfId="15062" xr:uid="{5C31B1E0-7AAA-4DE7-AAD6-08271E739D88}"/>
    <cellStyle name="Note 3 2 5 4" xfId="37037" xr:uid="{AC448A5F-9955-42AB-8EF8-60D52222A772}"/>
    <cellStyle name="Note 3 2 5 5" xfId="28589" xr:uid="{37E2B521-023A-4B9C-A5CF-8B91710507D3}"/>
    <cellStyle name="Note 3 2 5 6" xfId="20142" xr:uid="{6D46068A-CA87-4936-A778-EE0A1DA91290}"/>
    <cellStyle name="Note 3 2 5 7" xfId="10845" xr:uid="{3867DCA4-7A13-452F-A8C3-8CC961BA2723}"/>
    <cellStyle name="Note 3 2 6" xfId="1843" xr:uid="{00000000-0005-0000-0000-00009B210000}"/>
    <cellStyle name="Note 3 2 6 2" xfId="4072" xr:uid="{00000000-0005-0000-0000-00009C210000}"/>
    <cellStyle name="Note 3 2 6 2 2" xfId="8294" xr:uid="{00000000-0005-0000-0000-00009D210000}"/>
    <cellStyle name="Note 3 2 6 2 2 2" xfId="43812" xr:uid="{DEC50D0C-6D93-4EA5-B7FF-FB4834F3D1A7}"/>
    <cellStyle name="Note 3 2 6 2 2 3" xfId="35365" xr:uid="{A6660E17-5265-4B7E-BC72-DE3F6443CABC}"/>
    <cellStyle name="Note 3 2 6 2 2 4" xfId="26917" xr:uid="{623490A0-590A-4B82-86BC-8F71D71F4511}"/>
    <cellStyle name="Note 3 2 6 2 2 5" xfId="17620" xr:uid="{105B9CCF-EC4D-450C-BFCF-DC3A947F4B68}"/>
    <cellStyle name="Note 3 2 6 2 3" xfId="39595" xr:uid="{17998EE4-9E6F-4F2C-A3E8-77F39E2DBF4A}"/>
    <cellStyle name="Note 3 2 6 2 4" xfId="31147" xr:uid="{A6538EA2-0A73-4429-8B25-DD1BBDB3DA11}"/>
    <cellStyle name="Note 3 2 6 2 5" xfId="22700" xr:uid="{36371192-F088-4167-873A-5CEE85F4A66D}"/>
    <cellStyle name="Note 3 2 6 2 6" xfId="13403" xr:uid="{7FD34278-7FA2-4BEF-BE41-C7F0638907FF}"/>
    <cellStyle name="Note 3 2 6 3" xfId="6149" xr:uid="{00000000-0005-0000-0000-00009E210000}"/>
    <cellStyle name="Note 3 2 6 3 2" xfId="41667" xr:uid="{2B0868CE-E419-43EC-8F2E-3A1BE3C7FE16}"/>
    <cellStyle name="Note 3 2 6 3 3" xfId="33220" xr:uid="{E85E8DE8-E28A-4A31-84D8-7E86E4D8ED87}"/>
    <cellStyle name="Note 3 2 6 3 4" xfId="24772" xr:uid="{873F6409-491E-4444-B5AC-E3C403D0BAC0}"/>
    <cellStyle name="Note 3 2 6 3 5" xfId="15475" xr:uid="{37C4CA1B-BEAE-4420-9000-0D4BCCE56ADB}"/>
    <cellStyle name="Note 3 2 6 4" xfId="37450" xr:uid="{7766F275-E987-4BEA-80E6-4975D166129D}"/>
    <cellStyle name="Note 3 2 6 5" xfId="29002" xr:uid="{BF3CFF3F-E5F9-47F9-ACA6-7A045DCFF463}"/>
    <cellStyle name="Note 3 2 6 6" xfId="20555" xr:uid="{CA4476F0-FBFC-44A9-B87A-D973EDA8BA98}"/>
    <cellStyle name="Note 3 2 6 7" xfId="11258" xr:uid="{64F9E661-EB53-46B1-94D2-ED7832C64292}"/>
    <cellStyle name="Note 3 2 7" xfId="2256" xr:uid="{00000000-0005-0000-0000-00009F210000}"/>
    <cellStyle name="Note 3 2 7 2" xfId="4485" xr:uid="{00000000-0005-0000-0000-0000A0210000}"/>
    <cellStyle name="Note 3 2 7 2 2" xfId="8707" xr:uid="{00000000-0005-0000-0000-0000A1210000}"/>
    <cellStyle name="Note 3 2 7 2 2 2" xfId="44225" xr:uid="{E9C5F762-56EF-43D8-8183-23348A9E8198}"/>
    <cellStyle name="Note 3 2 7 2 2 3" xfId="35778" xr:uid="{8EC4B463-7E46-4847-8C1B-8DB60581B7EB}"/>
    <cellStyle name="Note 3 2 7 2 2 4" xfId="27330" xr:uid="{25BF5F7D-0D96-4A64-86CC-90B3211AC4E9}"/>
    <cellStyle name="Note 3 2 7 2 2 5" xfId="18033" xr:uid="{42162B3E-78FE-439F-9B70-CE2AAA3493A4}"/>
    <cellStyle name="Note 3 2 7 2 3" xfId="40008" xr:uid="{144C2B44-6CE0-45C6-B57C-513AC9E8E262}"/>
    <cellStyle name="Note 3 2 7 2 4" xfId="31560" xr:uid="{3F30480B-9DCE-4B99-89CA-D0F4DCBD7E10}"/>
    <cellStyle name="Note 3 2 7 2 5" xfId="23113" xr:uid="{279A6EC5-C00A-40BF-8C5D-F9C7A358F1E3}"/>
    <cellStyle name="Note 3 2 7 2 6" xfId="13816" xr:uid="{A0541188-ED9C-41D4-9CB8-1381DA7D9211}"/>
    <cellStyle name="Note 3 2 7 3" xfId="6562" xr:uid="{00000000-0005-0000-0000-0000A2210000}"/>
    <cellStyle name="Note 3 2 7 3 2" xfId="42080" xr:uid="{966609B9-5495-4849-A8BE-D52A065A208A}"/>
    <cellStyle name="Note 3 2 7 3 3" xfId="33633" xr:uid="{6354690F-2CC4-4570-8158-ED5DF721A102}"/>
    <cellStyle name="Note 3 2 7 3 4" xfId="25185" xr:uid="{9398779C-4836-4D73-B7D3-756093AFD678}"/>
    <cellStyle name="Note 3 2 7 3 5" xfId="15888" xr:uid="{EDA48EE9-3F39-4071-BD6A-57A2F79F1455}"/>
    <cellStyle name="Note 3 2 7 4" xfId="37863" xr:uid="{7E4DA6D4-1959-44F6-B8B7-57DE296AA295}"/>
    <cellStyle name="Note 3 2 7 5" xfId="29415" xr:uid="{F20754E6-4593-40E9-8CCD-D23D59CCAFDD}"/>
    <cellStyle name="Note 3 2 7 6" xfId="20968" xr:uid="{119C5C5C-3F33-46D8-A8FB-6EA0C59FA593}"/>
    <cellStyle name="Note 3 2 7 7" xfId="11671" xr:uid="{6F6699EB-883A-4E85-94DA-5B494E1B2CBA}"/>
    <cellStyle name="Note 3 2 8" xfId="2692" xr:uid="{00000000-0005-0000-0000-0000A3210000}"/>
    <cellStyle name="Note 3 2 8 2" xfId="6975" xr:uid="{00000000-0005-0000-0000-0000A4210000}"/>
    <cellStyle name="Note 3 2 8 2 2" xfId="42493" xr:uid="{EA93538B-B3E7-4C1F-A29F-96AE920DBB2F}"/>
    <cellStyle name="Note 3 2 8 2 3" xfId="34046" xr:uid="{93890AB9-FC2E-459C-9734-D971BC87775F}"/>
    <cellStyle name="Note 3 2 8 2 4" xfId="25598" xr:uid="{B0598AD0-0D7C-4324-BE24-54A323520BF0}"/>
    <cellStyle name="Note 3 2 8 2 5" xfId="16301" xr:uid="{89DC335A-3F85-4853-B439-B053BA790150}"/>
    <cellStyle name="Note 3 2 8 3" xfId="38276" xr:uid="{12892747-76A6-4F3A-AC6B-59DB2971BD6C}"/>
    <cellStyle name="Note 3 2 8 4" xfId="29828" xr:uid="{CAD76397-BC52-4CFC-84DB-DAD355A32974}"/>
    <cellStyle name="Note 3 2 8 5" xfId="21381" xr:uid="{C4CF03CE-0CDD-4F44-BC14-8B46616362E8}"/>
    <cellStyle name="Note 3 2 8 6" xfId="12084" xr:uid="{2391E1BA-9269-4941-B88B-A114C24768A7}"/>
    <cellStyle name="Note 3 2 9" xfId="2751" xr:uid="{00000000-0005-0000-0000-0000A5210000}"/>
    <cellStyle name="Note 3 3" xfId="558" xr:uid="{00000000-0005-0000-0000-0000A6210000}"/>
    <cellStyle name="Note 3 3 10" xfId="4914" xr:uid="{00000000-0005-0000-0000-0000A7210000}"/>
    <cellStyle name="Note 3 3 10 2" xfId="40432" xr:uid="{9DF387F2-E8A6-4BC2-9782-D03A69DC32BE}"/>
    <cellStyle name="Note 3 3 10 3" xfId="31985" xr:uid="{319A1373-DD03-4455-84BE-DFC53359220B}"/>
    <cellStyle name="Note 3 3 10 4" xfId="23537" xr:uid="{89782AFC-041B-47F4-B847-6AF47FB7EDE4}"/>
    <cellStyle name="Note 3 3 10 5" xfId="14240" xr:uid="{70D28E41-1209-4279-B2A7-1B57653FEA74}"/>
    <cellStyle name="Note 3 3 11" xfId="8892" xr:uid="{8511F94A-7472-4DD0-A9AB-40754FEE5F47}"/>
    <cellStyle name="Note 3 3 11 2" xfId="36215" xr:uid="{A45F6724-DFFA-4577-ACD9-FBB30738E04A}"/>
    <cellStyle name="Note 3 3 11 3" xfId="18215" xr:uid="{E83B2256-E59A-435A-AA0E-6F249C840129}"/>
    <cellStyle name="Note 3 3 12" xfId="27767" xr:uid="{B3C71703-8851-4E92-A333-92A10B514070}"/>
    <cellStyle name="Note 3 3 13" xfId="19320" xr:uid="{FFFA73E0-B502-4154-957A-1B1467C0C133}"/>
    <cellStyle name="Note 3 3 14" xfId="10023" xr:uid="{AD7C8858-1A59-448B-9017-4F2C50A32DD3}"/>
    <cellStyle name="Note 3 3 2" xfId="559" xr:uid="{00000000-0005-0000-0000-0000A8210000}"/>
    <cellStyle name="Note 3 3 2 10" xfId="9099" xr:uid="{29F3AC20-D296-4B59-BA53-0A5C025B0569}"/>
    <cellStyle name="Note 3 3 2 10 2" xfId="36216" xr:uid="{F7F0A266-3F59-4FD3-9E9D-15D26D6C8119}"/>
    <cellStyle name="Note 3 3 2 10 3" xfId="18422" xr:uid="{396302C4-13A8-47B3-99BF-04CAAC7C0622}"/>
    <cellStyle name="Note 3 3 2 11" xfId="27768" xr:uid="{16590E28-2CFC-47F9-B84F-C0074D82BDAB}"/>
    <cellStyle name="Note 3 3 2 12" xfId="19321" xr:uid="{E8F5F1B6-150B-417E-A13D-27825257F4F0}"/>
    <cellStyle name="Note 3 3 2 13" xfId="10024" xr:uid="{468BE7D6-87C5-4465-B25E-08E291F76B31}"/>
    <cellStyle name="Note 3 3 2 2" xfId="1019" xr:uid="{00000000-0005-0000-0000-0000A9210000}"/>
    <cellStyle name="Note 3 3 2 2 2" xfId="3251" xr:uid="{00000000-0005-0000-0000-0000AA210000}"/>
    <cellStyle name="Note 3 3 2 2 2 2" xfId="7473" xr:uid="{00000000-0005-0000-0000-0000AB210000}"/>
    <cellStyle name="Note 3 3 2 2 2 2 2" xfId="42991" xr:uid="{64D32ED2-6D32-45E9-A183-1A42CDC03E1D}"/>
    <cellStyle name="Note 3 3 2 2 2 2 3" xfId="34544" xr:uid="{C6B3878E-8702-4D41-9F66-CF9DB5805714}"/>
    <cellStyle name="Note 3 3 2 2 2 2 4" xfId="26096" xr:uid="{30475832-DF22-446C-BF71-E0D9314237CD}"/>
    <cellStyle name="Note 3 3 2 2 2 2 5" xfId="16799" xr:uid="{483C2384-72C3-4B8F-BAD1-357D0003656A}"/>
    <cellStyle name="Note 3 3 2 2 2 3" xfId="38774" xr:uid="{4A4DA956-B9C6-4539-BFDB-20C3175A5EBA}"/>
    <cellStyle name="Note 3 3 2 2 2 4" xfId="30326" xr:uid="{9F7D08B4-B2F1-425D-B5AF-F64C9C31A35E}"/>
    <cellStyle name="Note 3 3 2 2 2 5" xfId="21879" xr:uid="{9B327D11-22C6-49CC-B5D4-6DBDD5A9D52A}"/>
    <cellStyle name="Note 3 3 2 2 2 6" xfId="12582" xr:uid="{CD71F02D-F537-4DE4-87F7-2A4A8B9D5096}"/>
    <cellStyle name="Note 3 3 2 2 3" xfId="5328" xr:uid="{00000000-0005-0000-0000-0000AC210000}"/>
    <cellStyle name="Note 3 3 2 2 3 2" xfId="40846" xr:uid="{6180093D-B59F-4245-ACD5-4DD24ACDAFCF}"/>
    <cellStyle name="Note 3 3 2 2 3 3" xfId="32399" xr:uid="{F7E955E5-CB95-4F4A-97E2-BBAF69B8EF42}"/>
    <cellStyle name="Note 3 3 2 2 3 4" xfId="23951" xr:uid="{8CB4F856-A4FE-4040-90A4-0B9A750F8D16}"/>
    <cellStyle name="Note 3 3 2 2 3 5" xfId="14654" xr:uid="{9C6B1B64-27F4-4FB7-9CA7-66AA663FD165}"/>
    <cellStyle name="Note 3 3 2 2 4" xfId="9524" xr:uid="{D03F5DE7-D9AB-48C0-A1E3-0A929D2C18C5}"/>
    <cellStyle name="Note 3 3 2 2 4 2" xfId="36629" xr:uid="{54B0376C-496C-4620-BF4D-784382305F52}"/>
    <cellStyle name="Note 3 3 2 2 4 3" xfId="18837" xr:uid="{0E208A9D-B198-40B1-88E7-734D9879CC2C}"/>
    <cellStyle name="Note 3 3 2 2 5" xfId="28181" xr:uid="{1CF2D3B0-9839-4DA1-B500-A792FB232031}"/>
    <cellStyle name="Note 3 3 2 2 6" xfId="19734" xr:uid="{CE1C041A-A45E-42FB-B715-CE1FEB86AC49}"/>
    <cellStyle name="Note 3 3 2 2 7" xfId="10437" xr:uid="{C03E015A-3A0F-4FD7-B623-D9415B08EFC7}"/>
    <cellStyle name="Note 3 3 2 3" xfId="1434" xr:uid="{00000000-0005-0000-0000-0000AD210000}"/>
    <cellStyle name="Note 3 3 2 3 2" xfId="3664" xr:uid="{00000000-0005-0000-0000-0000AE210000}"/>
    <cellStyle name="Note 3 3 2 3 2 2" xfId="7886" xr:uid="{00000000-0005-0000-0000-0000AF210000}"/>
    <cellStyle name="Note 3 3 2 3 2 2 2" xfId="43404" xr:uid="{9A2CC049-8A2B-4944-B916-C88F40C3B791}"/>
    <cellStyle name="Note 3 3 2 3 2 2 3" xfId="34957" xr:uid="{69D2BF80-5668-4E7F-9E48-9851B342270D}"/>
    <cellStyle name="Note 3 3 2 3 2 2 4" xfId="26509" xr:uid="{E776A66E-8A22-4B8E-AD23-1D8083B9F881}"/>
    <cellStyle name="Note 3 3 2 3 2 2 5" xfId="17212" xr:uid="{A72AB232-260E-4D9D-A8E4-A90981944982}"/>
    <cellStyle name="Note 3 3 2 3 2 3" xfId="39187" xr:uid="{1738384C-312E-4CC4-BD3E-4F3333A6EA86}"/>
    <cellStyle name="Note 3 3 2 3 2 4" xfId="30739" xr:uid="{403D9280-161E-4ACD-A1E2-E604578FD3AD}"/>
    <cellStyle name="Note 3 3 2 3 2 5" xfId="22292" xr:uid="{E219F0C2-5C76-43DB-8C46-6F6E60531F48}"/>
    <cellStyle name="Note 3 3 2 3 2 6" xfId="12995" xr:uid="{F0BBF3CF-B57B-4EAE-A9D4-D4556EBB9B43}"/>
    <cellStyle name="Note 3 3 2 3 3" xfId="5741" xr:uid="{00000000-0005-0000-0000-0000B0210000}"/>
    <cellStyle name="Note 3 3 2 3 3 2" xfId="41259" xr:uid="{6E698112-1E2A-4E99-BED3-AA2D177C77FD}"/>
    <cellStyle name="Note 3 3 2 3 3 3" xfId="32812" xr:uid="{8013050E-9AA6-4C02-9BC1-5285C1667501}"/>
    <cellStyle name="Note 3 3 2 3 3 4" xfId="24364" xr:uid="{037E03E1-05F6-4B92-A5FD-981C7FEBDFAA}"/>
    <cellStyle name="Note 3 3 2 3 3 5" xfId="15067" xr:uid="{8A28D4CB-A457-490B-9086-F2BFB001AA53}"/>
    <cellStyle name="Note 3 3 2 3 4" xfId="37042" xr:uid="{FA8F5E6B-051A-4E7E-BECF-3491C3AF8B26}"/>
    <cellStyle name="Note 3 3 2 3 5" xfId="28594" xr:uid="{4322D308-B09A-43D6-AF51-2917CCE34569}"/>
    <cellStyle name="Note 3 3 2 3 6" xfId="20147" xr:uid="{837C98B1-2467-456E-8FBC-937B39C0AB2E}"/>
    <cellStyle name="Note 3 3 2 3 7" xfId="10850" xr:uid="{FFE7C7FA-5828-4B94-AC63-A0D6EB3E063C}"/>
    <cellStyle name="Note 3 3 2 4" xfId="1848" xr:uid="{00000000-0005-0000-0000-0000B1210000}"/>
    <cellStyle name="Note 3 3 2 4 2" xfId="4077" xr:uid="{00000000-0005-0000-0000-0000B2210000}"/>
    <cellStyle name="Note 3 3 2 4 2 2" xfId="8299" xr:uid="{00000000-0005-0000-0000-0000B3210000}"/>
    <cellStyle name="Note 3 3 2 4 2 2 2" xfId="43817" xr:uid="{C177CA8F-D86F-4D9D-A49E-3C6948669D24}"/>
    <cellStyle name="Note 3 3 2 4 2 2 3" xfId="35370" xr:uid="{B12DB800-F1E0-430D-8DA4-94F626DA06E8}"/>
    <cellStyle name="Note 3 3 2 4 2 2 4" xfId="26922" xr:uid="{D6C969B3-9230-4DC5-B611-9A486D94CD2C}"/>
    <cellStyle name="Note 3 3 2 4 2 2 5" xfId="17625" xr:uid="{19D4D5BC-47DE-4169-B0AC-C5DD23D474BA}"/>
    <cellStyle name="Note 3 3 2 4 2 3" xfId="39600" xr:uid="{73C59309-9443-4137-AD25-E662F6781A43}"/>
    <cellStyle name="Note 3 3 2 4 2 4" xfId="31152" xr:uid="{F369F1B1-CB71-4ABA-9298-F8F719EAD735}"/>
    <cellStyle name="Note 3 3 2 4 2 5" xfId="22705" xr:uid="{1A1E0D2F-1C2D-466F-97FC-1F52F8767B43}"/>
    <cellStyle name="Note 3 3 2 4 2 6" xfId="13408" xr:uid="{BAAFB42D-A3DC-4A7A-9D00-0B4189A2D015}"/>
    <cellStyle name="Note 3 3 2 4 3" xfId="6154" xr:uid="{00000000-0005-0000-0000-0000B4210000}"/>
    <cellStyle name="Note 3 3 2 4 3 2" xfId="41672" xr:uid="{887CD906-0C24-42E7-9BF4-211A4BBA788B}"/>
    <cellStyle name="Note 3 3 2 4 3 3" xfId="33225" xr:uid="{158A88F4-0308-4712-AC13-84B88D1CFD87}"/>
    <cellStyle name="Note 3 3 2 4 3 4" xfId="24777" xr:uid="{65818856-E1E3-45F7-9C7D-D52AAF1A8C7A}"/>
    <cellStyle name="Note 3 3 2 4 3 5" xfId="15480" xr:uid="{709E9955-D186-42BF-A5D0-BBFAA1BB4743}"/>
    <cellStyle name="Note 3 3 2 4 4" xfId="37455" xr:uid="{5BAA06D0-2D89-4C04-8E17-3E2D5A6EF197}"/>
    <cellStyle name="Note 3 3 2 4 5" xfId="29007" xr:uid="{6D1CCA7C-682E-4D5B-9FA9-BBFA035DA299}"/>
    <cellStyle name="Note 3 3 2 4 6" xfId="20560" xr:uid="{FC1EAE8B-7EE4-4895-B317-87F0428201B2}"/>
    <cellStyle name="Note 3 3 2 4 7" xfId="11263" xr:uid="{077B2845-4410-4501-83CF-BF5E6A4A6783}"/>
    <cellStyle name="Note 3 3 2 5" xfId="2261" xr:uid="{00000000-0005-0000-0000-0000B5210000}"/>
    <cellStyle name="Note 3 3 2 5 2" xfId="4490" xr:uid="{00000000-0005-0000-0000-0000B6210000}"/>
    <cellStyle name="Note 3 3 2 5 2 2" xfId="8712" xr:uid="{00000000-0005-0000-0000-0000B7210000}"/>
    <cellStyle name="Note 3 3 2 5 2 2 2" xfId="44230" xr:uid="{6D07CB01-6E56-4662-85CC-F1C9CF3E33AC}"/>
    <cellStyle name="Note 3 3 2 5 2 2 3" xfId="35783" xr:uid="{9E359AC7-9E2D-4977-A959-83F32465C3E7}"/>
    <cellStyle name="Note 3 3 2 5 2 2 4" xfId="27335" xr:uid="{DA3452E8-CF5E-4C77-A8CE-FBB61EEACF35}"/>
    <cellStyle name="Note 3 3 2 5 2 2 5" xfId="18038" xr:uid="{61C640A9-78A6-4DBE-822D-F56AA337812B}"/>
    <cellStyle name="Note 3 3 2 5 2 3" xfId="40013" xr:uid="{CEFE738A-DF99-4EE3-A5A8-3677D1914F8D}"/>
    <cellStyle name="Note 3 3 2 5 2 4" xfId="31565" xr:uid="{2C33E510-7F94-4759-A2A1-FF472B8A8C5B}"/>
    <cellStyle name="Note 3 3 2 5 2 5" xfId="23118" xr:uid="{957A2DA6-E40D-4F33-B421-1ABA3E6FC442}"/>
    <cellStyle name="Note 3 3 2 5 2 6" xfId="13821" xr:uid="{D4D8D33A-E5E9-4B54-BD8B-E23F9C8AD65C}"/>
    <cellStyle name="Note 3 3 2 5 3" xfId="6567" xr:uid="{00000000-0005-0000-0000-0000B8210000}"/>
    <cellStyle name="Note 3 3 2 5 3 2" xfId="42085" xr:uid="{1D7DAE57-67B7-4BFF-A354-6E340B1739B7}"/>
    <cellStyle name="Note 3 3 2 5 3 3" xfId="33638" xr:uid="{B6DB5C1C-41E4-4C71-979F-D4BC91DFD66C}"/>
    <cellStyle name="Note 3 3 2 5 3 4" xfId="25190" xr:uid="{2B178AA7-D8CB-4528-813D-7CC15D397AB6}"/>
    <cellStyle name="Note 3 3 2 5 3 5" xfId="15893" xr:uid="{E9D76123-311C-4992-9645-EF4B27C88D8D}"/>
    <cellStyle name="Note 3 3 2 5 4" xfId="37868" xr:uid="{0C60B84A-F8B2-4012-A35B-F214334A28D9}"/>
    <cellStyle name="Note 3 3 2 5 5" xfId="29420" xr:uid="{9ACF264B-18BA-4D86-BE5C-D9DF48B06DB5}"/>
    <cellStyle name="Note 3 3 2 5 6" xfId="20973" xr:uid="{81FD3A2C-B6FE-4346-86F9-0344A176CF9E}"/>
    <cellStyle name="Note 3 3 2 5 7" xfId="11676" xr:uid="{1AE4AFBC-57C0-4EFB-85E3-4DCF33B047E1}"/>
    <cellStyle name="Note 3 3 2 6" xfId="2697" xr:uid="{00000000-0005-0000-0000-0000B9210000}"/>
    <cellStyle name="Note 3 3 2 6 2" xfId="6980" xr:uid="{00000000-0005-0000-0000-0000BA210000}"/>
    <cellStyle name="Note 3 3 2 6 2 2" xfId="42498" xr:uid="{8D6DB5E5-B159-43ED-8B1E-0A7264D25200}"/>
    <cellStyle name="Note 3 3 2 6 2 3" xfId="34051" xr:uid="{E5351220-4B76-4B01-B23C-F964969EE2CF}"/>
    <cellStyle name="Note 3 3 2 6 2 4" xfId="25603" xr:uid="{9BA3AFE4-0B74-483E-9F98-A992C19E04DE}"/>
    <cellStyle name="Note 3 3 2 6 2 5" xfId="16306" xr:uid="{25F32377-2621-484C-8F43-D74C128B9705}"/>
    <cellStyle name="Note 3 3 2 6 3" xfId="38281" xr:uid="{E9CF66E1-4524-4E47-95FC-BA2615890C27}"/>
    <cellStyle name="Note 3 3 2 6 4" xfId="29833" xr:uid="{BC0C3622-9B88-4874-837C-75B49682ED5C}"/>
    <cellStyle name="Note 3 3 2 6 5" xfId="21386" xr:uid="{988711E4-685B-41E5-876B-E439C6E820B3}"/>
    <cellStyle name="Note 3 3 2 6 6" xfId="12089" xr:uid="{C3A49791-3D9F-4544-A012-49B1CE7806F3}"/>
    <cellStyle name="Note 3 3 2 7" xfId="2756" xr:uid="{00000000-0005-0000-0000-0000BB210000}"/>
    <cellStyle name="Note 3 3 2 8" xfId="2837" xr:uid="{00000000-0005-0000-0000-0000BC210000}"/>
    <cellStyle name="Note 3 3 2 8 2" xfId="7060" xr:uid="{00000000-0005-0000-0000-0000BD210000}"/>
    <cellStyle name="Note 3 3 2 8 2 2" xfId="42578" xr:uid="{7BF22098-C901-4779-B3F4-FB1C92B9F4C3}"/>
    <cellStyle name="Note 3 3 2 8 2 3" xfId="34131" xr:uid="{9FAB7EB6-A653-4493-9A6A-245FC11BE46B}"/>
    <cellStyle name="Note 3 3 2 8 2 4" xfId="25683" xr:uid="{D2C4251C-553B-4F12-9A13-030E02F114C6}"/>
    <cellStyle name="Note 3 3 2 8 2 5" xfId="16386" xr:uid="{98F47967-E4EA-4A62-8FD5-112A7685FEAC}"/>
    <cellStyle name="Note 3 3 2 8 3" xfId="38361" xr:uid="{83D73919-F2FC-43CD-A4CA-8DE676B0CD83}"/>
    <cellStyle name="Note 3 3 2 8 4" xfId="29913" xr:uid="{13F68D75-C2BC-4993-83B2-DB4A978A9843}"/>
    <cellStyle name="Note 3 3 2 8 5" xfId="21466" xr:uid="{702CC58E-C5E8-433D-A567-E0041232C9F5}"/>
    <cellStyle name="Note 3 3 2 8 6" xfId="12169" xr:uid="{CE1FF503-4A72-4988-89B5-77A0B8BA2C52}"/>
    <cellStyle name="Note 3 3 2 9" xfId="4915" xr:uid="{00000000-0005-0000-0000-0000BE210000}"/>
    <cellStyle name="Note 3 3 2 9 2" xfId="40433" xr:uid="{3B4C590A-8E18-4D1B-B018-8DB7C67F0907}"/>
    <cellStyle name="Note 3 3 2 9 3" xfId="31986" xr:uid="{742CEDBD-983A-47A7-B566-004E686C4C1A}"/>
    <cellStyle name="Note 3 3 2 9 4" xfId="23538" xr:uid="{E22CA3C8-1D4B-457A-BD9F-20B22389904C}"/>
    <cellStyle name="Note 3 3 2 9 5" xfId="14241" xr:uid="{FE47C160-130E-4CFD-9995-8DA3AD1192C1}"/>
    <cellStyle name="Note 3 3 3" xfId="1018" xr:uid="{00000000-0005-0000-0000-0000BF210000}"/>
    <cellStyle name="Note 3 3 3 2" xfId="3250" xr:uid="{00000000-0005-0000-0000-0000C0210000}"/>
    <cellStyle name="Note 3 3 3 2 2" xfId="7472" xr:uid="{00000000-0005-0000-0000-0000C1210000}"/>
    <cellStyle name="Note 3 3 3 2 2 2" xfId="42990" xr:uid="{25B76AA0-6CCD-4405-807B-F7BC55100491}"/>
    <cellStyle name="Note 3 3 3 2 2 3" xfId="34543" xr:uid="{3C02DD86-933B-4D4A-BCF4-ADD29E920A69}"/>
    <cellStyle name="Note 3 3 3 2 2 4" xfId="26095" xr:uid="{7C7CB6D6-264E-4550-BCE4-715D2F0DCED7}"/>
    <cellStyle name="Note 3 3 3 2 2 5" xfId="16798" xr:uid="{645630F4-A85C-454E-80AE-AE5D99DAC02D}"/>
    <cellStyle name="Note 3 3 3 2 3" xfId="38773" xr:uid="{A58EC48B-6F7F-4A7B-AF51-0FB327EB273C}"/>
    <cellStyle name="Note 3 3 3 2 4" xfId="30325" xr:uid="{C56F6AD0-5C0A-4399-A4BF-630EF0A3E04F}"/>
    <cellStyle name="Note 3 3 3 2 5" xfId="21878" xr:uid="{686E211B-CDA6-4EEB-9D6A-252F3470FC74}"/>
    <cellStyle name="Note 3 3 3 2 6" xfId="12581" xr:uid="{8E8F21F1-1A2D-4B2D-9FFA-2603A57E1D12}"/>
    <cellStyle name="Note 3 3 3 3" xfId="5327" xr:uid="{00000000-0005-0000-0000-0000C2210000}"/>
    <cellStyle name="Note 3 3 3 3 2" xfId="40845" xr:uid="{C972DEB7-1FA8-4E4C-B1EC-8C6728657629}"/>
    <cellStyle name="Note 3 3 3 3 3" xfId="32398" xr:uid="{B2ECEAEE-099A-449B-883B-B0F4F18FC8E6}"/>
    <cellStyle name="Note 3 3 3 3 4" xfId="23950" xr:uid="{B21C5EA9-A61A-4D33-9622-C468A88FEA46}"/>
    <cellStyle name="Note 3 3 3 3 5" xfId="14653" xr:uid="{F7A01B84-442A-4524-B01B-579F620080BB}"/>
    <cellStyle name="Note 3 3 3 4" xfId="9317" xr:uid="{171D8024-554D-4F15-BFD3-81CBE1A601EA}"/>
    <cellStyle name="Note 3 3 3 4 2" xfId="36628" xr:uid="{916494DF-6475-489A-BD1D-514B54C085E8}"/>
    <cellStyle name="Note 3 3 3 4 3" xfId="18630" xr:uid="{DA91DBDF-7010-4EF6-98C4-23E4E856F792}"/>
    <cellStyle name="Note 3 3 3 5" xfId="28180" xr:uid="{5BE2963D-5BCB-4A9D-B088-F00CC8A628E0}"/>
    <cellStyle name="Note 3 3 3 6" xfId="19733" xr:uid="{AD10171E-E2CC-4D12-95F0-9B0EE746C9D8}"/>
    <cellStyle name="Note 3 3 3 7" xfId="10436" xr:uid="{1F86919A-FCDF-4E5A-9792-5A4791EFDBE3}"/>
    <cellStyle name="Note 3 3 4" xfId="1433" xr:uid="{00000000-0005-0000-0000-0000C3210000}"/>
    <cellStyle name="Note 3 3 4 2" xfId="3663" xr:uid="{00000000-0005-0000-0000-0000C4210000}"/>
    <cellStyle name="Note 3 3 4 2 2" xfId="7885" xr:uid="{00000000-0005-0000-0000-0000C5210000}"/>
    <cellStyle name="Note 3 3 4 2 2 2" xfId="43403" xr:uid="{8A1FB2FC-DB68-4838-AAD8-7AB5365596B5}"/>
    <cellStyle name="Note 3 3 4 2 2 3" xfId="34956" xr:uid="{2EBDE017-B793-4073-8AA2-08CBF7A46E97}"/>
    <cellStyle name="Note 3 3 4 2 2 4" xfId="26508" xr:uid="{472F149D-FEB3-4D76-82EF-C3A0BF2FF299}"/>
    <cellStyle name="Note 3 3 4 2 2 5" xfId="17211" xr:uid="{E8ABD808-1454-4E56-8658-21968F3EF58D}"/>
    <cellStyle name="Note 3 3 4 2 3" xfId="39186" xr:uid="{4B2E6181-019F-4590-A207-27D2A4B9E178}"/>
    <cellStyle name="Note 3 3 4 2 4" xfId="30738" xr:uid="{521891C3-5C94-42D5-965C-239324317E55}"/>
    <cellStyle name="Note 3 3 4 2 5" xfId="22291" xr:uid="{25846C11-71D5-4808-8E97-4EEFF6C56854}"/>
    <cellStyle name="Note 3 3 4 2 6" xfId="12994" xr:uid="{4FE9B11D-8B2B-4D68-A6A3-2890FC163DF0}"/>
    <cellStyle name="Note 3 3 4 3" xfId="5740" xr:uid="{00000000-0005-0000-0000-0000C6210000}"/>
    <cellStyle name="Note 3 3 4 3 2" xfId="41258" xr:uid="{1A38D4A6-83BF-49C3-A17A-ABEAD64147F1}"/>
    <cellStyle name="Note 3 3 4 3 3" xfId="32811" xr:uid="{2484A2D5-0B51-4319-8A57-F4B552012C91}"/>
    <cellStyle name="Note 3 3 4 3 4" xfId="24363" xr:uid="{1F370B07-18FB-4B04-8E47-F115DE24EABF}"/>
    <cellStyle name="Note 3 3 4 3 5" xfId="15066" xr:uid="{F96F195B-113D-4C9D-A0B0-FB2BBDF55AA6}"/>
    <cellStyle name="Note 3 3 4 4" xfId="37041" xr:uid="{A3F89CED-B622-48E2-93C6-46DA5F1BE14D}"/>
    <cellStyle name="Note 3 3 4 5" xfId="28593" xr:uid="{1EA1ECC5-DB99-4281-8968-C8B42FDBB521}"/>
    <cellStyle name="Note 3 3 4 6" xfId="20146" xr:uid="{11688A3E-F580-4D72-9B14-B3B70FA48818}"/>
    <cellStyle name="Note 3 3 4 7" xfId="10849" xr:uid="{D0295136-8A1E-440D-85B7-7881BFA2E083}"/>
    <cellStyle name="Note 3 3 5" xfId="1847" xr:uid="{00000000-0005-0000-0000-0000C7210000}"/>
    <cellStyle name="Note 3 3 5 2" xfId="4076" xr:uid="{00000000-0005-0000-0000-0000C8210000}"/>
    <cellStyle name="Note 3 3 5 2 2" xfId="8298" xr:uid="{00000000-0005-0000-0000-0000C9210000}"/>
    <cellStyle name="Note 3 3 5 2 2 2" xfId="43816" xr:uid="{49F401DC-1E94-42CE-9717-85E053FB9AED}"/>
    <cellStyle name="Note 3 3 5 2 2 3" xfId="35369" xr:uid="{1E44A18F-6489-40D9-87D7-8DDBCD23AFAC}"/>
    <cellStyle name="Note 3 3 5 2 2 4" xfId="26921" xr:uid="{8F69EDE2-15F0-4B1C-9343-A6BE94DEB2FB}"/>
    <cellStyle name="Note 3 3 5 2 2 5" xfId="17624" xr:uid="{97D67DE8-9AFD-4D70-8034-2FA25B1B4831}"/>
    <cellStyle name="Note 3 3 5 2 3" xfId="39599" xr:uid="{378AF258-3A2F-4826-8BB8-F957C15CA496}"/>
    <cellStyle name="Note 3 3 5 2 4" xfId="31151" xr:uid="{41A89D48-5740-4063-9B72-3B385703906D}"/>
    <cellStyle name="Note 3 3 5 2 5" xfId="22704" xr:uid="{CA2626B5-EC2A-4043-BE20-7910C02E0A41}"/>
    <cellStyle name="Note 3 3 5 2 6" xfId="13407" xr:uid="{37B581BC-2896-4C22-9831-CAC5DD0E379B}"/>
    <cellStyle name="Note 3 3 5 3" xfId="6153" xr:uid="{00000000-0005-0000-0000-0000CA210000}"/>
    <cellStyle name="Note 3 3 5 3 2" xfId="41671" xr:uid="{96718B5F-78B9-415D-A3C6-DEA762482E28}"/>
    <cellStyle name="Note 3 3 5 3 3" xfId="33224" xr:uid="{588884A5-8597-4241-8860-5BC7DF6EB3D1}"/>
    <cellStyle name="Note 3 3 5 3 4" xfId="24776" xr:uid="{9164F8D5-6123-4ADE-94B1-525C23D64FBC}"/>
    <cellStyle name="Note 3 3 5 3 5" xfId="15479" xr:uid="{5EBEFBBF-5BC5-40AC-83A2-AB7823B6D07E}"/>
    <cellStyle name="Note 3 3 5 4" xfId="37454" xr:uid="{E8B3F3FD-D35A-4BDF-ADC2-B6DFFAF6C1D7}"/>
    <cellStyle name="Note 3 3 5 5" xfId="29006" xr:uid="{F2A5C9E7-4012-4C00-9E51-E4807D90C827}"/>
    <cellStyle name="Note 3 3 5 6" xfId="20559" xr:uid="{4C231ABB-D7E2-4DE2-BF66-25CD1E167117}"/>
    <cellStyle name="Note 3 3 5 7" xfId="11262" xr:uid="{7DEC7581-35BA-47F9-B304-CA1B1E87D467}"/>
    <cellStyle name="Note 3 3 6" xfId="2260" xr:uid="{00000000-0005-0000-0000-0000CB210000}"/>
    <cellStyle name="Note 3 3 6 2" xfId="4489" xr:uid="{00000000-0005-0000-0000-0000CC210000}"/>
    <cellStyle name="Note 3 3 6 2 2" xfId="8711" xr:uid="{00000000-0005-0000-0000-0000CD210000}"/>
    <cellStyle name="Note 3 3 6 2 2 2" xfId="44229" xr:uid="{DA3BC82A-8922-44F4-AE4E-8BC9B46A4C54}"/>
    <cellStyle name="Note 3 3 6 2 2 3" xfId="35782" xr:uid="{0C352009-2130-4C26-AF40-054C044E103F}"/>
    <cellStyle name="Note 3 3 6 2 2 4" xfId="27334" xr:uid="{07868EC0-9E41-41A9-8F3F-09B61726A8D4}"/>
    <cellStyle name="Note 3 3 6 2 2 5" xfId="18037" xr:uid="{53DAE280-BF48-4B83-A15B-39BA0DBE5464}"/>
    <cellStyle name="Note 3 3 6 2 3" xfId="40012" xr:uid="{B7B7A2A1-DA3A-4AC3-9BB4-A0C500E3F1CC}"/>
    <cellStyle name="Note 3 3 6 2 4" xfId="31564" xr:uid="{2C4C0E9B-A8DD-4ADC-A6DD-566FB2311313}"/>
    <cellStyle name="Note 3 3 6 2 5" xfId="23117" xr:uid="{5F900CAD-5648-4691-8885-17B7DA8B3FE8}"/>
    <cellStyle name="Note 3 3 6 2 6" xfId="13820" xr:uid="{1F4B4884-CB69-4DDA-B887-4722AB824851}"/>
    <cellStyle name="Note 3 3 6 3" xfId="6566" xr:uid="{00000000-0005-0000-0000-0000CE210000}"/>
    <cellStyle name="Note 3 3 6 3 2" xfId="42084" xr:uid="{61D49519-4C44-4060-829B-A5645A7BD4DC}"/>
    <cellStyle name="Note 3 3 6 3 3" xfId="33637" xr:uid="{D0FED0D4-BF2B-4137-AD27-8D1632B20653}"/>
    <cellStyle name="Note 3 3 6 3 4" xfId="25189" xr:uid="{147E7F20-DD79-42AE-9C65-32EA4F1717BB}"/>
    <cellStyle name="Note 3 3 6 3 5" xfId="15892" xr:uid="{B2A90BEF-7731-4458-8A59-AD2DC80C2BED}"/>
    <cellStyle name="Note 3 3 6 4" xfId="37867" xr:uid="{964085E3-FB0A-4B55-B06D-2686AA46E886}"/>
    <cellStyle name="Note 3 3 6 5" xfId="29419" xr:uid="{ACE5E650-666D-4A24-B3AE-7B47B1CD7CCC}"/>
    <cellStyle name="Note 3 3 6 6" xfId="20972" xr:uid="{F3A15734-4BF2-4CAE-B2A5-051FD98BF922}"/>
    <cellStyle name="Note 3 3 6 7" xfId="11675" xr:uid="{3D7A0EFE-5FA0-4C06-943E-C7933D6A82A2}"/>
    <cellStyle name="Note 3 3 7" xfId="2696" xr:uid="{00000000-0005-0000-0000-0000CF210000}"/>
    <cellStyle name="Note 3 3 7 2" xfId="6979" xr:uid="{00000000-0005-0000-0000-0000D0210000}"/>
    <cellStyle name="Note 3 3 7 2 2" xfId="42497" xr:uid="{94E729FB-93F3-4D80-8FB4-AEB90A1C65AD}"/>
    <cellStyle name="Note 3 3 7 2 3" xfId="34050" xr:uid="{BFF33FDC-840D-4247-B940-3508F315575C}"/>
    <cellStyle name="Note 3 3 7 2 4" xfId="25602" xr:uid="{834093E8-54E8-41ED-B542-DAC6ED1694E4}"/>
    <cellStyle name="Note 3 3 7 2 5" xfId="16305" xr:uid="{FF742328-FBAA-416B-99CB-B8DEAC7F10F2}"/>
    <cellStyle name="Note 3 3 7 3" xfId="38280" xr:uid="{47DDACC4-249F-4F25-9F93-0B1F4BDA0941}"/>
    <cellStyle name="Note 3 3 7 4" xfId="29832" xr:uid="{EC3C47A1-3DE0-4E3E-BFD4-2838365DD427}"/>
    <cellStyle name="Note 3 3 7 5" xfId="21385" xr:uid="{1CA83B00-AD6D-4ED7-8ACE-B4BE046F7F2D}"/>
    <cellStyle name="Note 3 3 7 6" xfId="12088" xr:uid="{2675587C-0AB2-4E41-8D2F-044C2C5A7903}"/>
    <cellStyle name="Note 3 3 8" xfId="2755" xr:uid="{00000000-0005-0000-0000-0000D1210000}"/>
    <cellStyle name="Note 3 3 9" xfId="2836" xr:uid="{00000000-0005-0000-0000-0000D2210000}"/>
    <cellStyle name="Note 3 3 9 2" xfId="7059" xr:uid="{00000000-0005-0000-0000-0000D3210000}"/>
    <cellStyle name="Note 3 3 9 2 2" xfId="42577" xr:uid="{410FDC14-C1AF-4752-9182-180D1470B0CF}"/>
    <cellStyle name="Note 3 3 9 2 3" xfId="34130" xr:uid="{A9C9E0CB-3A79-4C36-8B74-3A9606B223C0}"/>
    <cellStyle name="Note 3 3 9 2 4" xfId="25682" xr:uid="{1E702DA4-402D-4700-9D13-9A5289AA30C6}"/>
    <cellStyle name="Note 3 3 9 2 5" xfId="16385" xr:uid="{BFAFF2DC-37E5-4406-9E15-0F73D02773BB}"/>
    <cellStyle name="Note 3 3 9 3" xfId="38360" xr:uid="{2340B8FD-EA3F-4A86-9999-727EB9A25186}"/>
    <cellStyle name="Note 3 3 9 4" xfId="29912" xr:uid="{A4836CF9-D232-41B5-9929-DFE3606CE681}"/>
    <cellStyle name="Note 3 3 9 5" xfId="21465" xr:uid="{B82EA6BF-3929-48CC-95A2-A1F9BAC3EDD1}"/>
    <cellStyle name="Note 3 3 9 6" xfId="12168" xr:uid="{B8524DFE-0941-4502-8C81-DDA016F13B00}"/>
    <cellStyle name="Note 3 4" xfId="560" xr:uid="{00000000-0005-0000-0000-0000D4210000}"/>
    <cellStyle name="Note 3 4 10" xfId="8996" xr:uid="{0D704BEA-0820-4E61-9EA3-F4C1E73C6543}"/>
    <cellStyle name="Note 3 4 10 2" xfId="36217" xr:uid="{54DDCB42-A406-40FF-B985-B6F8BEA50F93}"/>
    <cellStyle name="Note 3 4 10 3" xfId="18319" xr:uid="{4A56EFE1-88A2-49C6-AC9A-67153ECEEA42}"/>
    <cellStyle name="Note 3 4 11" xfId="27769" xr:uid="{80D016D1-80F0-4D02-99DF-7C7516E3401A}"/>
    <cellStyle name="Note 3 4 12" xfId="19322" xr:uid="{21EDFA4F-E67D-4432-96C8-A154A7B02F59}"/>
    <cellStyle name="Note 3 4 13" xfId="10025" xr:uid="{7CFB2441-FC63-45F9-A8D6-1870D462DA03}"/>
    <cellStyle name="Note 3 4 2" xfId="1020" xr:uid="{00000000-0005-0000-0000-0000D5210000}"/>
    <cellStyle name="Note 3 4 2 2" xfId="3252" xr:uid="{00000000-0005-0000-0000-0000D6210000}"/>
    <cellStyle name="Note 3 4 2 2 2" xfId="7474" xr:uid="{00000000-0005-0000-0000-0000D7210000}"/>
    <cellStyle name="Note 3 4 2 2 2 2" xfId="42992" xr:uid="{20EC359A-2412-4E59-BA5B-FE54E4EA7793}"/>
    <cellStyle name="Note 3 4 2 2 2 3" xfId="34545" xr:uid="{23114183-25B7-4DF0-8C99-804D37310660}"/>
    <cellStyle name="Note 3 4 2 2 2 4" xfId="26097" xr:uid="{2E4A89A1-FC2D-4FEB-8F63-74D0FF6DE1D6}"/>
    <cellStyle name="Note 3 4 2 2 2 5" xfId="16800" xr:uid="{2EDD9ABA-F619-4159-9B5F-B38AC2A4A2DE}"/>
    <cellStyle name="Note 3 4 2 2 3" xfId="38775" xr:uid="{16E25BD5-153E-4244-8FEC-EB47DAE8269A}"/>
    <cellStyle name="Note 3 4 2 2 4" xfId="30327" xr:uid="{82C4545F-BA1F-4CC0-B45E-579F07C8A83A}"/>
    <cellStyle name="Note 3 4 2 2 5" xfId="21880" xr:uid="{6763963B-86AD-476A-93B2-04B57FA610FE}"/>
    <cellStyle name="Note 3 4 2 2 6" xfId="12583" xr:uid="{BC681858-BDF9-4EAA-BE08-EBE6FE5977FF}"/>
    <cellStyle name="Note 3 4 2 3" xfId="5329" xr:uid="{00000000-0005-0000-0000-0000D8210000}"/>
    <cellStyle name="Note 3 4 2 3 2" xfId="40847" xr:uid="{A6F121DE-41C5-4351-B2E6-E00AC5F3C914}"/>
    <cellStyle name="Note 3 4 2 3 3" xfId="32400" xr:uid="{1687556E-4038-4903-A951-E242B02D9E7E}"/>
    <cellStyle name="Note 3 4 2 3 4" xfId="23952" xr:uid="{86C70EBF-902B-458F-9968-34E5DE1F8F3D}"/>
    <cellStyle name="Note 3 4 2 3 5" xfId="14655" xr:uid="{84755D37-3BA3-458B-9132-1AD87306D8ED}"/>
    <cellStyle name="Note 3 4 2 4" xfId="9421" xr:uid="{EC0A57E0-416C-4EC5-866A-A09E44531CB5}"/>
    <cellStyle name="Note 3 4 2 4 2" xfId="36630" xr:uid="{9C756C90-BF2F-4965-8078-5C2CDCDECAB0}"/>
    <cellStyle name="Note 3 4 2 4 3" xfId="18734" xr:uid="{ADC2D9EC-A92A-45E9-9E99-933AD3F07FE5}"/>
    <cellStyle name="Note 3 4 2 5" xfId="28182" xr:uid="{2CB8BF2F-0B91-444A-98B2-D9E158A493AE}"/>
    <cellStyle name="Note 3 4 2 6" xfId="19735" xr:uid="{595D208F-06A0-4EF3-87FA-69CE04F12511}"/>
    <cellStyle name="Note 3 4 2 7" xfId="10438" xr:uid="{E316676D-3411-479C-A44C-26FA2C49D262}"/>
    <cellStyle name="Note 3 4 3" xfId="1435" xr:uid="{00000000-0005-0000-0000-0000D9210000}"/>
    <cellStyle name="Note 3 4 3 2" xfId="3665" xr:uid="{00000000-0005-0000-0000-0000DA210000}"/>
    <cellStyle name="Note 3 4 3 2 2" xfId="7887" xr:uid="{00000000-0005-0000-0000-0000DB210000}"/>
    <cellStyle name="Note 3 4 3 2 2 2" xfId="43405" xr:uid="{17A2D0BE-3343-4496-96AC-E6E92C8CA177}"/>
    <cellStyle name="Note 3 4 3 2 2 3" xfId="34958" xr:uid="{DDD07303-2F85-49F2-93D1-B3736A4CD4DB}"/>
    <cellStyle name="Note 3 4 3 2 2 4" xfId="26510" xr:uid="{399DA66E-274B-40F8-A86A-A1A3E77AC5FB}"/>
    <cellStyle name="Note 3 4 3 2 2 5" xfId="17213" xr:uid="{E6138560-4408-4982-86D0-BF7D04DA07BD}"/>
    <cellStyle name="Note 3 4 3 2 3" xfId="39188" xr:uid="{4D7A6F9A-5463-497C-89E5-A9115BED8DFB}"/>
    <cellStyle name="Note 3 4 3 2 4" xfId="30740" xr:uid="{25FEC1AB-71FE-4E95-BACB-B179A7F50DD4}"/>
    <cellStyle name="Note 3 4 3 2 5" xfId="22293" xr:uid="{720A66BB-E7E7-477E-A8B1-B2AB1AC3F531}"/>
    <cellStyle name="Note 3 4 3 2 6" xfId="12996" xr:uid="{3593B4AB-4D0B-4E71-AF91-A896A918BE5E}"/>
    <cellStyle name="Note 3 4 3 3" xfId="5742" xr:uid="{00000000-0005-0000-0000-0000DC210000}"/>
    <cellStyle name="Note 3 4 3 3 2" xfId="41260" xr:uid="{0DFDABB6-E3D3-45FC-BDAA-54FC41D0C43D}"/>
    <cellStyle name="Note 3 4 3 3 3" xfId="32813" xr:uid="{D0565A37-E941-4E41-BF64-08B2B8AADFA6}"/>
    <cellStyle name="Note 3 4 3 3 4" xfId="24365" xr:uid="{2D209DAC-995B-43FF-93EF-3768479B4624}"/>
    <cellStyle name="Note 3 4 3 3 5" xfId="15068" xr:uid="{0B44DE41-5344-4EAA-ACAD-5F0146ABAB38}"/>
    <cellStyle name="Note 3 4 3 4" xfId="37043" xr:uid="{D37D2051-F26D-4D40-9A1D-F87494B99708}"/>
    <cellStyle name="Note 3 4 3 5" xfId="28595" xr:uid="{DD53E64A-4CED-468D-A896-892826C18252}"/>
    <cellStyle name="Note 3 4 3 6" xfId="20148" xr:uid="{C7E365B8-D98D-4E6F-98A3-3D2B4346041A}"/>
    <cellStyle name="Note 3 4 3 7" xfId="10851" xr:uid="{5AB3D529-4A61-4A60-9FC9-902D80222EE0}"/>
    <cellStyle name="Note 3 4 4" xfId="1849" xr:uid="{00000000-0005-0000-0000-0000DD210000}"/>
    <cellStyle name="Note 3 4 4 2" xfId="4078" xr:uid="{00000000-0005-0000-0000-0000DE210000}"/>
    <cellStyle name="Note 3 4 4 2 2" xfId="8300" xr:uid="{00000000-0005-0000-0000-0000DF210000}"/>
    <cellStyle name="Note 3 4 4 2 2 2" xfId="43818" xr:uid="{C4C77B6A-8384-4AB9-B240-F6FB70C974EC}"/>
    <cellStyle name="Note 3 4 4 2 2 3" xfId="35371" xr:uid="{AC78578F-B08A-4813-BA9B-EA914752FA54}"/>
    <cellStyle name="Note 3 4 4 2 2 4" xfId="26923" xr:uid="{51EABB93-D1BF-48DE-87C7-CD1E63BB8B7E}"/>
    <cellStyle name="Note 3 4 4 2 2 5" xfId="17626" xr:uid="{4F1CD490-699D-4141-BDFD-4B34E4E9084E}"/>
    <cellStyle name="Note 3 4 4 2 3" xfId="39601" xr:uid="{AAFFECB8-1EA3-4A35-8C85-0BF429E005F9}"/>
    <cellStyle name="Note 3 4 4 2 4" xfId="31153" xr:uid="{AE53A62D-D900-4A7F-BEB2-46559FCE4BBE}"/>
    <cellStyle name="Note 3 4 4 2 5" xfId="22706" xr:uid="{08BA9B15-B026-4A37-819C-4ABCF6999048}"/>
    <cellStyle name="Note 3 4 4 2 6" xfId="13409" xr:uid="{50E51963-7D3B-4619-BFF9-8FA99AB61FBE}"/>
    <cellStyle name="Note 3 4 4 3" xfId="6155" xr:uid="{00000000-0005-0000-0000-0000E0210000}"/>
    <cellStyle name="Note 3 4 4 3 2" xfId="41673" xr:uid="{D0B2D42A-6F7E-40E6-9B4C-10454C28AEBB}"/>
    <cellStyle name="Note 3 4 4 3 3" xfId="33226" xr:uid="{5D67E229-2A8C-4827-AE8F-31B43F104562}"/>
    <cellStyle name="Note 3 4 4 3 4" xfId="24778" xr:uid="{6A5113B0-E838-438F-9488-2A797C257F83}"/>
    <cellStyle name="Note 3 4 4 3 5" xfId="15481" xr:uid="{AEAEEB44-8BDF-40ED-AD5F-DADD2CC77D09}"/>
    <cellStyle name="Note 3 4 4 4" xfId="37456" xr:uid="{69A40409-D837-439E-88C4-F19E8EEA8C13}"/>
    <cellStyle name="Note 3 4 4 5" xfId="29008" xr:uid="{3B99E59B-363B-4F1D-AAAA-5A4BC87BF2EB}"/>
    <cellStyle name="Note 3 4 4 6" xfId="20561" xr:uid="{51ADBE3A-808B-4B18-A65A-38F1DD8CA470}"/>
    <cellStyle name="Note 3 4 4 7" xfId="11264" xr:uid="{068FDF45-6BC3-4B0C-B22C-8E8FA781FA02}"/>
    <cellStyle name="Note 3 4 5" xfId="2262" xr:uid="{00000000-0005-0000-0000-0000E1210000}"/>
    <cellStyle name="Note 3 4 5 2" xfId="4491" xr:uid="{00000000-0005-0000-0000-0000E2210000}"/>
    <cellStyle name="Note 3 4 5 2 2" xfId="8713" xr:uid="{00000000-0005-0000-0000-0000E3210000}"/>
    <cellStyle name="Note 3 4 5 2 2 2" xfId="44231" xr:uid="{4454C544-516E-493D-956D-C185FE994451}"/>
    <cellStyle name="Note 3 4 5 2 2 3" xfId="35784" xr:uid="{E59202E3-8525-4819-A5C2-4028BDFA83DA}"/>
    <cellStyle name="Note 3 4 5 2 2 4" xfId="27336" xr:uid="{525EEAAE-5121-4F2C-AB73-25E1F5144928}"/>
    <cellStyle name="Note 3 4 5 2 2 5" xfId="18039" xr:uid="{FA0BE68E-C194-4E82-AABF-C6B4EC48A53E}"/>
    <cellStyle name="Note 3 4 5 2 3" xfId="40014" xr:uid="{990DDCFE-F81F-42FD-B2CA-C587666B171B}"/>
    <cellStyle name="Note 3 4 5 2 4" xfId="31566" xr:uid="{84AE2869-708F-4733-8268-9CE481C3F05C}"/>
    <cellStyle name="Note 3 4 5 2 5" xfId="23119" xr:uid="{2A85DD2C-7046-4EC7-B9DB-15FDAE9239CD}"/>
    <cellStyle name="Note 3 4 5 2 6" xfId="13822" xr:uid="{160A0246-639E-4292-BBD6-7C88D378DBD5}"/>
    <cellStyle name="Note 3 4 5 3" xfId="6568" xr:uid="{00000000-0005-0000-0000-0000E4210000}"/>
    <cellStyle name="Note 3 4 5 3 2" xfId="42086" xr:uid="{BB6E8951-FA64-40B0-B36E-6F873A0C2498}"/>
    <cellStyle name="Note 3 4 5 3 3" xfId="33639" xr:uid="{A8636AB4-8623-4E92-BC5E-4247299DA17D}"/>
    <cellStyle name="Note 3 4 5 3 4" xfId="25191" xr:uid="{96D15B6C-1890-4E74-AE91-5047ECDACC40}"/>
    <cellStyle name="Note 3 4 5 3 5" xfId="15894" xr:uid="{19C6E49D-078B-4AB4-AFA1-7DA7FEF8ABE2}"/>
    <cellStyle name="Note 3 4 5 4" xfId="37869" xr:uid="{260C4BFD-48AD-462D-8BB2-190D31D21499}"/>
    <cellStyle name="Note 3 4 5 5" xfId="29421" xr:uid="{C954DEB0-48E9-4622-886B-BF18A1305089}"/>
    <cellStyle name="Note 3 4 5 6" xfId="20974" xr:uid="{3D3DE31C-EC9D-4489-B745-2C45A98AD8D2}"/>
    <cellStyle name="Note 3 4 5 7" xfId="11677" xr:uid="{96A994D3-7C72-48D7-BB1D-4E62EE10232B}"/>
    <cellStyle name="Note 3 4 6" xfId="2698" xr:uid="{00000000-0005-0000-0000-0000E5210000}"/>
    <cellStyle name="Note 3 4 6 2" xfId="6981" xr:uid="{00000000-0005-0000-0000-0000E6210000}"/>
    <cellStyle name="Note 3 4 6 2 2" xfId="42499" xr:uid="{FFFD46A7-8A86-4CBD-BD40-CF8D9ECD0E4F}"/>
    <cellStyle name="Note 3 4 6 2 3" xfId="34052" xr:uid="{63D91450-7F01-4288-A0AC-A50FB3547FB6}"/>
    <cellStyle name="Note 3 4 6 2 4" xfId="25604" xr:uid="{9CDA2222-0A43-4776-BA3E-47D8FCD5B9D2}"/>
    <cellStyle name="Note 3 4 6 2 5" xfId="16307" xr:uid="{2C367724-2778-4929-B323-E1DA9B97AED5}"/>
    <cellStyle name="Note 3 4 6 3" xfId="38282" xr:uid="{620BA80A-6902-46A7-A1C5-9F92B2726B2D}"/>
    <cellStyle name="Note 3 4 6 4" xfId="29834" xr:uid="{582CBBF2-9A9F-4DE6-BA89-31BF2E100613}"/>
    <cellStyle name="Note 3 4 6 5" xfId="21387" xr:uid="{E5571D8D-1BBB-4B0A-8A6F-5B2AD65D7C05}"/>
    <cellStyle name="Note 3 4 6 6" xfId="12090" xr:uid="{AEC21AE0-F6FD-4560-BCD4-02D03FA13A68}"/>
    <cellStyle name="Note 3 4 7" xfId="2757" xr:uid="{00000000-0005-0000-0000-0000E7210000}"/>
    <cellStyle name="Note 3 4 8" xfId="2838" xr:uid="{00000000-0005-0000-0000-0000E8210000}"/>
    <cellStyle name="Note 3 4 8 2" xfId="7061" xr:uid="{00000000-0005-0000-0000-0000E9210000}"/>
    <cellStyle name="Note 3 4 8 2 2" xfId="42579" xr:uid="{240D7204-6741-4091-BDC4-67146B116351}"/>
    <cellStyle name="Note 3 4 8 2 3" xfId="34132" xr:uid="{580A2708-735B-4E55-9AD1-97BBAA2A4513}"/>
    <cellStyle name="Note 3 4 8 2 4" xfId="25684" xr:uid="{90CD325A-1E6A-481A-A3C6-894E9957F594}"/>
    <cellStyle name="Note 3 4 8 2 5" xfId="16387" xr:uid="{8AEEA3CA-2173-4E82-A6C8-8BFE55B77BD7}"/>
    <cellStyle name="Note 3 4 8 3" xfId="38362" xr:uid="{643E4174-36FF-492C-B398-D70A30A9FC9C}"/>
    <cellStyle name="Note 3 4 8 4" xfId="29914" xr:uid="{D87E8F97-E7F3-4038-8220-7F009D40D925}"/>
    <cellStyle name="Note 3 4 8 5" xfId="21467" xr:uid="{E3C0938A-85DF-4849-9E99-6ABC01F4518A}"/>
    <cellStyle name="Note 3 4 8 6" xfId="12170" xr:uid="{6A517F56-D365-4D70-9E9C-487A5BCCAF9F}"/>
    <cellStyle name="Note 3 4 9" xfId="4916" xr:uid="{00000000-0005-0000-0000-0000EA210000}"/>
    <cellStyle name="Note 3 4 9 2" xfId="40434" xr:uid="{33ED9FA4-70BB-40FB-A013-9741CE3CCA69}"/>
    <cellStyle name="Note 3 4 9 3" xfId="31987" xr:uid="{89A0EFC7-E02D-4144-9924-B015009770EE}"/>
    <cellStyle name="Note 3 4 9 4" xfId="23539" xr:uid="{BC4FA918-2A1D-49E1-8EF2-C6465E315F99}"/>
    <cellStyle name="Note 3 4 9 5" xfId="14242" xr:uid="{23BABA1D-7CDB-4457-85E7-1DFF0DCD8DCC}"/>
    <cellStyle name="Note 3 5" xfId="561" xr:uid="{00000000-0005-0000-0000-0000EB210000}"/>
    <cellStyle name="Note 3 5 10" xfId="9213" xr:uid="{D9D7FB9A-B03C-4A97-A778-36731B43DF3F}"/>
    <cellStyle name="Note 3 5 10 2" xfId="36218" xr:uid="{0CCB1CEA-D4C8-4FDA-86F1-931B40FD2568}"/>
    <cellStyle name="Note 3 5 10 3" xfId="18527" xr:uid="{31F16510-AA41-4F99-90C8-1FB0722EA917}"/>
    <cellStyle name="Note 3 5 11" xfId="27770" xr:uid="{40A5DE82-BE21-46FB-B950-514CF2B2CC55}"/>
    <cellStyle name="Note 3 5 12" xfId="19323" xr:uid="{98EBDF36-0E41-464F-B048-0AE950CD9F0D}"/>
    <cellStyle name="Note 3 5 13" xfId="10026" xr:uid="{1CB7B345-79E4-435D-AEF1-BE9D2E10299C}"/>
    <cellStyle name="Note 3 5 2" xfId="1021" xr:uid="{00000000-0005-0000-0000-0000EC210000}"/>
    <cellStyle name="Note 3 5 2 2" xfId="3253" xr:uid="{00000000-0005-0000-0000-0000ED210000}"/>
    <cellStyle name="Note 3 5 2 2 2" xfId="7475" xr:uid="{00000000-0005-0000-0000-0000EE210000}"/>
    <cellStyle name="Note 3 5 2 2 2 2" xfId="42993" xr:uid="{31E4D5A1-94B8-49AD-957A-61921EB6207F}"/>
    <cellStyle name="Note 3 5 2 2 2 3" xfId="34546" xr:uid="{4451F97E-79D1-4B8E-AD23-DDC97F49B60D}"/>
    <cellStyle name="Note 3 5 2 2 2 4" xfId="26098" xr:uid="{32B8C475-68BC-4926-A5CA-6423AA3067F4}"/>
    <cellStyle name="Note 3 5 2 2 2 5" xfId="16801" xr:uid="{1FFDBC27-95B5-48C3-A25C-6172268F51C6}"/>
    <cellStyle name="Note 3 5 2 2 3" xfId="38776" xr:uid="{0058802E-FA10-4C62-9D7C-1964BCBCC866}"/>
    <cellStyle name="Note 3 5 2 2 4" xfId="30328" xr:uid="{1D85FA83-403B-455D-8B21-01A8E08EB182}"/>
    <cellStyle name="Note 3 5 2 2 5" xfId="21881" xr:uid="{AA31B1E1-C562-4F8E-940C-4900B4B4FD25}"/>
    <cellStyle name="Note 3 5 2 2 6" xfId="12584" xr:uid="{CED27EF4-D668-4456-B44E-99E3FDB3BFDC}"/>
    <cellStyle name="Note 3 5 2 3" xfId="5330" xr:uid="{00000000-0005-0000-0000-0000EF210000}"/>
    <cellStyle name="Note 3 5 2 3 2" xfId="40848" xr:uid="{8E9A0A73-093D-4BAD-A74B-C103B333A303}"/>
    <cellStyle name="Note 3 5 2 3 3" xfId="32401" xr:uid="{265C8FE5-E25F-4EA0-BA87-7E902B6C03AD}"/>
    <cellStyle name="Note 3 5 2 3 4" xfId="23953" xr:uid="{DD142F18-F318-4075-AF30-75C9A1909111}"/>
    <cellStyle name="Note 3 5 2 3 5" xfId="14656" xr:uid="{0C094834-E14F-4436-AEFB-2E33A1A41B12}"/>
    <cellStyle name="Note 3 5 2 4" xfId="9611" xr:uid="{74765414-66B3-4FDA-BA21-3BFFEF98E338}"/>
    <cellStyle name="Note 3 5 2 4 2" xfId="36631" xr:uid="{1EF1C023-9FD4-4E4A-AB68-882A5FB8E480}"/>
    <cellStyle name="Note 3 5 2 4 3" xfId="18909" xr:uid="{E4BFD5C6-1372-4198-B23D-BA1D8382CA88}"/>
    <cellStyle name="Note 3 5 2 5" xfId="28183" xr:uid="{46077CAD-F88A-4974-8C5E-4A5EC72EC7F0}"/>
    <cellStyle name="Note 3 5 2 6" xfId="19736" xr:uid="{4C32EC3E-5B92-4E3E-BC02-CA4F284B3FAC}"/>
    <cellStyle name="Note 3 5 2 7" xfId="10439" xr:uid="{7B3F8510-25F4-4C85-858B-52B00E576EBC}"/>
    <cellStyle name="Note 3 5 3" xfId="1436" xr:uid="{00000000-0005-0000-0000-0000F0210000}"/>
    <cellStyle name="Note 3 5 3 2" xfId="3666" xr:uid="{00000000-0005-0000-0000-0000F1210000}"/>
    <cellStyle name="Note 3 5 3 2 2" xfId="7888" xr:uid="{00000000-0005-0000-0000-0000F2210000}"/>
    <cellStyle name="Note 3 5 3 2 2 2" xfId="43406" xr:uid="{1AECC1F0-39A0-4005-BD2B-1EAF83F8C472}"/>
    <cellStyle name="Note 3 5 3 2 2 3" xfId="34959" xr:uid="{81901575-6490-46E2-9B9B-B031980904B8}"/>
    <cellStyle name="Note 3 5 3 2 2 4" xfId="26511" xr:uid="{0193FC8B-78B6-4A75-9351-8C887975336F}"/>
    <cellStyle name="Note 3 5 3 2 2 5" xfId="17214" xr:uid="{9EE5B778-36ED-4EF4-8027-0B32089EED04}"/>
    <cellStyle name="Note 3 5 3 2 3" xfId="39189" xr:uid="{1B905FC7-AC6D-4644-907D-88C9CFF42942}"/>
    <cellStyle name="Note 3 5 3 2 4" xfId="30741" xr:uid="{4D2DD12E-B76B-48A4-8C40-68882BCA7EA3}"/>
    <cellStyle name="Note 3 5 3 2 5" xfId="22294" xr:uid="{19A53498-DCCF-4DF3-81DC-31883121AA5F}"/>
    <cellStyle name="Note 3 5 3 2 6" xfId="12997" xr:uid="{AE14EFB7-41A8-44E1-8C56-25E38B4CCF6A}"/>
    <cellStyle name="Note 3 5 3 3" xfId="5743" xr:uid="{00000000-0005-0000-0000-0000F3210000}"/>
    <cellStyle name="Note 3 5 3 3 2" xfId="41261" xr:uid="{340A0C18-7910-4959-A3C2-FC56A772C942}"/>
    <cellStyle name="Note 3 5 3 3 3" xfId="32814" xr:uid="{0D563052-2F8D-444E-8844-E671E3E5CCC9}"/>
    <cellStyle name="Note 3 5 3 3 4" xfId="24366" xr:uid="{F2906F34-E893-46CE-8CD1-58491FC794FA}"/>
    <cellStyle name="Note 3 5 3 3 5" xfId="15069" xr:uid="{E09BEDD0-FB8D-42FF-B76C-42941BF6A961}"/>
    <cellStyle name="Note 3 5 3 4" xfId="37044" xr:uid="{505EB41E-3218-40E0-B7A7-1411FECC4B73}"/>
    <cellStyle name="Note 3 5 3 5" xfId="28596" xr:uid="{B3D0C443-F0B4-4F0D-8CBE-9E80AC0050AE}"/>
    <cellStyle name="Note 3 5 3 6" xfId="20149" xr:uid="{21216E61-38B9-4330-8FEA-0053219DE393}"/>
    <cellStyle name="Note 3 5 3 7" xfId="10852" xr:uid="{BE0E5721-34F6-4F43-854F-611F40DCBDEA}"/>
    <cellStyle name="Note 3 5 4" xfId="1850" xr:uid="{00000000-0005-0000-0000-0000F4210000}"/>
    <cellStyle name="Note 3 5 4 2" xfId="4079" xr:uid="{00000000-0005-0000-0000-0000F5210000}"/>
    <cellStyle name="Note 3 5 4 2 2" xfId="8301" xr:uid="{00000000-0005-0000-0000-0000F6210000}"/>
    <cellStyle name="Note 3 5 4 2 2 2" xfId="43819" xr:uid="{18F6829E-E3FB-4C8A-84BA-79E882ED58D1}"/>
    <cellStyle name="Note 3 5 4 2 2 3" xfId="35372" xr:uid="{63AB849F-2F9B-4411-851C-0EC720017DE4}"/>
    <cellStyle name="Note 3 5 4 2 2 4" xfId="26924" xr:uid="{CCD8A926-2571-440E-A2EF-A5B52CB034DB}"/>
    <cellStyle name="Note 3 5 4 2 2 5" xfId="17627" xr:uid="{481FA51B-747C-458A-8D6F-C3472B77069C}"/>
    <cellStyle name="Note 3 5 4 2 3" xfId="39602" xr:uid="{D04B2498-584C-4460-B347-C25F207673C4}"/>
    <cellStyle name="Note 3 5 4 2 4" xfId="31154" xr:uid="{0FD71529-F2C1-4ED8-AE0B-586CA67FE25F}"/>
    <cellStyle name="Note 3 5 4 2 5" xfId="22707" xr:uid="{DD66E885-BEE4-44CF-A639-51FEB49E5232}"/>
    <cellStyle name="Note 3 5 4 2 6" xfId="13410" xr:uid="{FB9E9B2B-0DE2-4BA9-B325-C28CDE2BB1A6}"/>
    <cellStyle name="Note 3 5 4 3" xfId="6156" xr:uid="{00000000-0005-0000-0000-0000F7210000}"/>
    <cellStyle name="Note 3 5 4 3 2" xfId="41674" xr:uid="{D44B171B-6626-45C2-81E5-373E99ADD30B}"/>
    <cellStyle name="Note 3 5 4 3 3" xfId="33227" xr:uid="{7A1934E5-C3B9-4BDA-A2C2-F3BB8983A309}"/>
    <cellStyle name="Note 3 5 4 3 4" xfId="24779" xr:uid="{455D4A86-350F-4126-A217-7A790200F6E0}"/>
    <cellStyle name="Note 3 5 4 3 5" xfId="15482" xr:uid="{5307BE12-3B56-4739-ADEC-C0682347D899}"/>
    <cellStyle name="Note 3 5 4 4" xfId="37457" xr:uid="{2ED84292-FF35-4F18-AEA6-5C08605E784C}"/>
    <cellStyle name="Note 3 5 4 5" xfId="29009" xr:uid="{0C077E82-5BE8-4AB2-A402-0E66D37D79D8}"/>
    <cellStyle name="Note 3 5 4 6" xfId="20562" xr:uid="{955E6D28-8BF6-49EE-9262-DB4E5063CBDD}"/>
    <cellStyle name="Note 3 5 4 7" xfId="11265" xr:uid="{F1EB047D-D372-4CE2-B4CF-550F70828411}"/>
    <cellStyle name="Note 3 5 5" xfId="2263" xr:uid="{00000000-0005-0000-0000-0000F8210000}"/>
    <cellStyle name="Note 3 5 5 2" xfId="4492" xr:uid="{00000000-0005-0000-0000-0000F9210000}"/>
    <cellStyle name="Note 3 5 5 2 2" xfId="8714" xr:uid="{00000000-0005-0000-0000-0000FA210000}"/>
    <cellStyle name="Note 3 5 5 2 2 2" xfId="44232" xr:uid="{8B0AB36C-3B08-4C63-8781-B0A358E0213B}"/>
    <cellStyle name="Note 3 5 5 2 2 3" xfId="35785" xr:uid="{3362A6ED-47F1-4554-8D7C-982D15DDDC64}"/>
    <cellStyle name="Note 3 5 5 2 2 4" xfId="27337" xr:uid="{0EC9751F-A80C-4BC8-976A-B50CE818587B}"/>
    <cellStyle name="Note 3 5 5 2 2 5" xfId="18040" xr:uid="{4CCD07AF-AD7F-4329-8808-602FD834ABD2}"/>
    <cellStyle name="Note 3 5 5 2 3" xfId="40015" xr:uid="{55610856-C4D8-436F-8831-3AC7754255E9}"/>
    <cellStyle name="Note 3 5 5 2 4" xfId="31567" xr:uid="{4E6CDD16-7D58-4668-BDA2-C692FADECB9E}"/>
    <cellStyle name="Note 3 5 5 2 5" xfId="23120" xr:uid="{E530AEE7-5B9D-4A3F-B04C-10247F51CEF6}"/>
    <cellStyle name="Note 3 5 5 2 6" xfId="13823" xr:uid="{DC7EFCD6-B04E-4CE7-857E-9FBB8CC7897E}"/>
    <cellStyle name="Note 3 5 5 3" xfId="6569" xr:uid="{00000000-0005-0000-0000-0000FB210000}"/>
    <cellStyle name="Note 3 5 5 3 2" xfId="42087" xr:uid="{D3BB3F27-169C-41C2-AC4B-76ED22BB59F2}"/>
    <cellStyle name="Note 3 5 5 3 3" xfId="33640" xr:uid="{CABC8DC5-3A8E-4585-B0FB-9F48F09A7294}"/>
    <cellStyle name="Note 3 5 5 3 4" xfId="25192" xr:uid="{3090FBCC-9242-45D9-87CE-15F1D1DBCF89}"/>
    <cellStyle name="Note 3 5 5 3 5" xfId="15895" xr:uid="{42DCCC08-15E0-4C87-A224-2C52B386BA69}"/>
    <cellStyle name="Note 3 5 5 4" xfId="37870" xr:uid="{6B201C7C-7E97-4164-A71D-B7B7A05CD85C}"/>
    <cellStyle name="Note 3 5 5 5" xfId="29422" xr:uid="{A47AA814-935F-41CB-ACAF-C57E7AFF866C}"/>
    <cellStyle name="Note 3 5 5 6" xfId="20975" xr:uid="{E7A585F5-F1EE-462D-B7D7-CAB049EEF705}"/>
    <cellStyle name="Note 3 5 5 7" xfId="11678" xr:uid="{11477F91-2623-4A52-8B32-D3D01CB194D6}"/>
    <cellStyle name="Note 3 5 6" xfId="2699" xr:uid="{00000000-0005-0000-0000-0000FC210000}"/>
    <cellStyle name="Note 3 5 6 2" xfId="6982" xr:uid="{00000000-0005-0000-0000-0000FD210000}"/>
    <cellStyle name="Note 3 5 6 2 2" xfId="42500" xr:uid="{543CDCA8-D9D1-4744-8DA0-072EF13B6728}"/>
    <cellStyle name="Note 3 5 6 2 3" xfId="34053" xr:uid="{57CA6078-5F3F-4A0D-8701-3ACC733A4AB2}"/>
    <cellStyle name="Note 3 5 6 2 4" xfId="25605" xr:uid="{C978087B-D8A9-42D7-929D-2A0F35EA82F2}"/>
    <cellStyle name="Note 3 5 6 2 5" xfId="16308" xr:uid="{48B2C992-C0E7-4E23-A5D7-D66106D0CEFF}"/>
    <cellStyle name="Note 3 5 6 3" xfId="38283" xr:uid="{FFEED30D-71CE-44A6-A419-5E7C51CAF3F0}"/>
    <cellStyle name="Note 3 5 6 4" xfId="29835" xr:uid="{AC1D9AA3-10BA-416A-8EE2-36CECDFD5A52}"/>
    <cellStyle name="Note 3 5 6 5" xfId="21388" xr:uid="{87020FB9-2231-4F15-AFD0-AEA4874B24F7}"/>
    <cellStyle name="Note 3 5 6 6" xfId="12091" xr:uid="{6309B2C5-4C81-46E8-A792-508D743B3F7D}"/>
    <cellStyle name="Note 3 5 7" xfId="2758" xr:uid="{00000000-0005-0000-0000-0000FE210000}"/>
    <cellStyle name="Note 3 5 8" xfId="2839" xr:uid="{00000000-0005-0000-0000-0000FF210000}"/>
    <cellStyle name="Note 3 5 8 2" xfId="7062" xr:uid="{00000000-0005-0000-0000-000000220000}"/>
    <cellStyle name="Note 3 5 8 2 2" xfId="42580" xr:uid="{A3091D31-52C9-4E60-BC7B-9D1D6B6CE0B3}"/>
    <cellStyle name="Note 3 5 8 2 3" xfId="34133" xr:uid="{189A54EC-FB14-4ECE-B375-4A319DB6BA72}"/>
    <cellStyle name="Note 3 5 8 2 4" xfId="25685" xr:uid="{DB9A828E-E795-49A6-8A53-DB5335BD3779}"/>
    <cellStyle name="Note 3 5 8 2 5" xfId="16388" xr:uid="{7A176D20-6EB0-4BE8-8025-0B682CC6D01C}"/>
    <cellStyle name="Note 3 5 8 3" xfId="38363" xr:uid="{D4A42892-B27C-4F09-B87A-2DED3A582D53}"/>
    <cellStyle name="Note 3 5 8 4" xfId="29915" xr:uid="{AF6F3D38-3BBC-4693-A8E1-A2374D560F87}"/>
    <cellStyle name="Note 3 5 8 5" xfId="21468" xr:uid="{0B9462C6-F1E3-4636-A3D8-324EB43548F1}"/>
    <cellStyle name="Note 3 5 8 6" xfId="12171" xr:uid="{65D27934-9872-4141-B460-F1D782EC5387}"/>
    <cellStyle name="Note 3 5 9" xfId="4917" xr:uid="{00000000-0005-0000-0000-000001220000}"/>
    <cellStyle name="Note 3 5 9 2" xfId="40435" xr:uid="{D778FE6A-7078-49A3-9D7F-0D8461B74D3D}"/>
    <cellStyle name="Note 3 5 9 3" xfId="31988" xr:uid="{A6B6C935-EDC4-4D42-ABE3-6B0077400E91}"/>
    <cellStyle name="Note 3 5 9 4" xfId="23540" xr:uid="{41938AB7-533F-4C6F-A09D-7CB9FC20B9EB}"/>
    <cellStyle name="Note 3 5 9 5" xfId="14243" xr:uid="{FEC4B535-FEA9-4A10-8D86-24A082304159}"/>
    <cellStyle name="Note 3 6" xfId="9588" xr:uid="{4A2A2C5B-BA67-4FBC-A2F1-7546BE1E0E7F}"/>
    <cellStyle name="Note 3 7" xfId="8789" xr:uid="{EE6BC007-A514-4F23-A927-A69B937DFEC6}"/>
    <cellStyle name="Note 3 7 2" xfId="18112" xr:uid="{38C956C5-9DDC-4031-B198-F092BED187F1}"/>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3 2 2" xfId="40018" xr:uid="{4B0FFEE3-DE1D-46D7-8B8E-D966E8DF090D}"/>
    <cellStyle name="Percent 3 2 3" xfId="18894" xr:uid="{8D6FE1AE-45F0-4A1E-BDEE-3FA3F5CF99BC}"/>
    <cellStyle name="Percent 3 3" xfId="31571" xr:uid="{BBFD923F-B8B6-488D-B1D2-650A3F105ABD}"/>
    <cellStyle name="Percent 3 4" xfId="23123" xr:uid="{5C07DE00-CD6E-433F-91E8-99BDFE81F289}"/>
    <cellStyle name="Percent 3 5" xfId="13826" xr:uid="{78A12B80-BCC0-4940-83AD-6914CAD08BE8}"/>
    <cellStyle name="Percent 4" xfId="4502" xr:uid="{00000000-0005-0000-0000-000007220000}"/>
    <cellStyle name="Percent 4 2" xfId="8717" xr:uid="{00000000-0005-0000-0000-000008220000}"/>
    <cellStyle name="Percent 4 2 2" xfId="44235" xr:uid="{3CBFB0B3-079D-4159-84BB-67CD99658F42}"/>
    <cellStyle name="Percent 4 2 3" xfId="35788" xr:uid="{363EE06A-58FC-4219-9DF9-436E9ED0C1BA}"/>
    <cellStyle name="Percent 4 2 4" xfId="27340" xr:uid="{39F93329-A915-4035-A193-3063B11E4874}"/>
    <cellStyle name="Percent 4 2 5" xfId="18043" xr:uid="{09D61A5F-CF8D-44F7-B0E5-683A9B648DBD}"/>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Percent 4 3 2 2 2 2 2 2" xfId="44251" xr:uid="{9C26C326-ADA1-4978-B4C9-4861F3DC05E9}"/>
    <cellStyle name="Percent 4 3 2 2 2 2 2 3" xfId="18062" xr:uid="{C903E36F-CB0F-49D5-86F3-4800A220E693}"/>
    <cellStyle name="Percent 4 3 2 2 2 2 3" xfId="35804" xr:uid="{43974326-38B1-4401-8335-9565F76EFF11}"/>
    <cellStyle name="Percent 4 3 2 2 2 2 4" xfId="27356" xr:uid="{5369B8B7-A4CD-4827-9511-C70F696C624B}"/>
    <cellStyle name="Percent 4 3 2 2 2 2 5" xfId="18059" xr:uid="{D73E6181-064C-4DC5-ABDD-3E7EA3ED1E02}"/>
    <cellStyle name="Percent 4 3 2 2 2 3" xfId="44248" xr:uid="{92F663AB-2EB1-4071-B4AA-2852B149C3C5}"/>
    <cellStyle name="Percent 4 3 2 2 2 4" xfId="35801" xr:uid="{93B08E61-88BD-4A40-AFD0-34BA4EDC2DEF}"/>
    <cellStyle name="Percent 4 3 2 2 2 5" xfId="27353" xr:uid="{E84E334B-3285-41A0-9CBC-88CE5F1DCC93}"/>
    <cellStyle name="Percent 4 3 2 2 2 6" xfId="18056" xr:uid="{2C4F5C39-9CE9-49F5-B147-9D1450575BF5}"/>
    <cellStyle name="Percent 4 3 2 2 3" xfId="44244" xr:uid="{EEFA1197-1BEA-409B-B90B-5E3A6674D074}"/>
    <cellStyle name="Percent 4 3 2 2 4" xfId="35797" xr:uid="{F05B378A-06C7-4C68-B9F0-40908915A97F}"/>
    <cellStyle name="Percent 4 3 2 2 5" xfId="27349" xr:uid="{ED976C99-CE80-432F-BDD9-150244709511}"/>
    <cellStyle name="Percent 4 3 2 2 6" xfId="18052" xr:uid="{CB8FB8DD-137E-4794-A1C4-9FFB048D6E13}"/>
    <cellStyle name="Percent 4 3 2 3" xfId="44241" xr:uid="{2C593DBE-3B11-4A8F-A797-3A631E585650}"/>
    <cellStyle name="Percent 4 3 2 4" xfId="35794" xr:uid="{8340DB16-5682-4414-8E2F-F34C781CCA7D}"/>
    <cellStyle name="Percent 4 3 2 5" xfId="27346" xr:uid="{8B7735AE-2467-42E1-8C60-535330243175}"/>
    <cellStyle name="Percent 4 3 2 6" xfId="18049" xr:uid="{795DE0DF-372C-4FB7-8A01-AE42A183EC99}"/>
    <cellStyle name="Percent 4 3 3" xfId="44238" xr:uid="{23DB82B3-9438-42B3-9DD6-1084A7B2E706}"/>
    <cellStyle name="Percent 4 3 4" xfId="35791" xr:uid="{7CEA5D7E-7393-4A81-AB75-FB3960919DE4}"/>
    <cellStyle name="Percent 4 3 5" xfId="27343" xr:uid="{2350A95A-BCDC-4FE4-8C22-E80A78E63D0E}"/>
    <cellStyle name="Percent 4 3 6" xfId="18046" xr:uid="{50439F18-40EF-411E-8A3C-E976F6074CD3}"/>
    <cellStyle name="Percent 4 4" xfId="40021" xr:uid="{F72A7721-0A7D-4F64-81EC-404C290B7807}"/>
    <cellStyle name="Percent 4 5" xfId="31574" xr:uid="{6BE45E39-BE99-4C6D-977D-DB08005C4CF1}"/>
    <cellStyle name="Percent 4 6" xfId="23126" xr:uid="{B5AABD82-8126-435A-B301-11E98AA29FD8}"/>
    <cellStyle name="Percent 4 7" xfId="13829" xr:uid="{15B0DC47-F815-44F2-AE08-1B1CCB64D365}"/>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76" t="s">
        <v>549</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 thickTop="1"/>
    <row r="4" spans="1:38" s="5" customFormat="1" ht="13">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6" t="s">
        <v>1992</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55"/>
    </row>
    <row r="8" spans="1:38" ht="13">
      <c r="A8" s="204"/>
      <c r="B8" s="204"/>
      <c r="C8" s="205"/>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55"/>
    </row>
    <row r="9" spans="1:38" ht="13">
      <c r="A9" s="204"/>
      <c r="B9" s="204"/>
      <c r="C9" s="205"/>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55"/>
    </row>
    <row r="10" spans="1:38" ht="13">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6" t="s">
        <v>1993</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55"/>
    </row>
    <row r="12" spans="1:38" ht="13">
      <c r="A12" s="204"/>
      <c r="B12" s="204"/>
      <c r="C12" s="205"/>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55"/>
    </row>
    <row r="13" spans="1:38" ht="13">
      <c r="A13" s="204"/>
      <c r="B13" s="204"/>
      <c r="C13" s="205"/>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55"/>
    </row>
    <row r="14" spans="1:38" ht="13">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6" t="s">
        <v>2527</v>
      </c>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55"/>
    </row>
    <row r="16" spans="1:38" ht="13.15" customHeight="1">
      <c r="A16" s="204"/>
      <c r="B16" s="204"/>
      <c r="C16" s="205"/>
      <c r="D16" s="1266"/>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55"/>
    </row>
    <row r="17" spans="1:38" ht="13">
      <c r="A17" s="204"/>
      <c r="B17" s="204"/>
      <c r="C17" s="205"/>
      <c r="D17" s="1266"/>
      <c r="E17" s="1266"/>
      <c r="F17" s="1266"/>
      <c r="G17" s="1266"/>
      <c r="H17" s="1266"/>
      <c r="I17" s="1266"/>
      <c r="J17" s="1266"/>
      <c r="K17" s="1266"/>
      <c r="L17" s="1266"/>
      <c r="M17" s="1266"/>
      <c r="N17" s="1266"/>
      <c r="O17" s="1266"/>
      <c r="P17" s="1266"/>
      <c r="Q17" s="1266"/>
      <c r="R17" s="1266"/>
      <c r="S17" s="1266"/>
      <c r="T17" s="1266"/>
      <c r="U17" s="1266"/>
      <c r="V17" s="1266"/>
      <c r="W17" s="1266"/>
      <c r="X17" s="1266"/>
      <c r="Y17" s="1266"/>
      <c r="Z17" s="1266"/>
      <c r="AA17" s="1266"/>
      <c r="AB17" s="1266"/>
      <c r="AC17" s="1266"/>
      <c r="AD17" s="1266"/>
      <c r="AE17" s="1266"/>
      <c r="AF17" s="1266"/>
      <c r="AG17" s="1266"/>
      <c r="AH17" s="1266"/>
      <c r="AI17" s="1266"/>
      <c r="AJ17" s="1266"/>
      <c r="AK17" s="1266"/>
      <c r="AL17" s="455"/>
    </row>
    <row r="18" spans="1:38" ht="13">
      <c r="A18" s="204"/>
      <c r="B18" s="204"/>
      <c r="C18" s="205"/>
      <c r="D18" s="519" t="s">
        <v>2526</v>
      </c>
      <c r="E18" s="441"/>
      <c r="G18" s="441"/>
      <c r="H18" s="441"/>
      <c r="I18" s="441"/>
      <c r="J18" s="1279" t="s">
        <v>2525</v>
      </c>
      <c r="K18" s="1279"/>
      <c r="L18" s="1279"/>
      <c r="M18" s="1279"/>
      <c r="N18" s="1279"/>
      <c r="O18" s="1279"/>
      <c r="P18" s="1279"/>
      <c r="Q18" s="1279"/>
      <c r="R18" s="1279"/>
      <c r="S18" s="1279"/>
      <c r="T18" s="1279"/>
      <c r="U18" s="1279"/>
      <c r="V18" s="1279"/>
      <c r="W18" s="1279"/>
      <c r="X18" s="1279"/>
      <c r="Y18" s="1279"/>
      <c r="Z18" s="1279"/>
      <c r="AA18" s="1279"/>
      <c r="AB18" s="1279"/>
      <c r="AC18" s="1279"/>
      <c r="AD18" s="1279"/>
      <c r="AE18" s="1279"/>
      <c r="AF18" s="1279"/>
      <c r="AG18" s="1279"/>
      <c r="AH18" s="1279"/>
      <c r="AI18" s="1279"/>
      <c r="AJ18" s="1279"/>
      <c r="AK18" s="1279"/>
      <c r="AL18" s="455"/>
    </row>
    <row r="19" spans="1:38" ht="13">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6" t="s">
        <v>1994</v>
      </c>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04"/>
    </row>
    <row r="21" spans="1:38" ht="13">
      <c r="A21" s="204"/>
      <c r="B21" s="204"/>
      <c r="C21" s="205"/>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04"/>
    </row>
    <row r="22" spans="1:38" ht="13">
      <c r="A22" s="204"/>
      <c r="B22" s="204"/>
      <c r="C22" s="205"/>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04"/>
    </row>
    <row r="23" spans="1:38" ht="13.15" customHeight="1">
      <c r="A23" s="204"/>
      <c r="B23" s="204"/>
      <c r="C23" s="205"/>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04"/>
    </row>
    <row r="24" spans="1:38" ht="13">
      <c r="A24" s="204"/>
      <c r="B24" s="204"/>
      <c r="C24" s="205"/>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04"/>
    </row>
    <row r="25" spans="1:38" ht="13">
      <c r="A25" s="204"/>
      <c r="B25" s="204"/>
      <c r="C25" s="205"/>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04"/>
    </row>
    <row r="26" spans="1:38" ht="13">
      <c r="A26" s="204"/>
      <c r="B26" s="204"/>
      <c r="C26" s="205"/>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04"/>
    </row>
    <row r="27" spans="1:38" ht="13">
      <c r="A27" s="204"/>
      <c r="B27" s="204"/>
      <c r="C27" s="205"/>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04"/>
    </row>
    <row r="28" spans="1:38" ht="13">
      <c r="A28" s="204"/>
      <c r="B28" s="204"/>
      <c r="C28" s="205"/>
      <c r="D28" s="1266"/>
      <c r="E28" s="1266"/>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04"/>
    </row>
    <row r="29" spans="1:38" ht="13">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6" t="s">
        <v>1995</v>
      </c>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04"/>
    </row>
    <row r="31" spans="1:38" ht="13">
      <c r="A31" s="204"/>
      <c r="B31" s="204"/>
      <c r="C31" s="205"/>
      <c r="D31" s="455"/>
      <c r="E31" s="1267" t="s">
        <v>2605</v>
      </c>
      <c r="F31" s="1268"/>
      <c r="G31" s="1268"/>
      <c r="H31" s="1268"/>
      <c r="I31" s="1268"/>
      <c r="J31" s="1268"/>
      <c r="K31" s="1268"/>
      <c r="L31" s="1268"/>
      <c r="M31" s="1268"/>
      <c r="N31" s="1268"/>
      <c r="O31" s="1268"/>
      <c r="P31" s="1268"/>
      <c r="Q31" s="1268"/>
      <c r="R31" s="1268"/>
      <c r="S31" s="1268"/>
      <c r="T31" s="1268"/>
      <c r="U31" s="1268"/>
      <c r="V31" s="1268"/>
      <c r="W31" s="1268"/>
      <c r="X31" s="1268"/>
      <c r="Y31" s="1268"/>
      <c r="Z31" s="1268"/>
      <c r="AA31" s="1268"/>
      <c r="AB31" s="1268"/>
      <c r="AC31" s="1268"/>
      <c r="AD31" s="1268"/>
      <c r="AE31" s="1268"/>
      <c r="AF31" s="1268"/>
      <c r="AG31" s="1268"/>
      <c r="AH31" s="1268"/>
      <c r="AI31" s="1268"/>
      <c r="AJ31" s="1268"/>
      <c r="AK31" s="1268"/>
      <c r="AL31" s="204"/>
    </row>
    <row r="32" spans="1:38" ht="13">
      <c r="A32" s="4"/>
      <c r="C32" s="2"/>
    </row>
    <row r="33" spans="1:38">
      <c r="A33" s="4"/>
      <c r="D33" s="1278" t="s">
        <v>2095</v>
      </c>
      <c r="E33" s="1278"/>
      <c r="F33" s="1278"/>
      <c r="G33" s="1278"/>
      <c r="H33" s="1278"/>
      <c r="I33" s="1278"/>
      <c r="J33" s="1278"/>
      <c r="K33" s="1278"/>
      <c r="L33" s="1278"/>
      <c r="M33" s="1278"/>
      <c r="N33" s="1278"/>
      <c r="O33" s="1278"/>
      <c r="P33" s="1278"/>
      <c r="Q33" s="1278"/>
      <c r="R33" s="1278"/>
      <c r="S33" s="1278"/>
      <c r="T33" s="1278"/>
      <c r="U33" s="1278"/>
      <c r="V33" s="1278"/>
      <c r="W33" s="1278"/>
      <c r="X33" s="1278"/>
      <c r="Y33" s="1278"/>
      <c r="Z33" s="1278"/>
      <c r="AA33" s="1278"/>
      <c r="AB33" s="1278"/>
      <c r="AC33" s="1278"/>
      <c r="AD33" s="1278"/>
      <c r="AE33" s="1278"/>
      <c r="AF33" s="1278"/>
      <c r="AG33" s="1278"/>
      <c r="AH33" s="1278"/>
      <c r="AI33" s="1278"/>
      <c r="AJ33" s="1278"/>
      <c r="AK33" s="1278"/>
    </row>
    <row r="34" spans="1:38">
      <c r="A34" s="4"/>
      <c r="D34" s="1278"/>
      <c r="E34" s="1278"/>
      <c r="F34" s="1278"/>
      <c r="G34" s="1278"/>
      <c r="H34" s="1278"/>
      <c r="I34" s="1278"/>
      <c r="J34" s="1278"/>
      <c r="K34" s="1278"/>
      <c r="L34" s="1278"/>
      <c r="M34" s="1278"/>
      <c r="N34" s="1278"/>
      <c r="O34" s="1278"/>
      <c r="P34" s="1278"/>
      <c r="Q34" s="1278"/>
      <c r="R34" s="1278"/>
      <c r="S34" s="1278"/>
      <c r="T34" s="1278"/>
      <c r="U34" s="1278"/>
      <c r="V34" s="1278"/>
      <c r="W34" s="1278"/>
      <c r="X34" s="1278"/>
      <c r="Y34" s="1278"/>
      <c r="Z34" s="1278"/>
      <c r="AA34" s="1278"/>
      <c r="AB34" s="1278"/>
      <c r="AC34" s="1278"/>
      <c r="AD34" s="1278"/>
      <c r="AE34" s="1278"/>
      <c r="AF34" s="1278"/>
      <c r="AG34" s="1278"/>
      <c r="AH34" s="1278"/>
      <c r="AI34" s="1278"/>
      <c r="AJ34" s="1278"/>
      <c r="AK34" s="1278"/>
    </row>
    <row r="35" spans="1:38" ht="13">
      <c r="A35" s="4"/>
      <c r="D35" s="120"/>
      <c r="E35" s="1273" t="s">
        <v>2606</v>
      </c>
      <c r="F35" s="1273"/>
      <c r="G35" s="1273"/>
      <c r="H35" s="1273"/>
      <c r="I35" s="1273"/>
      <c r="J35" s="1273"/>
      <c r="K35" s="1273"/>
      <c r="L35" s="1273"/>
      <c r="M35" s="1273"/>
      <c r="N35" s="1273"/>
      <c r="O35" s="1273"/>
      <c r="P35" s="1273"/>
      <c r="Q35" s="1273"/>
      <c r="R35" s="1273"/>
      <c r="S35" s="1273"/>
      <c r="T35" s="1273"/>
      <c r="U35" s="1273"/>
      <c r="V35" s="1273"/>
      <c r="W35" s="1273"/>
      <c r="X35" s="1273"/>
      <c r="Y35" s="1273"/>
      <c r="Z35" s="1273"/>
      <c r="AA35" s="1273"/>
      <c r="AB35" s="1273"/>
      <c r="AC35" s="1273"/>
      <c r="AD35" s="1273"/>
      <c r="AE35" s="1273"/>
      <c r="AF35" s="1273"/>
      <c r="AG35" s="1273"/>
      <c r="AH35" s="1273"/>
      <c r="AI35" s="1273"/>
      <c r="AJ35" s="1273"/>
      <c r="AK35" s="1273"/>
    </row>
    <row r="36" spans="1:38" ht="13">
      <c r="A36" s="4"/>
      <c r="D36" s="120"/>
      <c r="E36" s="1273" t="s">
        <v>2607</v>
      </c>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B36" s="1273"/>
      <c r="AC36" s="1273"/>
      <c r="AD36" s="1273"/>
      <c r="AE36" s="1273"/>
      <c r="AF36" s="1273"/>
      <c r="AG36" s="1273"/>
      <c r="AH36" s="1273"/>
      <c r="AI36" s="1273"/>
      <c r="AJ36" s="1273"/>
      <c r="AK36" s="1273"/>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6" customFormat="1" ht="13.15" customHeight="1">
      <c r="A40" s="4"/>
      <c r="B40"/>
      <c r="C40" s="2"/>
      <c r="D40" s="4"/>
      <c r="E40" s="4" t="s">
        <v>652</v>
      </c>
      <c r="F40" s="1266" t="s">
        <v>1162</v>
      </c>
    </row>
    <row r="41" spans="1:38" s="1266" customFormat="1" ht="13.15" customHeight="1">
      <c r="A41" s="4"/>
      <c r="B41"/>
      <c r="C41" s="2"/>
      <c r="D41" s="4"/>
      <c r="E41" s="4"/>
    </row>
    <row r="42" spans="1:38" ht="13">
      <c r="A42" s="4"/>
      <c r="C42" s="2"/>
      <c r="D42" s="4"/>
      <c r="E42" s="4"/>
      <c r="F42" s="35" t="s">
        <v>686</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272" t="s">
        <v>1244</v>
      </c>
      <c r="G43" s="1272"/>
      <c r="H43" s="1272"/>
      <c r="I43" s="1272"/>
      <c r="J43" s="1272"/>
      <c r="K43" s="1272"/>
      <c r="L43" s="1272"/>
      <c r="M43" s="1272"/>
      <c r="N43" s="1272"/>
      <c r="O43" s="1272"/>
      <c r="P43" s="1272"/>
      <c r="Q43" s="1272"/>
      <c r="R43" s="1272"/>
      <c r="S43" s="1272"/>
      <c r="T43" s="1272"/>
      <c r="U43" s="1272"/>
      <c r="V43" s="1272"/>
      <c r="W43" s="1272"/>
      <c r="X43" s="1272"/>
      <c r="Y43" s="1272"/>
      <c r="Z43" s="1272"/>
      <c r="AA43" s="1272"/>
      <c r="AB43" s="1272"/>
      <c r="AC43" s="1272"/>
      <c r="AD43" s="1272"/>
      <c r="AE43" s="1272"/>
      <c r="AF43" s="1272"/>
      <c r="AG43" s="1272"/>
      <c r="AH43" s="1272"/>
      <c r="AI43" s="1272"/>
      <c r="AJ43" s="1272"/>
      <c r="AK43" s="1272"/>
      <c r="AL43" s="1272"/>
    </row>
    <row r="44" spans="1:38" s="118" customFormat="1" ht="13">
      <c r="A44" s="4"/>
      <c r="B44"/>
      <c r="C44" s="2"/>
      <c r="D44" s="4"/>
      <c r="E44" s="4"/>
      <c r="F44" s="1272"/>
      <c r="G44" s="1272"/>
      <c r="H44" s="1272"/>
      <c r="I44" s="1272"/>
      <c r="J44" s="1272"/>
      <c r="K44" s="1272"/>
      <c r="L44" s="1272"/>
      <c r="M44" s="1272"/>
      <c r="N44" s="1272"/>
      <c r="O44" s="1272"/>
      <c r="P44" s="1272"/>
      <c r="Q44" s="1272"/>
      <c r="R44" s="1272"/>
      <c r="S44" s="1272"/>
      <c r="T44" s="1272"/>
      <c r="U44" s="1272"/>
      <c r="V44" s="1272"/>
      <c r="W44" s="1272"/>
      <c r="X44" s="1272"/>
      <c r="Y44" s="1272"/>
      <c r="Z44" s="1272"/>
      <c r="AA44" s="1272"/>
      <c r="AB44" s="1272"/>
      <c r="AC44" s="1272"/>
      <c r="AD44" s="1272"/>
      <c r="AE44" s="1272"/>
      <c r="AF44" s="1272"/>
      <c r="AG44" s="1272"/>
      <c r="AH44" s="1272"/>
      <c r="AI44" s="1272"/>
      <c r="AJ44" s="1272"/>
      <c r="AK44" s="1272"/>
      <c r="AL44" s="1272"/>
    </row>
    <row r="45" spans="1:38" s="118" customFormat="1" ht="13.15" customHeight="1">
      <c r="A45" s="4"/>
      <c r="B45"/>
      <c r="C45" s="2"/>
      <c r="D45" s="4"/>
      <c r="E45" s="4"/>
      <c r="F45" s="1272"/>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ht="13">
      <c r="A46" s="4"/>
      <c r="C46" s="2"/>
      <c r="D46" s="4"/>
      <c r="E46" s="4"/>
      <c r="F46" s="118" t="s">
        <v>686</v>
      </c>
      <c r="G46" s="3" t="s">
        <v>1996</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ht="13">
      <c r="A48" s="4"/>
      <c r="C48" s="2"/>
      <c r="D48" s="4"/>
      <c r="E48" s="3" t="s">
        <v>348</v>
      </c>
      <c r="F48" s="1266" t="s">
        <v>1997</v>
      </c>
      <c r="G48" s="1266"/>
      <c r="H48" s="1266"/>
      <c r="I48" s="1266"/>
      <c r="J48" s="1266"/>
      <c r="K48" s="1266"/>
      <c r="L48" s="1266"/>
      <c r="M48" s="1266"/>
      <c r="N48" s="1266"/>
      <c r="O48" s="1266"/>
      <c r="P48" s="1266"/>
      <c r="Q48" s="1266"/>
      <c r="R48" s="1266"/>
      <c r="S48" s="1266"/>
      <c r="T48" s="1266"/>
      <c r="U48" s="1266"/>
      <c r="V48" s="1266"/>
      <c r="W48" s="1266"/>
      <c r="X48" s="1266"/>
      <c r="Y48" s="1266"/>
      <c r="Z48" s="1266"/>
      <c r="AA48" s="1266"/>
      <c r="AB48" s="1266"/>
      <c r="AC48" s="1266"/>
      <c r="AD48" s="1266"/>
      <c r="AE48" s="1266"/>
      <c r="AF48" s="1266"/>
      <c r="AG48" s="1266"/>
      <c r="AH48" s="1266"/>
      <c r="AI48" s="1266"/>
      <c r="AJ48" s="1266"/>
      <c r="AK48" s="1266"/>
    </row>
    <row r="49" spans="1:38" ht="13">
      <c r="A49" s="4"/>
      <c r="C49" s="2"/>
      <c r="D49" s="4"/>
      <c r="E49" s="4"/>
      <c r="F49" s="1266"/>
      <c r="G49" s="1266"/>
      <c r="H49" s="1266"/>
      <c r="I49" s="1266"/>
      <c r="J49" s="1266"/>
      <c r="K49" s="1266"/>
      <c r="L49" s="1266"/>
      <c r="M49" s="1266"/>
      <c r="N49" s="1266"/>
      <c r="O49" s="1266"/>
      <c r="P49" s="1266"/>
      <c r="Q49" s="1266"/>
      <c r="R49" s="1266"/>
      <c r="S49" s="1266"/>
      <c r="T49" s="1266"/>
      <c r="U49" s="1266"/>
      <c r="V49" s="1266"/>
      <c r="W49" s="1266"/>
      <c r="X49" s="1266"/>
      <c r="Y49" s="1266"/>
      <c r="Z49" s="1266"/>
      <c r="AA49" s="1266"/>
      <c r="AB49" s="1266"/>
      <c r="AC49" s="1266"/>
      <c r="AD49" s="1266"/>
      <c r="AE49" s="1266"/>
      <c r="AF49" s="1266"/>
      <c r="AG49" s="1266"/>
      <c r="AH49" s="1266"/>
      <c r="AI49" s="1266"/>
      <c r="AJ49" s="1266"/>
      <c r="AK49" s="1266"/>
    </row>
    <row r="50" spans="1:38" ht="13">
      <c r="A50" s="4"/>
      <c r="C50" s="2"/>
      <c r="D50" s="4"/>
      <c r="F50" s="1266"/>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652</v>
      </c>
      <c r="F53" s="3" t="s">
        <v>1190</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686</v>
      </c>
      <c r="G54" s="1271" t="s">
        <v>1189</v>
      </c>
      <c r="H54" s="1271"/>
      <c r="I54" s="1271"/>
      <c r="J54" s="1271"/>
      <c r="K54" s="1271"/>
      <c r="L54" s="1271"/>
      <c r="M54" s="1271"/>
      <c r="N54" s="1271"/>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204"/>
    </row>
    <row r="55" spans="1:38" ht="13.15" customHeight="1">
      <c r="A55" s="204"/>
      <c r="B55" s="204"/>
      <c r="C55" s="205"/>
      <c r="D55" s="205"/>
      <c r="E55" s="204"/>
      <c r="F55" s="206"/>
      <c r="G55" s="478" t="s">
        <v>1191</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ht="13">
      <c r="A56" s="204"/>
      <c r="B56" s="204"/>
      <c r="C56" s="205"/>
      <c r="D56" s="205"/>
      <c r="E56" s="204"/>
      <c r="F56" s="206"/>
      <c r="G56" s="1271" t="s">
        <v>574</v>
      </c>
      <c r="H56" s="1271"/>
      <c r="I56" s="127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508</v>
      </c>
      <c r="G57" s="1271" t="s">
        <v>1998</v>
      </c>
      <c r="H57" s="1271"/>
      <c r="I57" s="1271"/>
      <c r="J57" s="1271"/>
      <c r="K57" s="1271"/>
      <c r="L57" s="1271"/>
      <c r="M57" s="1271"/>
      <c r="N57" s="1271"/>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row>
    <row r="58" spans="1:38" ht="13">
      <c r="A58" s="204"/>
      <c r="B58" s="204"/>
      <c r="C58" s="205"/>
      <c r="D58" s="205"/>
      <c r="E58" s="204"/>
      <c r="F58" s="206"/>
      <c r="G58" s="1271"/>
      <c r="H58" s="1271"/>
      <c r="I58" s="1271"/>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row>
    <row r="59" spans="1:38" ht="13">
      <c r="A59" s="204"/>
      <c r="B59" s="204"/>
      <c r="C59" s="205"/>
      <c r="D59" s="205"/>
      <c r="E59" s="204"/>
      <c r="F59" s="206"/>
      <c r="G59" s="479" t="s">
        <v>1277</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1163</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686</v>
      </c>
      <c r="G64" s="1266" t="s">
        <v>1164</v>
      </c>
      <c r="H64" s="1266"/>
      <c r="I64" s="1266"/>
      <c r="J64" s="1266"/>
      <c r="K64" s="1266"/>
      <c r="L64" s="1266"/>
      <c r="M64" s="1266"/>
      <c r="N64" s="1266"/>
      <c r="O64" s="1266"/>
      <c r="P64" s="1266"/>
      <c r="Q64" s="1266"/>
      <c r="R64" s="1266"/>
      <c r="S64" s="1266"/>
      <c r="T64" s="1266"/>
      <c r="U64" s="1266"/>
      <c r="V64" s="1266"/>
      <c r="W64" s="1266"/>
      <c r="X64" s="1266"/>
      <c r="Y64" s="1266"/>
      <c r="Z64" s="1266"/>
      <c r="AA64" s="1266"/>
      <c r="AB64" s="1266"/>
      <c r="AC64" s="1266"/>
      <c r="AD64" s="1266"/>
      <c r="AE64" s="1266"/>
      <c r="AF64" s="1266"/>
      <c r="AG64" s="1266"/>
      <c r="AH64" s="1266"/>
      <c r="AI64" s="1266"/>
      <c r="AJ64" s="1266"/>
      <c r="AK64" s="1266"/>
    </row>
    <row r="65" spans="1:37" ht="13">
      <c r="A65" s="4"/>
      <c r="C65" s="2"/>
      <c r="D65" s="4"/>
      <c r="E65" s="4"/>
      <c r="G65" s="1266"/>
      <c r="H65" s="1266"/>
      <c r="I65" s="1266"/>
      <c r="J65" s="1266"/>
      <c r="K65" s="1266"/>
      <c r="L65" s="1266"/>
      <c r="M65" s="1266"/>
      <c r="N65" s="1266"/>
      <c r="O65" s="1266"/>
      <c r="P65" s="1266"/>
      <c r="Q65" s="1266"/>
      <c r="R65" s="1266"/>
      <c r="S65" s="1266"/>
      <c r="T65" s="1266"/>
      <c r="U65" s="1266"/>
      <c r="V65" s="1266"/>
      <c r="W65" s="1266"/>
      <c r="X65" s="1266"/>
      <c r="Y65" s="1266"/>
      <c r="Z65" s="1266"/>
      <c r="AA65" s="1266"/>
      <c r="AB65" s="1266"/>
      <c r="AC65" s="1266"/>
      <c r="AD65" s="1266"/>
      <c r="AE65" s="1266"/>
      <c r="AF65" s="1266"/>
      <c r="AG65" s="1266"/>
      <c r="AH65" s="1266"/>
      <c r="AI65" s="1266"/>
      <c r="AJ65" s="1266"/>
      <c r="AK65" s="1266"/>
    </row>
    <row r="66" spans="1:37" ht="13">
      <c r="A66" s="4"/>
      <c r="C66" s="2"/>
      <c r="D66" s="4"/>
      <c r="E66" s="4"/>
      <c r="G66" s="1266"/>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ht="13.15" customHeight="1">
      <c r="A67" s="4"/>
      <c r="C67" s="2"/>
      <c r="D67" s="4"/>
      <c r="E67" s="4"/>
      <c r="F67" t="s">
        <v>508</v>
      </c>
      <c r="G67" s="1266" t="s">
        <v>1165</v>
      </c>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ht="13">
      <c r="A68" s="4"/>
      <c r="C68" s="2"/>
      <c r="D68" s="4"/>
      <c r="E68" s="4"/>
      <c r="F68" s="27"/>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686</v>
      </c>
      <c r="G70" s="1266" t="s">
        <v>1166</v>
      </c>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ht="13">
      <c r="A71" s="4"/>
      <c r="C71" s="2"/>
      <c r="D71" s="4"/>
      <c r="E71" s="4"/>
      <c r="F71" s="8"/>
      <c r="G71" s="1266"/>
      <c r="H71" s="1266"/>
      <c r="I71" s="1266"/>
      <c r="J71" s="1266"/>
      <c r="K71" s="1266"/>
      <c r="L71" s="1266"/>
      <c r="M71" s="1266"/>
      <c r="N71" s="1266"/>
      <c r="O71" s="1266"/>
      <c r="P71" s="1266"/>
      <c r="Q71" s="1266"/>
      <c r="R71" s="1266"/>
      <c r="S71" s="1266"/>
      <c r="T71" s="1266"/>
      <c r="U71" s="1266"/>
      <c r="V71" s="1266"/>
      <c r="W71" s="1266"/>
      <c r="X71" s="1266"/>
      <c r="Y71" s="1266"/>
      <c r="Z71" s="1266"/>
      <c r="AA71" s="1266"/>
      <c r="AB71" s="1266"/>
      <c r="AC71" s="1266"/>
      <c r="AD71" s="1266"/>
      <c r="AE71" s="1266"/>
      <c r="AF71" s="1266"/>
      <c r="AG71" s="1266"/>
      <c r="AH71" s="1266"/>
      <c r="AI71" s="1266"/>
      <c r="AJ71" s="1266"/>
      <c r="AK71" s="1266"/>
    </row>
    <row r="72" spans="1:37" ht="13">
      <c r="A72" s="4"/>
      <c r="C72" s="2"/>
      <c r="D72" s="4"/>
      <c r="E72" s="4"/>
      <c r="F72" s="8" t="s">
        <v>508</v>
      </c>
      <c r="G72" s="1266" t="s">
        <v>1167</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ht="13">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ht="13">
      <c r="A74" s="4"/>
      <c r="C74" s="2"/>
      <c r="D74" s="4"/>
      <c r="E74" s="4"/>
      <c r="F74" s="8"/>
      <c r="G74" s="120" t="s">
        <v>749</v>
      </c>
      <c r="H74" s="4"/>
      <c r="J74" s="120"/>
      <c r="K74" s="120"/>
      <c r="L74" s="120"/>
      <c r="P74" s="4"/>
      <c r="Q74" s="4"/>
      <c r="R74" s="4"/>
      <c r="S74" s="4"/>
      <c r="T74" s="4"/>
      <c r="U74" s="4"/>
      <c r="V74" s="4"/>
      <c r="W74" s="4"/>
      <c r="X74" s="4"/>
      <c r="Y74" s="4"/>
      <c r="Z74" s="4"/>
      <c r="AA74" s="4"/>
      <c r="AB74" s="4"/>
    </row>
    <row r="75" spans="1:37" ht="13">
      <c r="A75" s="4"/>
      <c r="C75" s="2"/>
      <c r="D75" s="4"/>
      <c r="E75" s="4"/>
      <c r="F75" s="8"/>
      <c r="G75" s="120" t="s">
        <v>863</v>
      </c>
      <c r="J75" s="120"/>
      <c r="K75" s="120"/>
      <c r="L75" s="120"/>
      <c r="P75" s="4"/>
      <c r="Q75" s="4"/>
      <c r="R75" s="4"/>
      <c r="S75" s="4"/>
      <c r="T75" s="4"/>
      <c r="U75" s="4"/>
      <c r="V75" s="4"/>
      <c r="W75" s="4"/>
      <c r="X75" s="4"/>
      <c r="Y75" s="4"/>
      <c r="Z75" s="4"/>
      <c r="AA75" s="4"/>
      <c r="AB75" s="4"/>
    </row>
    <row r="76" spans="1:37" ht="13">
      <c r="A76" s="4"/>
      <c r="C76" s="2"/>
      <c r="D76" s="4"/>
      <c r="E76" s="4"/>
      <c r="F76" s="8" t="s">
        <v>277</v>
      </c>
      <c r="G76" s="4" t="s">
        <v>1012</v>
      </c>
      <c r="H76" s="4"/>
      <c r="I76" s="4"/>
      <c r="K76" s="4"/>
      <c r="L76" s="4"/>
      <c r="M76" s="4"/>
      <c r="P76" s="4"/>
      <c r="Q76" s="4"/>
      <c r="R76" s="4"/>
      <c r="S76" s="4"/>
      <c r="T76" s="4"/>
      <c r="U76" s="4"/>
      <c r="V76" s="4"/>
      <c r="W76" s="4"/>
      <c r="X76" s="4"/>
      <c r="Y76" s="4"/>
      <c r="Z76" s="4"/>
      <c r="AA76" s="4"/>
      <c r="AB76" s="4"/>
    </row>
    <row r="77" spans="1:37" ht="13">
      <c r="A77" s="4"/>
      <c r="C77" s="2"/>
      <c r="D77" s="4"/>
      <c r="E77" s="4"/>
      <c r="F77" s="4"/>
      <c r="G77" s="4" t="s">
        <v>506</v>
      </c>
      <c r="H77" s="4" t="s">
        <v>864</v>
      </c>
      <c r="K77" s="4"/>
      <c r="L77" s="4"/>
      <c r="M77" s="4"/>
      <c r="P77" s="4"/>
      <c r="Q77" s="4"/>
      <c r="R77" s="4"/>
      <c r="S77" s="4"/>
      <c r="T77" s="4"/>
      <c r="U77" s="4"/>
      <c r="V77" s="4"/>
      <c r="W77" s="4"/>
      <c r="X77" s="4"/>
      <c r="Y77" s="4"/>
      <c r="Z77" s="4"/>
      <c r="AA77" s="4"/>
      <c r="AB77" s="4"/>
    </row>
    <row r="78" spans="1:37" ht="13">
      <c r="A78" s="4"/>
      <c r="C78" s="2"/>
      <c r="D78" s="4"/>
      <c r="E78" s="4"/>
      <c r="F78" s="4"/>
      <c r="G78" s="4" t="s">
        <v>756</v>
      </c>
      <c r="H78" s="4" t="s">
        <v>752</v>
      </c>
      <c r="K78" s="4"/>
      <c r="L78" s="4"/>
      <c r="M78" s="4"/>
      <c r="P78" s="4"/>
      <c r="Q78" s="4"/>
      <c r="R78" s="4"/>
      <c r="S78" s="4"/>
      <c r="T78" s="4"/>
      <c r="U78" s="4"/>
      <c r="V78" s="4"/>
      <c r="W78" s="4"/>
      <c r="X78" s="4"/>
      <c r="Y78" s="4"/>
      <c r="Z78" s="4"/>
      <c r="AA78" s="4"/>
      <c r="AB78" s="4"/>
    </row>
    <row r="79" spans="1:37" ht="13">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6" t="s">
        <v>1168</v>
      </c>
      <c r="H80" s="1266"/>
      <c r="I80" s="1266"/>
      <c r="J80" s="1266"/>
      <c r="K80" s="1266"/>
      <c r="L80" s="1266"/>
      <c r="M80" s="1266"/>
      <c r="N80" s="1266"/>
      <c r="O80" s="1266"/>
      <c r="P80" s="1266"/>
      <c r="Q80" s="1266"/>
      <c r="R80" s="1266"/>
      <c r="S80" s="1266"/>
      <c r="T80" s="1266"/>
      <c r="U80" s="1266"/>
      <c r="V80" s="1266"/>
      <c r="W80" s="1266"/>
      <c r="X80" s="1266"/>
      <c r="Y80" s="1266"/>
      <c r="Z80" s="1266"/>
      <c r="AA80" s="1266"/>
      <c r="AB80" s="1266"/>
      <c r="AC80" s="1266"/>
      <c r="AD80" s="1266"/>
      <c r="AE80" s="1266"/>
      <c r="AF80" s="1266"/>
      <c r="AG80" s="1266"/>
      <c r="AH80" s="1266"/>
      <c r="AI80" s="1266"/>
      <c r="AJ80" s="1266"/>
      <c r="AK80" s="1266"/>
    </row>
    <row r="81" spans="1:37" ht="13">
      <c r="A81" s="4"/>
      <c r="C81" s="2"/>
      <c r="D81" s="4"/>
      <c r="E81" s="4"/>
      <c r="F81" s="4"/>
      <c r="G81" s="1266"/>
      <c r="H81" s="1266"/>
      <c r="I81" s="1266"/>
      <c r="J81" s="1266"/>
      <c r="K81" s="1266"/>
      <c r="L81" s="1266"/>
      <c r="M81" s="1266"/>
      <c r="N81" s="1266"/>
      <c r="O81" s="1266"/>
      <c r="P81" s="1266"/>
      <c r="Q81" s="1266"/>
      <c r="R81" s="1266"/>
      <c r="S81" s="1266"/>
      <c r="T81" s="1266"/>
      <c r="U81" s="1266"/>
      <c r="V81" s="1266"/>
      <c r="W81" s="1266"/>
      <c r="X81" s="1266"/>
      <c r="Y81" s="1266"/>
      <c r="Z81" s="1266"/>
      <c r="AA81" s="1266"/>
      <c r="AB81" s="1266"/>
      <c r="AC81" s="1266"/>
      <c r="AD81" s="1266"/>
      <c r="AE81" s="1266"/>
      <c r="AF81" s="1266"/>
      <c r="AG81" s="1266"/>
      <c r="AH81" s="1266"/>
      <c r="AI81" s="1266"/>
      <c r="AJ81" s="1266"/>
      <c r="AK81" s="1266"/>
    </row>
    <row r="82" spans="1:37" ht="13">
      <c r="A82" s="4"/>
      <c r="C82" s="2"/>
      <c r="D82" s="4"/>
      <c r="E82" s="4"/>
      <c r="F82" s="4"/>
      <c r="G82" s="1266"/>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ht="13">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6" t="s">
        <v>1169</v>
      </c>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ht="13">
      <c r="A85" s="4"/>
      <c r="C85" s="2"/>
      <c r="D85" s="4"/>
      <c r="E85" s="4"/>
      <c r="F85" s="4"/>
      <c r="G85" s="1266"/>
      <c r="H85" s="1266"/>
      <c r="I85" s="1266"/>
      <c r="J85" s="1266"/>
      <c r="K85" s="1266"/>
      <c r="L85" s="1266"/>
      <c r="M85" s="1266"/>
      <c r="N85" s="1266"/>
      <c r="O85" s="1266"/>
      <c r="P85" s="1266"/>
      <c r="Q85" s="1266"/>
      <c r="R85" s="1266"/>
      <c r="S85" s="1266"/>
      <c r="T85" s="1266"/>
      <c r="U85" s="1266"/>
      <c r="V85" s="1266"/>
      <c r="W85" s="1266"/>
      <c r="X85" s="1266"/>
      <c r="Y85" s="1266"/>
      <c r="Z85" s="1266"/>
      <c r="AA85" s="1266"/>
      <c r="AB85" s="1266"/>
      <c r="AC85" s="1266"/>
      <c r="AD85" s="1266"/>
      <c r="AE85" s="1266"/>
      <c r="AF85" s="1266"/>
      <c r="AG85" s="1266"/>
      <c r="AH85" s="1266"/>
      <c r="AI85" s="1266"/>
      <c r="AJ85" s="1266"/>
      <c r="AK85" s="1266"/>
    </row>
    <row r="86" spans="1:37" ht="13">
      <c r="A86" s="4"/>
      <c r="C86" s="2"/>
      <c r="D86" s="4"/>
      <c r="E86" s="4"/>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ht="13">
      <c r="A87" s="4"/>
      <c r="C87" s="2"/>
      <c r="D87" s="4"/>
      <c r="E87" s="4" t="s">
        <v>261</v>
      </c>
      <c r="F87" t="s">
        <v>865</v>
      </c>
      <c r="G87" s="4"/>
      <c r="L87" s="4"/>
      <c r="M87" s="4"/>
      <c r="P87" s="4"/>
      <c r="Q87" s="4"/>
      <c r="R87" s="4"/>
      <c r="S87" s="4"/>
      <c r="T87" s="4"/>
      <c r="U87" s="4"/>
      <c r="V87" s="4"/>
      <c r="W87" s="4"/>
      <c r="X87" s="4"/>
      <c r="Y87" s="4"/>
      <c r="Z87" s="4"/>
      <c r="AA87" s="4"/>
      <c r="AB87" s="4"/>
    </row>
    <row r="88" spans="1:37" ht="13">
      <c r="A88" s="4"/>
      <c r="C88" s="2"/>
      <c r="D88" s="4"/>
      <c r="E88" s="4"/>
      <c r="G88" s="1269" t="s">
        <v>1170</v>
      </c>
      <c r="H88" s="1269"/>
      <c r="I88" s="1269"/>
      <c r="J88" s="1269"/>
      <c r="K88" s="1269"/>
      <c r="L88" s="1269"/>
      <c r="M88" s="1269"/>
      <c r="N88" s="1269"/>
      <c r="O88" s="1269"/>
      <c r="P88" s="1269"/>
      <c r="Q88" s="1269"/>
      <c r="R88" s="1269"/>
      <c r="S88" s="1269"/>
      <c r="T88" s="1269"/>
      <c r="U88" s="1269"/>
      <c r="V88" s="1269"/>
      <c r="W88" s="1269"/>
      <c r="X88" s="1269"/>
      <c r="Y88" s="1269"/>
      <c r="Z88" s="1269"/>
      <c r="AA88" s="1269"/>
      <c r="AB88" s="1269"/>
      <c r="AC88" s="1269"/>
      <c r="AD88" s="1269"/>
      <c r="AE88" s="1269"/>
      <c r="AF88" s="1269"/>
      <c r="AG88" s="1269"/>
      <c r="AH88" s="1269"/>
      <c r="AI88" s="1269"/>
      <c r="AJ88" s="1269"/>
      <c r="AK88" s="1269"/>
    </row>
    <row r="89" spans="1:37" ht="13">
      <c r="A89" s="4"/>
      <c r="C89" s="2"/>
      <c r="D89" s="4"/>
      <c r="E89" s="4"/>
      <c r="G89" s="1269"/>
      <c r="H89" s="1269"/>
      <c r="I89" s="1269"/>
      <c r="J89" s="1269"/>
      <c r="K89" s="1269"/>
      <c r="L89" s="1269"/>
      <c r="M89" s="1269"/>
      <c r="N89" s="1269"/>
      <c r="O89" s="1269"/>
      <c r="P89" s="1269"/>
      <c r="Q89" s="1269"/>
      <c r="R89" s="1269"/>
      <c r="S89" s="1269"/>
      <c r="T89" s="1269"/>
      <c r="U89" s="1269"/>
      <c r="V89" s="1269"/>
      <c r="W89" s="1269"/>
      <c r="X89" s="1269"/>
      <c r="Y89" s="1269"/>
      <c r="Z89" s="1269"/>
      <c r="AA89" s="1269"/>
      <c r="AB89" s="1269"/>
      <c r="AC89" s="1269"/>
      <c r="AD89" s="1269"/>
      <c r="AE89" s="1269"/>
      <c r="AF89" s="1269"/>
      <c r="AG89" s="1269"/>
      <c r="AH89" s="1269"/>
      <c r="AI89" s="1269"/>
      <c r="AJ89" s="1269"/>
      <c r="AK89" s="1269"/>
    </row>
    <row r="90" spans="1:37" ht="13">
      <c r="A90" s="4"/>
      <c r="C90" s="2"/>
      <c r="D90" s="4"/>
      <c r="E90" s="4"/>
      <c r="G90" s="1269"/>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ht="13">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6" t="s">
        <v>1171</v>
      </c>
      <c r="H92" s="1266"/>
      <c r="I92" s="1266"/>
      <c r="J92" s="1266"/>
      <c r="K92" s="1266"/>
      <c r="L92" s="1266"/>
      <c r="M92" s="1266"/>
      <c r="N92" s="1266"/>
      <c r="O92" s="1266"/>
      <c r="P92" s="1266"/>
      <c r="Q92" s="1266"/>
      <c r="R92" s="1266"/>
      <c r="S92" s="1266"/>
      <c r="T92" s="1266"/>
      <c r="U92" s="1266"/>
      <c r="V92" s="1266"/>
      <c r="W92" s="1266"/>
      <c r="X92" s="1266"/>
      <c r="Y92" s="1266"/>
      <c r="Z92" s="1266"/>
      <c r="AA92" s="1266"/>
      <c r="AB92" s="1266"/>
      <c r="AC92" s="1266"/>
      <c r="AD92" s="1266"/>
      <c r="AE92" s="1266"/>
      <c r="AF92" s="1266"/>
      <c r="AG92" s="1266"/>
      <c r="AH92" s="1266"/>
      <c r="AI92" s="1266"/>
      <c r="AJ92" s="1266"/>
      <c r="AK92" s="1266"/>
    </row>
    <row r="93" spans="1:37" ht="13">
      <c r="A93" s="4"/>
      <c r="C93" s="2"/>
      <c r="D93" s="4"/>
      <c r="E93" s="4"/>
      <c r="G93" s="1266"/>
      <c r="H93" s="1266"/>
      <c r="I93" s="1266"/>
      <c r="J93" s="1266"/>
      <c r="K93" s="1266"/>
      <c r="L93" s="1266"/>
      <c r="M93" s="1266"/>
      <c r="N93" s="1266"/>
      <c r="O93" s="1266"/>
      <c r="P93" s="1266"/>
      <c r="Q93" s="1266"/>
      <c r="R93" s="1266"/>
      <c r="S93" s="1266"/>
      <c r="T93" s="1266"/>
      <c r="U93" s="1266"/>
      <c r="V93" s="1266"/>
      <c r="W93" s="1266"/>
      <c r="X93" s="1266"/>
      <c r="Y93" s="1266"/>
      <c r="Z93" s="1266"/>
      <c r="AA93" s="1266"/>
      <c r="AB93" s="1266"/>
      <c r="AC93" s="1266"/>
      <c r="AD93" s="1266"/>
      <c r="AE93" s="1266"/>
      <c r="AF93" s="1266"/>
      <c r="AG93" s="1266"/>
      <c r="AH93" s="1266"/>
      <c r="AI93" s="1266"/>
      <c r="AJ93" s="1266"/>
      <c r="AK93" s="1266"/>
    </row>
    <row r="94" spans="1:37" ht="13">
      <c r="A94" s="4"/>
      <c r="C94" s="2"/>
      <c r="D94" s="4"/>
      <c r="E94" s="4" t="s">
        <v>903</v>
      </c>
      <c r="F94" s="204" t="s">
        <v>904</v>
      </c>
      <c r="G94" s="204"/>
      <c r="L94" s="4"/>
      <c r="M94" s="4"/>
      <c r="P94" s="4"/>
      <c r="Q94" s="4"/>
      <c r="R94" s="4"/>
      <c r="S94" s="4"/>
      <c r="T94" s="4"/>
      <c r="U94" s="4"/>
      <c r="V94" s="4"/>
      <c r="W94" s="4"/>
      <c r="X94" s="4"/>
      <c r="Y94" s="4"/>
      <c r="Z94" s="4"/>
      <c r="AA94" s="4"/>
      <c r="AB94" s="4"/>
    </row>
    <row r="95" spans="1:37" ht="13">
      <c r="A95" s="4"/>
      <c r="C95" s="2"/>
      <c r="D95" s="4"/>
      <c r="E95" s="4"/>
      <c r="G95" s="1266" t="s">
        <v>1172</v>
      </c>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ht="13">
      <c r="A96" s="4"/>
      <c r="C96" s="2"/>
      <c r="D96" s="4"/>
      <c r="E96" s="4"/>
      <c r="G96" s="1266"/>
      <c r="H96" s="1266"/>
      <c r="I96" s="1266"/>
      <c r="J96" s="1266"/>
      <c r="K96" s="1266"/>
      <c r="L96" s="1266"/>
      <c r="M96" s="1266"/>
      <c r="N96" s="1266"/>
      <c r="O96" s="1266"/>
      <c r="P96" s="1266"/>
      <c r="Q96" s="1266"/>
      <c r="R96" s="1266"/>
      <c r="S96" s="1266"/>
      <c r="T96" s="1266"/>
      <c r="U96" s="1266"/>
      <c r="V96" s="1266"/>
      <c r="W96" s="1266"/>
      <c r="X96" s="1266"/>
      <c r="Y96" s="1266"/>
      <c r="Z96" s="1266"/>
      <c r="AA96" s="1266"/>
      <c r="AB96" s="1266"/>
      <c r="AC96" s="1266"/>
      <c r="AD96" s="1266"/>
      <c r="AE96" s="1266"/>
      <c r="AF96" s="1266"/>
      <c r="AG96" s="1266"/>
      <c r="AH96" s="1266"/>
      <c r="AI96" s="1266"/>
      <c r="AJ96" s="1266"/>
      <c r="AK96" s="1266"/>
    </row>
    <row r="97" spans="1:38" ht="13">
      <c r="A97" s="4"/>
      <c r="C97" s="2"/>
      <c r="D97" s="4"/>
      <c r="E97" s="4"/>
      <c r="G97" s="1266"/>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ht="13">
      <c r="A98" s="4"/>
      <c r="D98" s="99"/>
      <c r="E98" s="1270" t="s">
        <v>1173</v>
      </c>
      <c r="F98" s="1270"/>
      <c r="G98" s="1270"/>
      <c r="H98" s="1270"/>
      <c r="I98" s="1270"/>
      <c r="J98" s="1270"/>
      <c r="K98" s="1270"/>
      <c r="L98" s="1270"/>
      <c r="M98" s="1270"/>
      <c r="N98" s="1270"/>
      <c r="O98" s="1270"/>
      <c r="P98" s="1270"/>
      <c r="Q98" s="1270"/>
      <c r="R98" s="1270"/>
      <c r="S98" s="1270"/>
      <c r="T98" s="1270"/>
      <c r="U98" s="1270"/>
      <c r="V98" s="1270"/>
      <c r="W98" s="1270"/>
      <c r="X98" s="1270"/>
      <c r="Y98" s="1270"/>
      <c r="Z98" s="1270"/>
      <c r="AA98" s="1270"/>
      <c r="AB98" s="1270"/>
      <c r="AC98" s="1270"/>
      <c r="AD98" s="1270"/>
      <c r="AE98" s="1270"/>
      <c r="AF98" s="1270"/>
      <c r="AG98" s="1270"/>
      <c r="AH98" s="1270"/>
      <c r="AI98" s="1270"/>
      <c r="AJ98" s="1270"/>
      <c r="AK98" s="1270"/>
    </row>
    <row r="99" spans="1:38" ht="13">
      <c r="A99" s="4"/>
      <c r="D99" s="99"/>
      <c r="E99" s="1270"/>
      <c r="F99" s="1270"/>
      <c r="G99" s="1270"/>
      <c r="H99" s="1270"/>
      <c r="I99" s="1270"/>
      <c r="J99" s="1270"/>
      <c r="K99" s="1270"/>
      <c r="L99" s="1270"/>
      <c r="M99" s="1270"/>
      <c r="N99" s="1270"/>
      <c r="O99" s="1270"/>
      <c r="P99" s="1270"/>
      <c r="Q99" s="1270"/>
      <c r="R99" s="1270"/>
      <c r="S99" s="1270"/>
      <c r="T99" s="1270"/>
      <c r="U99" s="1270"/>
      <c r="V99" s="1270"/>
      <c r="W99" s="1270"/>
      <c r="X99" s="1270"/>
      <c r="Y99" s="1270"/>
      <c r="Z99" s="1270"/>
      <c r="AA99" s="1270"/>
      <c r="AB99" s="1270"/>
      <c r="AC99" s="1270"/>
      <c r="AD99" s="1270"/>
      <c r="AE99" s="1270"/>
      <c r="AF99" s="1270"/>
      <c r="AG99" s="1270"/>
      <c r="AH99" s="1270"/>
      <c r="AI99" s="1270"/>
      <c r="AJ99" s="1270"/>
      <c r="AK99" s="1270"/>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429</v>
      </c>
      <c r="E103" s="2"/>
      <c r="F103" s="2"/>
      <c r="G103" s="2" t="s">
        <v>1184</v>
      </c>
      <c r="H103" s="2"/>
      <c r="I103" s="2"/>
      <c r="K103" s="2"/>
    </row>
    <row r="104" spans="1:38" ht="13">
      <c r="B104" s="2"/>
      <c r="C104" s="2"/>
      <c r="D104" s="2" t="s">
        <v>206</v>
      </c>
      <c r="E104" s="2" t="s">
        <v>1186</v>
      </c>
      <c r="F104" s="2"/>
      <c r="G104" s="2"/>
      <c r="H104" s="2"/>
      <c r="I104" s="2"/>
      <c r="J104" s="2"/>
      <c r="K104" s="2"/>
      <c r="L104" s="2"/>
      <c r="M104" s="2"/>
    </row>
    <row r="105" spans="1:38" ht="13">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ht="13">
      <c r="E109" s="4" t="s">
        <v>113</v>
      </c>
      <c r="F109" s="98" t="s">
        <v>655</v>
      </c>
      <c r="G109" s="2"/>
      <c r="H109" s="2"/>
      <c r="I109" s="2"/>
      <c r="J109" s="2"/>
    </row>
    <row r="110" spans="1:38">
      <c r="E110" s="4"/>
      <c r="F110" t="s">
        <v>656</v>
      </c>
    </row>
    <row r="111" spans="1:38">
      <c r="E111" s="4"/>
    </row>
    <row r="112" spans="1:38" ht="13">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ht="13">
      <c r="F117" s="4" t="s">
        <v>1013</v>
      </c>
      <c r="G117" s="4"/>
    </row>
    <row r="118" spans="2:10" ht="13">
      <c r="F118" s="99" t="s">
        <v>1185</v>
      </c>
      <c r="G118" s="99"/>
    </row>
    <row r="119" spans="2:10" ht="13">
      <c r="G119" s="99"/>
    </row>
    <row r="120" spans="2:10">
      <c r="E120" s="4" t="s">
        <v>762</v>
      </c>
      <c r="F120" s="98" t="s">
        <v>377</v>
      </c>
    </row>
    <row r="121" spans="2:10">
      <c r="E121" s="4"/>
      <c r="F121" s="4" t="s">
        <v>1005</v>
      </c>
    </row>
    <row r="122" spans="2:10" ht="13">
      <c r="B122" s="2"/>
      <c r="C122" s="2"/>
      <c r="F122" s="2"/>
    </row>
    <row r="123" spans="2:10" ht="13">
      <c r="B123" s="2"/>
      <c r="C123" s="2" t="s">
        <v>430</v>
      </c>
      <c r="G123" s="2" t="s">
        <v>378</v>
      </c>
    </row>
    <row r="124" spans="2:10" ht="13">
      <c r="B124" s="2"/>
      <c r="C124" s="2"/>
      <c r="D124" s="2" t="s">
        <v>206</v>
      </c>
      <c r="E124" s="2" t="s">
        <v>319</v>
      </c>
      <c r="F124" s="2"/>
      <c r="G124" s="2"/>
      <c r="H124" s="2"/>
      <c r="I124" s="2"/>
      <c r="J124" s="2"/>
    </row>
    <row r="125" spans="2:10" ht="13">
      <c r="B125" s="2"/>
      <c r="C125" s="2"/>
      <c r="E125" s="4" t="s">
        <v>922</v>
      </c>
      <c r="F125" s="4"/>
    </row>
    <row r="126" spans="2:10"/>
    <row r="127" spans="2:10" ht="13">
      <c r="D127" s="2" t="s">
        <v>340</v>
      </c>
      <c r="E127" s="2" t="s">
        <v>576</v>
      </c>
    </row>
    <row r="128" spans="2:10">
      <c r="E128" s="4" t="s">
        <v>922</v>
      </c>
      <c r="F128" s="4"/>
    </row>
    <row r="129" spans="4:37"/>
    <row r="130" spans="4:37" ht="13">
      <c r="D130" s="2" t="s">
        <v>573</v>
      </c>
      <c r="E130" s="2" t="s">
        <v>723</v>
      </c>
      <c r="G130" s="2"/>
      <c r="H130" s="2"/>
      <c r="I130" s="2"/>
      <c r="J130" s="2"/>
      <c r="K130" s="2"/>
      <c r="L130" s="2"/>
      <c r="M130" s="2"/>
      <c r="N130" s="2"/>
    </row>
    <row r="131" spans="4:37" ht="13">
      <c r="D131" s="2"/>
      <c r="E131" s="119" t="s">
        <v>1255</v>
      </c>
      <c r="G131" s="2"/>
      <c r="H131" s="2"/>
      <c r="I131" s="2"/>
      <c r="J131" s="2"/>
      <c r="K131" s="2"/>
      <c r="L131" s="2"/>
      <c r="M131" s="2"/>
      <c r="N131" s="2"/>
    </row>
    <row r="132" spans="4:37" ht="12.75" customHeight="1">
      <c r="E132" s="119" t="s">
        <v>1253</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1254</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513</v>
      </c>
      <c r="E135" s="2" t="s">
        <v>516</v>
      </c>
      <c r="F135" s="2"/>
    </row>
    <row r="136" spans="4:37">
      <c r="E136" s="3" t="s">
        <v>1211</v>
      </c>
      <c r="F136" s="4"/>
    </row>
    <row r="137" spans="4:37">
      <c r="F137" s="4"/>
    </row>
    <row r="138" spans="4:37" ht="13">
      <c r="D138" s="2" t="s">
        <v>302</v>
      </c>
      <c r="E138" s="2" t="s">
        <v>1999</v>
      </c>
      <c r="F138" s="2"/>
      <c r="G138" s="2"/>
      <c r="H138" s="2"/>
    </row>
    <row r="139" spans="4:37">
      <c r="E139" t="s">
        <v>112</v>
      </c>
      <c r="F139" t="s">
        <v>52</v>
      </c>
    </row>
    <row r="140" spans="4:37">
      <c r="E140" t="s">
        <v>113</v>
      </c>
      <c r="F140" t="s">
        <v>465</v>
      </c>
    </row>
    <row r="141" spans="4:37"/>
    <row r="142" spans="4:37" ht="13">
      <c r="D142" s="2" t="s">
        <v>428</v>
      </c>
      <c r="E142" s="2" t="s">
        <v>2000</v>
      </c>
    </row>
    <row r="143" spans="4:37">
      <c r="E143" s="204" t="s">
        <v>2001</v>
      </c>
      <c r="F143" s="204"/>
    </row>
    <row r="144" spans="4:37"/>
    <row r="145" spans="3:7" ht="13">
      <c r="C145" s="2" t="s">
        <v>6</v>
      </c>
      <c r="G145" s="2" t="s">
        <v>379</v>
      </c>
    </row>
    <row r="146" spans="3:7" ht="13">
      <c r="D146" s="2" t="s">
        <v>206</v>
      </c>
      <c r="E146" s="2" t="s">
        <v>135</v>
      </c>
    </row>
    <row r="147" spans="3:7">
      <c r="E147" t="s">
        <v>796</v>
      </c>
    </row>
    <row r="148" spans="3:7"/>
    <row r="149" spans="3:7" ht="13">
      <c r="D149" s="2" t="s">
        <v>340</v>
      </c>
      <c r="E149" s="2" t="s">
        <v>523</v>
      </c>
      <c r="F149" s="2"/>
    </row>
    <row r="150" spans="3:7">
      <c r="E150" s="4" t="s">
        <v>924</v>
      </c>
      <c r="F150" s="4"/>
    </row>
    <row r="151" spans="3:7"/>
    <row r="152" spans="3:7" ht="13">
      <c r="D152" s="2" t="s">
        <v>573</v>
      </c>
      <c r="E152" s="2" t="s">
        <v>552</v>
      </c>
    </row>
    <row r="153" spans="3:7">
      <c r="E153" s="4" t="s">
        <v>925</v>
      </c>
    </row>
    <row r="154" spans="3:7">
      <c r="E154" s="4" t="s">
        <v>923</v>
      </c>
      <c r="G154" s="4"/>
    </row>
    <row r="155" spans="3:7"/>
    <row r="156" spans="3:7" ht="13">
      <c r="D156" s="2" t="s">
        <v>513</v>
      </c>
      <c r="E156" s="2" t="s">
        <v>532</v>
      </c>
    </row>
    <row r="157" spans="3:7">
      <c r="E157" t="s">
        <v>112</v>
      </c>
      <c r="F157" s="4" t="s">
        <v>926</v>
      </c>
    </row>
    <row r="158" spans="3:7">
      <c r="E158" s="4" t="s">
        <v>113</v>
      </c>
      <c r="F158" s="4" t="s">
        <v>927</v>
      </c>
    </row>
    <row r="159" spans="3:7">
      <c r="E159" s="4" t="s">
        <v>119</v>
      </c>
      <c r="F159" t="s">
        <v>724</v>
      </c>
    </row>
    <row r="160" spans="3:7"/>
    <row r="161" spans="3:20" ht="13">
      <c r="D161" s="2" t="s">
        <v>302</v>
      </c>
      <c r="E161" s="2" t="s">
        <v>380</v>
      </c>
    </row>
    <row r="162" spans="3:20">
      <c r="E162" s="4" t="s">
        <v>928</v>
      </c>
      <c r="F162" s="4"/>
    </row>
    <row r="163" spans="3:20"/>
    <row r="164" spans="3:20" ht="13">
      <c r="D164" s="2" t="s">
        <v>428</v>
      </c>
      <c r="E164" s="2" t="s">
        <v>171</v>
      </c>
    </row>
    <row r="165" spans="3:20">
      <c r="E165" s="4" t="s">
        <v>930</v>
      </c>
    </row>
    <row r="166" spans="3:20">
      <c r="E166" s="4" t="s">
        <v>929</v>
      </c>
    </row>
    <row r="167" spans="3:20"/>
    <row r="168" spans="3:20" ht="13">
      <c r="D168" s="2" t="s">
        <v>556</v>
      </c>
      <c r="E168" s="2" t="s">
        <v>621</v>
      </c>
    </row>
    <row r="169" spans="3:20">
      <c r="E169" t="s">
        <v>112</v>
      </c>
      <c r="F169" t="s">
        <v>725</v>
      </c>
    </row>
    <row r="170" spans="3:20">
      <c r="E170" t="s">
        <v>113</v>
      </c>
      <c r="F170" t="s">
        <v>296</v>
      </c>
    </row>
    <row r="171" spans="3:20">
      <c r="F171" s="4"/>
    </row>
    <row r="172" spans="3:20" ht="13">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576</v>
      </c>
    </row>
    <row r="176" spans="3:20" ht="13">
      <c r="D176" s="2" t="s">
        <v>206</v>
      </c>
      <c r="E176" s="2" t="s">
        <v>297</v>
      </c>
      <c r="G176" s="4"/>
      <c r="H176" s="4"/>
      <c r="I176" s="4"/>
      <c r="J176" s="4"/>
      <c r="K176" s="4"/>
      <c r="L176" s="4"/>
      <c r="M176" s="4"/>
      <c r="N176" s="4"/>
    </row>
    <row r="177" spans="2:19">
      <c r="E177" t="s">
        <v>112</v>
      </c>
      <c r="F177" s="4" t="s">
        <v>931</v>
      </c>
    </row>
    <row r="178" spans="2:19" ht="13">
      <c r="F178" s="120" t="s">
        <v>1146</v>
      </c>
      <c r="I178" s="120"/>
    </row>
    <row r="179" spans="2:19" ht="13">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ht="13">
      <c r="D183" s="2" t="s">
        <v>340</v>
      </c>
      <c r="E183" s="2" t="s">
        <v>1006</v>
      </c>
    </row>
    <row r="184" spans="2:19">
      <c r="B184" s="4"/>
      <c r="C184" s="4"/>
      <c r="E184" s="4" t="s">
        <v>708</v>
      </c>
      <c r="F184" s="4"/>
      <c r="I184" s="4"/>
    </row>
    <row r="185" spans="2:19" ht="13">
      <c r="B185" s="4"/>
      <c r="C185" s="4"/>
      <c r="E185" s="4" t="s">
        <v>1004</v>
      </c>
      <c r="F185" s="120"/>
      <c r="G185" s="4"/>
      <c r="I185" s="120"/>
    </row>
    <row r="186" spans="2:19" ht="13">
      <c r="B186" s="4"/>
      <c r="C186" s="4"/>
      <c r="F186" s="120"/>
      <c r="G186" s="4"/>
      <c r="I186" s="120"/>
    </row>
    <row r="187" spans="2:19" ht="13">
      <c r="B187" s="4"/>
      <c r="C187" s="4"/>
      <c r="D187" s="2" t="s">
        <v>573</v>
      </c>
      <c r="E187" s="2" t="s">
        <v>3</v>
      </c>
      <c r="F187" s="120"/>
      <c r="G187" s="4"/>
      <c r="I187" s="120"/>
    </row>
    <row r="188" spans="2:19" ht="13">
      <c r="B188" s="4"/>
      <c r="C188" s="4"/>
      <c r="D188" s="2"/>
      <c r="E188" s="4" t="s">
        <v>298</v>
      </c>
      <c r="F188" s="4"/>
      <c r="G188" s="4"/>
      <c r="I188" s="120"/>
    </row>
    <row r="189" spans="2:19" ht="13">
      <c r="B189" s="4"/>
      <c r="C189" s="4"/>
      <c r="F189" s="120"/>
      <c r="G189" s="4"/>
      <c r="I189" s="120"/>
    </row>
    <row r="190" spans="2:19" ht="13">
      <c r="D190" s="2" t="s">
        <v>513</v>
      </c>
      <c r="E190" s="2" t="s">
        <v>111</v>
      </c>
    </row>
    <row r="191" spans="2:19" ht="13">
      <c r="B191" s="4"/>
      <c r="C191" s="2"/>
      <c r="E191" t="s">
        <v>112</v>
      </c>
      <c r="F191" s="4" t="s">
        <v>1014</v>
      </c>
      <c r="G191" s="4"/>
      <c r="H191" s="4"/>
      <c r="I191" s="4"/>
    </row>
    <row r="192" spans="2:19" ht="13">
      <c r="B192" s="4"/>
      <c r="C192" s="2"/>
      <c r="F192" s="4" t="s">
        <v>652</v>
      </c>
      <c r="G192" s="3" t="s">
        <v>1205</v>
      </c>
    </row>
    <row r="193" spans="2:37">
      <c r="B193" s="4"/>
      <c r="C193" s="4"/>
      <c r="F193" s="4" t="s">
        <v>347</v>
      </c>
      <c r="G193" s="3" t="s">
        <v>1206</v>
      </c>
      <c r="I193" s="4"/>
      <c r="J193" s="4"/>
      <c r="M193" s="4"/>
      <c r="N193" s="4"/>
      <c r="O193" s="4"/>
      <c r="P193" s="4"/>
      <c r="Q193" s="4"/>
      <c r="R193" s="4"/>
      <c r="S193" s="4"/>
    </row>
    <row r="194" spans="2:37">
      <c r="B194" s="4"/>
      <c r="C194" s="4"/>
      <c r="F194" s="4" t="s">
        <v>348</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302</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428</v>
      </c>
      <c r="E199" s="2" t="s">
        <v>120</v>
      </c>
      <c r="G199" s="4"/>
      <c r="H199" s="4"/>
      <c r="I199" s="4"/>
      <c r="J199" s="4"/>
      <c r="M199" s="4"/>
      <c r="N199" s="4"/>
      <c r="O199" s="4"/>
      <c r="P199" s="4"/>
      <c r="Q199" s="4"/>
      <c r="R199" s="4"/>
      <c r="S199" s="4"/>
    </row>
    <row r="200" spans="2:37" ht="13">
      <c r="B200" s="4"/>
      <c r="C200" s="4"/>
      <c r="D200" s="2"/>
      <c r="E200" s="4" t="s">
        <v>112</v>
      </c>
      <c r="F200" s="4" t="s">
        <v>934</v>
      </c>
      <c r="M200" s="4"/>
      <c r="N200" s="4"/>
      <c r="O200" s="4"/>
      <c r="P200" s="4"/>
      <c r="Q200" s="4"/>
      <c r="R200" s="4"/>
      <c r="S200" s="4"/>
    </row>
    <row r="201" spans="2:37" ht="13">
      <c r="B201" s="4"/>
      <c r="C201" s="4"/>
      <c r="D201" s="2"/>
      <c r="E201" s="4" t="s">
        <v>113</v>
      </c>
      <c r="F201" s="4" t="s">
        <v>1015</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ht="13">
      <c r="B204" s="4"/>
      <c r="C204" s="4"/>
      <c r="D204" s="2"/>
      <c r="E204" s="4" t="s">
        <v>580</v>
      </c>
      <c r="F204" s="4" t="s">
        <v>936</v>
      </c>
      <c r="M204" s="4"/>
      <c r="N204" s="4"/>
      <c r="O204" s="4"/>
      <c r="P204" s="4"/>
      <c r="Q204" s="4"/>
      <c r="R204" s="4"/>
      <c r="S204" s="4"/>
    </row>
    <row r="205" spans="2:37" ht="13">
      <c r="B205" s="4"/>
      <c r="C205" s="4"/>
      <c r="D205" s="2"/>
      <c r="F205" t="s">
        <v>652</v>
      </c>
      <c r="G205" s="1266" t="s">
        <v>1174</v>
      </c>
      <c r="H205" s="1266"/>
      <c r="I205" s="1266"/>
      <c r="J205" s="1266"/>
      <c r="K205" s="1266"/>
      <c r="L205" s="1266"/>
      <c r="M205" s="1266"/>
      <c r="N205" s="1266"/>
      <c r="O205" s="1266"/>
      <c r="P205" s="1266"/>
      <c r="Q205" s="1266"/>
      <c r="R205" s="1266"/>
      <c r="S205" s="1266"/>
      <c r="T205" s="1266"/>
      <c r="U205" s="1266"/>
      <c r="V205" s="1266"/>
      <c r="W205" s="1266"/>
      <c r="X205" s="1266"/>
      <c r="Y205" s="1266"/>
      <c r="Z205" s="1266"/>
      <c r="AA205" s="1266"/>
      <c r="AB205" s="1266"/>
      <c r="AC205" s="1266"/>
      <c r="AD205" s="1266"/>
      <c r="AE205" s="1266"/>
      <c r="AF205" s="1266"/>
      <c r="AG205" s="1266"/>
      <c r="AH205" s="1266"/>
      <c r="AI205" s="1266"/>
      <c r="AJ205" s="1266"/>
      <c r="AK205" s="1266"/>
    </row>
    <row r="206" spans="2:37" ht="13">
      <c r="B206" s="4"/>
      <c r="C206" s="4"/>
      <c r="D206" s="2"/>
      <c r="G206" s="1266"/>
      <c r="H206" s="1266"/>
      <c r="I206" s="1266"/>
      <c r="J206" s="1266"/>
      <c r="K206" s="1266"/>
      <c r="L206" s="1266"/>
      <c r="M206" s="1266"/>
      <c r="N206" s="1266"/>
      <c r="O206" s="1266"/>
      <c r="P206" s="1266"/>
      <c r="Q206" s="1266"/>
      <c r="R206" s="1266"/>
      <c r="S206" s="1266"/>
      <c r="T206" s="1266"/>
      <c r="U206" s="1266"/>
      <c r="V206" s="1266"/>
      <c r="W206" s="1266"/>
      <c r="X206" s="1266"/>
      <c r="Y206" s="1266"/>
      <c r="Z206" s="1266"/>
      <c r="AA206" s="1266"/>
      <c r="AB206" s="1266"/>
      <c r="AC206" s="1266"/>
      <c r="AD206" s="1266"/>
      <c r="AE206" s="1266"/>
      <c r="AF206" s="1266"/>
      <c r="AG206" s="1266"/>
      <c r="AH206" s="1266"/>
      <c r="AI206" s="1266"/>
      <c r="AJ206" s="1266"/>
      <c r="AK206" s="1266"/>
    </row>
    <row r="207" spans="2:37" ht="13">
      <c r="B207" s="4"/>
      <c r="C207" s="4"/>
      <c r="D207" s="2"/>
      <c r="M207" s="4"/>
      <c r="N207" s="4"/>
      <c r="O207" s="4"/>
      <c r="P207" s="4"/>
      <c r="Q207" s="4"/>
      <c r="R207" s="4"/>
      <c r="S207" s="4"/>
    </row>
    <row r="208" spans="2:37" ht="13">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554</v>
      </c>
      <c r="E211" s="2" t="s">
        <v>247</v>
      </c>
      <c r="F211" s="4"/>
      <c r="G211" s="4"/>
      <c r="I211" s="4"/>
      <c r="J211" s="4"/>
      <c r="M211" s="4"/>
      <c r="N211" s="4"/>
      <c r="O211" s="4"/>
      <c r="P211" s="4"/>
      <c r="Q211" s="4"/>
      <c r="R211" s="4"/>
      <c r="S211" s="4"/>
      <c r="T211" s="4"/>
      <c r="U211" s="4"/>
      <c r="V211" s="4"/>
      <c r="W211" s="4"/>
    </row>
    <row r="212" spans="1:38" ht="13">
      <c r="B212" s="4"/>
      <c r="C212" s="4"/>
      <c r="D212" s="2"/>
      <c r="E212" s="4" t="s">
        <v>298</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429</v>
      </c>
      <c r="D223" s="4"/>
      <c r="E223" s="4"/>
      <c r="F223" s="4"/>
      <c r="G223" s="2" t="s">
        <v>451</v>
      </c>
      <c r="I223" s="4"/>
      <c r="J223" s="4"/>
      <c r="K223" s="4"/>
      <c r="M223" s="4"/>
      <c r="N223" s="4"/>
      <c r="O223" s="4"/>
      <c r="P223" s="4"/>
      <c r="Q223" s="4"/>
      <c r="R223" s="4"/>
      <c r="S223" s="4"/>
    </row>
    <row r="224" spans="1:38" ht="13">
      <c r="B224" s="2"/>
      <c r="E224" s="4" t="s">
        <v>112</v>
      </c>
      <c r="F224" s="4" t="s">
        <v>715</v>
      </c>
      <c r="G224" s="4"/>
      <c r="I224" s="4"/>
      <c r="J224" s="4"/>
      <c r="K224" s="4"/>
      <c r="L224" s="4"/>
      <c r="M224" s="4"/>
      <c r="N224" s="4"/>
      <c r="O224" s="4"/>
      <c r="P224" s="4"/>
      <c r="Q224" s="4"/>
      <c r="R224" s="4"/>
      <c r="S224" s="4"/>
    </row>
    <row r="225" spans="2:19" ht="13">
      <c r="B225" s="2"/>
      <c r="E225" s="4" t="s">
        <v>113</v>
      </c>
      <c r="F225" s="4" t="s">
        <v>679</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430</v>
      </c>
      <c r="D227" s="4"/>
      <c r="E227" s="4"/>
      <c r="F227" s="4"/>
      <c r="G227" s="2" t="s">
        <v>21</v>
      </c>
      <c r="I227" s="4"/>
      <c r="J227" s="4"/>
      <c r="K227" s="4"/>
      <c r="L227" s="4"/>
      <c r="M227" s="4"/>
      <c r="N227" s="4"/>
      <c r="O227" s="4"/>
      <c r="P227" s="4"/>
      <c r="Q227" s="4"/>
      <c r="R227" s="4"/>
      <c r="S227" s="4"/>
    </row>
    <row r="228" spans="2:19" ht="13">
      <c r="B228" s="2"/>
      <c r="E228" s="4" t="s">
        <v>112</v>
      </c>
      <c r="F228" s="4" t="s">
        <v>716</v>
      </c>
      <c r="G228" s="4"/>
      <c r="I228" s="4"/>
      <c r="J228" s="4"/>
      <c r="K228" s="4"/>
      <c r="L228" s="4"/>
      <c r="M228" s="4"/>
      <c r="N228" s="4"/>
      <c r="O228" s="4"/>
      <c r="P228" s="4"/>
      <c r="Q228" s="4"/>
      <c r="R228" s="4"/>
      <c r="S228" s="4"/>
    </row>
    <row r="229" spans="2:19" ht="13">
      <c r="B229" s="2"/>
      <c r="E229" s="4"/>
      <c r="F229" s="4" t="s">
        <v>717</v>
      </c>
      <c r="G229" s="4"/>
      <c r="H229" s="4"/>
      <c r="I229" s="4"/>
      <c r="J229" s="4"/>
      <c r="K229" s="4"/>
      <c r="L229" s="4"/>
      <c r="M229" s="4"/>
      <c r="N229" s="4"/>
      <c r="O229" s="4"/>
      <c r="P229" s="4"/>
      <c r="Q229" s="4"/>
      <c r="R229" s="4"/>
      <c r="S229" s="4"/>
    </row>
    <row r="230" spans="2:19" ht="13">
      <c r="B230" s="2"/>
      <c r="D230" s="4"/>
      <c r="E230" s="4" t="s">
        <v>113</v>
      </c>
      <c r="F230" s="4" t="s">
        <v>679</v>
      </c>
      <c r="G230" s="4"/>
      <c r="I230" s="4"/>
      <c r="J230" s="4"/>
      <c r="K230" s="4"/>
      <c r="L230" s="4"/>
      <c r="M230" s="4"/>
      <c r="N230" s="4"/>
      <c r="O230" s="4"/>
      <c r="P230" s="4"/>
      <c r="Q230" s="4"/>
      <c r="R230" s="4"/>
      <c r="S230" s="4"/>
    </row>
    <row r="231" spans="2:19" ht="13">
      <c r="B231" s="2"/>
      <c r="E231" s="4" t="s">
        <v>119</v>
      </c>
      <c r="F231" s="98" t="s">
        <v>951</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326</v>
      </c>
      <c r="F233" s="4"/>
      <c r="J233" s="4"/>
      <c r="K233" s="4"/>
      <c r="M233" s="4"/>
      <c r="N233" s="4"/>
      <c r="O233" s="4"/>
      <c r="P233" s="4"/>
      <c r="Q233" s="4"/>
      <c r="R233" s="4"/>
      <c r="S233" s="4"/>
    </row>
    <row r="234" spans="2:19" ht="13">
      <c r="B234" s="4"/>
      <c r="C234" s="4"/>
      <c r="E234" t="s">
        <v>112</v>
      </c>
      <c r="F234" s="4" t="s">
        <v>326</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ht="13">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347</v>
      </c>
      <c r="G242" s="136" t="s">
        <v>942</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ht="13">
      <c r="B245" s="4"/>
      <c r="C245" s="4"/>
      <c r="D245" s="2"/>
      <c r="E245" s="4" t="s">
        <v>119</v>
      </c>
      <c r="F245" s="4" t="s">
        <v>327</v>
      </c>
      <c r="H245" s="4"/>
      <c r="I245" s="4"/>
      <c r="M245" s="4"/>
      <c r="N245" s="4"/>
      <c r="O245" s="4"/>
      <c r="P245" s="4"/>
      <c r="Q245" s="4"/>
      <c r="R245" s="4"/>
      <c r="S245" s="4"/>
    </row>
    <row r="246" spans="2:21" ht="13">
      <c r="B246" s="4"/>
      <c r="C246" s="4"/>
      <c r="D246" s="2"/>
      <c r="E246" s="2"/>
      <c r="F246" t="s">
        <v>652</v>
      </c>
      <c r="G246" s="4" t="s">
        <v>431</v>
      </c>
      <c r="I246" s="4"/>
      <c r="M246" s="4"/>
      <c r="N246" s="4"/>
      <c r="O246" s="4"/>
      <c r="P246" s="4"/>
      <c r="Q246" s="4"/>
      <c r="R246" s="4"/>
      <c r="S246" s="4"/>
    </row>
    <row r="247" spans="2:21" ht="13">
      <c r="B247" s="4"/>
      <c r="C247" s="4"/>
      <c r="D247" s="2"/>
      <c r="E247" s="2"/>
      <c r="F247" s="4"/>
      <c r="G247" s="4" t="s">
        <v>432</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382</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1147</v>
      </c>
      <c r="G251" s="4"/>
      <c r="I251" s="120"/>
      <c r="J251" s="4"/>
      <c r="K251" s="4"/>
      <c r="L251" s="4"/>
      <c r="M251" s="4"/>
      <c r="N251" s="4"/>
      <c r="O251" s="4"/>
      <c r="P251" s="4"/>
      <c r="Q251" s="4"/>
      <c r="R251" s="4"/>
      <c r="S251" s="4"/>
      <c r="T251" s="4"/>
      <c r="U251" s="4"/>
    </row>
    <row r="252" spans="2:21" ht="13">
      <c r="B252" s="2"/>
      <c r="C252" s="2"/>
      <c r="E252" s="4" t="s">
        <v>113</v>
      </c>
      <c r="F252" s="4" t="s">
        <v>937</v>
      </c>
      <c r="I252" s="4"/>
      <c r="J252" s="4"/>
      <c r="K252" s="4"/>
      <c r="L252" s="4"/>
      <c r="M252" s="4"/>
      <c r="N252" s="4"/>
      <c r="O252" s="4"/>
      <c r="P252" s="4"/>
      <c r="Q252" s="4"/>
      <c r="R252" s="4"/>
      <c r="S252" s="4"/>
      <c r="T252" s="4"/>
      <c r="U252" s="4"/>
    </row>
    <row r="253" spans="2:21" ht="13">
      <c r="B253" s="2"/>
      <c r="C253" s="2"/>
      <c r="E253" s="4"/>
      <c r="F253" s="204" t="s">
        <v>652</v>
      </c>
      <c r="G253" s="204" t="s">
        <v>810</v>
      </c>
      <c r="I253" s="3"/>
      <c r="K253" s="3"/>
      <c r="L253" s="3"/>
      <c r="M253" s="3"/>
      <c r="N253" s="3"/>
      <c r="O253" s="3"/>
      <c r="Q253" s="4"/>
      <c r="R253" s="4"/>
      <c r="S253" s="4"/>
      <c r="T253" s="4"/>
      <c r="U253" s="4"/>
    </row>
    <row r="254" spans="2:21" ht="13">
      <c r="B254" s="2"/>
      <c r="C254" s="2"/>
      <c r="E254" s="4"/>
      <c r="F254" s="204"/>
      <c r="G254" s="204" t="s">
        <v>811</v>
      </c>
      <c r="I254" s="3"/>
      <c r="K254" s="3"/>
      <c r="L254" s="3"/>
      <c r="M254" s="3"/>
      <c r="N254" s="3"/>
      <c r="O254" s="3"/>
      <c r="P254" s="3"/>
    </row>
    <row r="255" spans="2:21" ht="13">
      <c r="B255" s="2"/>
      <c r="C255" s="2"/>
      <c r="E255" s="4"/>
      <c r="F255" s="204" t="s">
        <v>347</v>
      </c>
      <c r="G255" s="204" t="s">
        <v>943</v>
      </c>
      <c r="I255" s="4"/>
      <c r="K255" s="4"/>
      <c r="L255" s="4"/>
      <c r="M255" s="4"/>
      <c r="N255" s="4"/>
      <c r="O255" s="4"/>
      <c r="P255" s="3"/>
    </row>
    <row r="256" spans="2:21" ht="13">
      <c r="B256" s="2"/>
      <c r="C256" s="2"/>
      <c r="E256" s="4"/>
      <c r="F256" s="204"/>
      <c r="G256" s="204" t="s">
        <v>869</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206</v>
      </c>
      <c r="E258" s="2" t="s">
        <v>383</v>
      </c>
      <c r="G258" s="4"/>
      <c r="H258" s="4"/>
      <c r="I258" s="4"/>
      <c r="J258" s="4"/>
      <c r="K258" s="4"/>
      <c r="L258" s="4"/>
      <c r="M258" s="4"/>
      <c r="N258" s="4"/>
      <c r="O258" s="4"/>
      <c r="P258" s="4"/>
      <c r="Q258" s="4"/>
      <c r="R258" s="4"/>
      <c r="S258" s="4"/>
    </row>
    <row r="259" spans="2:21" ht="13">
      <c r="B259" s="2"/>
      <c r="C259" s="2"/>
      <c r="E259" s="4" t="s">
        <v>112</v>
      </c>
      <c r="F259" s="4" t="s">
        <v>252</v>
      </c>
      <c r="G259" s="4"/>
      <c r="I259" s="4"/>
      <c r="J259" s="4"/>
      <c r="K259" s="4"/>
      <c r="L259" s="4"/>
      <c r="M259" s="4"/>
      <c r="N259" s="4"/>
      <c r="O259" s="4"/>
      <c r="P259" s="4"/>
      <c r="Q259" s="4"/>
      <c r="R259" s="4"/>
      <c r="S259" s="4"/>
    </row>
    <row r="260" spans="2:21" ht="13">
      <c r="B260" s="2"/>
      <c r="C260" s="2"/>
      <c r="E260" s="4" t="s">
        <v>113</v>
      </c>
      <c r="F260" s="4" t="s">
        <v>802</v>
      </c>
      <c r="G260" s="4"/>
      <c r="I260" s="4"/>
      <c r="J260" s="4"/>
      <c r="K260" s="4"/>
      <c r="L260" s="4"/>
      <c r="M260" s="4"/>
      <c r="N260" s="4"/>
      <c r="O260" s="4"/>
      <c r="P260" s="4"/>
      <c r="Q260" s="4"/>
      <c r="R260" s="4"/>
      <c r="S260" s="4"/>
    </row>
    <row r="261" spans="2:21" ht="13">
      <c r="B261" s="2"/>
      <c r="C261" s="2"/>
      <c r="E261" s="4" t="s">
        <v>119</v>
      </c>
      <c r="F261" s="4" t="s">
        <v>253</v>
      </c>
      <c r="I261" s="4"/>
      <c r="J261" s="4"/>
      <c r="K261" s="4"/>
      <c r="L261" s="4"/>
      <c r="M261" s="4"/>
      <c r="N261" s="4"/>
      <c r="O261" s="4"/>
      <c r="P261" s="4"/>
      <c r="Q261" s="4"/>
      <c r="R261" s="4"/>
      <c r="S261" s="4"/>
    </row>
    <row r="262" spans="2:21" ht="13">
      <c r="B262" s="2"/>
      <c r="C262" s="2"/>
      <c r="E262" s="2"/>
      <c r="F262" s="4" t="s">
        <v>803</v>
      </c>
      <c r="I262" s="4"/>
      <c r="J262" s="4"/>
      <c r="K262" s="4"/>
      <c r="L262" s="4"/>
      <c r="M262" s="4"/>
      <c r="N262" s="4"/>
      <c r="O262" s="4"/>
      <c r="P262" s="4"/>
      <c r="Q262" s="4"/>
      <c r="R262" s="4"/>
      <c r="S262" s="4"/>
    </row>
    <row r="263" spans="2:21" ht="13">
      <c r="B263" s="2"/>
      <c r="C263" s="2"/>
      <c r="E263" s="4" t="s">
        <v>580</v>
      </c>
      <c r="F263" s="204" t="s">
        <v>812</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340</v>
      </c>
      <c r="E265" s="2" t="s">
        <v>72</v>
      </c>
      <c r="G265" s="4"/>
      <c r="H265" s="4"/>
      <c r="I265" s="4"/>
      <c r="J265" s="4"/>
      <c r="K265" s="4"/>
      <c r="L265" s="4"/>
      <c r="M265" s="4"/>
      <c r="N265" s="4"/>
      <c r="O265" s="4"/>
      <c r="P265" s="4"/>
      <c r="Q265" s="4"/>
      <c r="R265" s="4"/>
      <c r="S265" s="4"/>
    </row>
    <row r="266" spans="2:21" ht="13">
      <c r="B266" s="2"/>
      <c r="C266" s="2"/>
      <c r="E266" s="4" t="s">
        <v>1016</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573</v>
      </c>
      <c r="E268" s="2" t="s">
        <v>286</v>
      </c>
      <c r="G268" s="4"/>
    </row>
    <row r="269" spans="2:21" ht="13">
      <c r="B269" s="2"/>
      <c r="C269" s="2"/>
      <c r="E269" s="4" t="s">
        <v>254</v>
      </c>
      <c r="F269" s="4"/>
      <c r="G269" s="4"/>
      <c r="J269" s="4"/>
      <c r="K269" s="4"/>
      <c r="L269" s="4"/>
      <c r="M269" s="4"/>
      <c r="N269" s="4"/>
    </row>
    <row r="270" spans="2:21" ht="13">
      <c r="B270" s="2"/>
      <c r="C270" s="2"/>
      <c r="E270" s="4" t="s">
        <v>944</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513</v>
      </c>
      <c r="E272" s="2" t="s">
        <v>611</v>
      </c>
      <c r="G272" s="4"/>
      <c r="H272" s="4"/>
      <c r="J272" s="4"/>
      <c r="K272" s="4"/>
      <c r="L272" s="4"/>
      <c r="M272" s="4"/>
      <c r="N272" s="4"/>
      <c r="O272" s="4"/>
      <c r="P272" s="4"/>
      <c r="Q272" s="4"/>
      <c r="R272" s="4"/>
      <c r="S272" s="4"/>
      <c r="T272" s="4"/>
      <c r="U272" s="4"/>
    </row>
    <row r="273" spans="2:23" ht="13">
      <c r="B273" s="2"/>
      <c r="D273" s="4"/>
      <c r="E273" s="4" t="s">
        <v>1009</v>
      </c>
      <c r="J273" s="4"/>
      <c r="K273" s="4"/>
      <c r="L273" s="4"/>
      <c r="M273" s="4"/>
      <c r="N273" s="4"/>
      <c r="O273" s="4"/>
      <c r="P273" s="4"/>
      <c r="Q273" s="4"/>
      <c r="R273" s="4"/>
      <c r="S273" s="4"/>
      <c r="T273" s="4"/>
      <c r="U273" s="4"/>
    </row>
    <row r="274" spans="2:23" ht="13">
      <c r="B274" s="2"/>
      <c r="D274" s="4"/>
      <c r="E274" s="4" t="s">
        <v>938</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302</v>
      </c>
      <c r="E276" s="2" t="s">
        <v>287</v>
      </c>
      <c r="K276" s="4"/>
      <c r="L276" s="4"/>
      <c r="M276" s="4"/>
      <c r="N276" s="4"/>
      <c r="O276" s="4"/>
      <c r="P276" s="4"/>
      <c r="Q276" s="4"/>
      <c r="R276" s="4"/>
      <c r="S276" s="4"/>
      <c r="T276" s="4"/>
      <c r="U276" s="4"/>
    </row>
    <row r="277" spans="2:23" ht="13">
      <c r="B277" s="2"/>
      <c r="D277" s="2"/>
      <c r="E277" t="s">
        <v>255</v>
      </c>
      <c r="K277" s="4"/>
      <c r="L277" s="4"/>
      <c r="M277" s="4"/>
      <c r="N277" s="4"/>
      <c r="O277" s="4"/>
      <c r="P277" s="4"/>
      <c r="Q277" s="4"/>
      <c r="R277" s="4"/>
      <c r="S277" s="4"/>
    </row>
    <row r="278" spans="2:23" ht="13">
      <c r="B278" s="2"/>
      <c r="D278" s="4"/>
      <c r="E278" s="4" t="s">
        <v>945</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428</v>
      </c>
      <c r="E280" s="2" t="s">
        <v>424</v>
      </c>
      <c r="G280" s="4"/>
      <c r="H280" s="4"/>
      <c r="I280" s="4"/>
      <c r="J280" s="4"/>
      <c r="K280" s="4"/>
      <c r="L280" s="4"/>
      <c r="M280" s="4"/>
      <c r="O280" s="4"/>
      <c r="P280" s="4"/>
      <c r="Q280" s="4"/>
      <c r="R280" s="4"/>
      <c r="S280" s="4"/>
    </row>
    <row r="281" spans="2:23" ht="13">
      <c r="B281" s="2"/>
      <c r="D281" s="2"/>
      <c r="E281" t="s">
        <v>256</v>
      </c>
      <c r="G281" s="4"/>
      <c r="H281" s="4"/>
      <c r="I281" s="4"/>
      <c r="J281" s="4"/>
      <c r="K281" s="4"/>
      <c r="L281" s="4"/>
      <c r="M281" s="4"/>
      <c r="P281" s="4"/>
      <c r="Q281" s="4"/>
      <c r="R281" s="4"/>
      <c r="S281" s="4"/>
    </row>
    <row r="282" spans="2:23" ht="13">
      <c r="B282" s="2"/>
      <c r="D282" s="2"/>
      <c r="E282" t="s">
        <v>257</v>
      </c>
      <c r="G282" s="4"/>
      <c r="H282" s="4"/>
      <c r="I282" s="4"/>
      <c r="J282" s="4"/>
      <c r="K282" s="4"/>
      <c r="L282" s="4"/>
      <c r="M282" s="4"/>
      <c r="P282" s="4"/>
      <c r="Q282" s="4"/>
      <c r="R282" s="4"/>
      <c r="S282" s="4"/>
    </row>
    <row r="283" spans="2:23" ht="13">
      <c r="B283" s="2"/>
      <c r="D283" s="2"/>
      <c r="E283" s="120" t="s">
        <v>946</v>
      </c>
      <c r="F283" s="120"/>
      <c r="G283" s="4"/>
      <c r="H283" s="120"/>
      <c r="I283" s="120"/>
      <c r="J283" s="4"/>
      <c r="K283" s="4"/>
      <c r="L283" s="4"/>
      <c r="M283" s="4"/>
      <c r="P283" s="4"/>
      <c r="Q283" s="4"/>
      <c r="R283" s="4"/>
      <c r="S283" s="4"/>
    </row>
    <row r="284" spans="2:23" ht="13">
      <c r="B284" s="2"/>
      <c r="D284" s="2"/>
      <c r="E284" s="449" t="s">
        <v>868</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556</v>
      </c>
      <c r="E286" s="2" t="s">
        <v>557</v>
      </c>
      <c r="K286" s="4"/>
      <c r="L286" s="4"/>
      <c r="M286" s="4"/>
      <c r="N286" s="4"/>
    </row>
    <row r="287" spans="2:23" ht="13">
      <c r="B287" s="2"/>
      <c r="D287" s="4"/>
      <c r="E287" s="4" t="s">
        <v>112</v>
      </c>
      <c r="F287" s="4" t="s">
        <v>558</v>
      </c>
      <c r="G287" s="4"/>
      <c r="O287" s="4"/>
      <c r="P287" s="4"/>
      <c r="Q287" s="4"/>
      <c r="R287" s="4"/>
      <c r="S287" s="4"/>
      <c r="T287" s="4"/>
      <c r="U287" s="4"/>
      <c r="V287" s="4"/>
      <c r="W287" s="4"/>
    </row>
    <row r="288" spans="2:23" ht="13">
      <c r="B288" s="2"/>
      <c r="D288" s="4"/>
      <c r="E288" s="4"/>
      <c r="F288" s="120" t="s">
        <v>1148</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559</v>
      </c>
      <c r="G289" s="4"/>
      <c r="L289" s="4"/>
      <c r="M289" s="4"/>
      <c r="N289" s="4"/>
      <c r="O289" s="4"/>
      <c r="P289" s="4"/>
      <c r="Q289" s="4"/>
      <c r="R289" s="4"/>
      <c r="S289" s="4"/>
      <c r="T289" s="4"/>
      <c r="U289" s="4"/>
      <c r="V289" s="4"/>
      <c r="W289" s="4"/>
    </row>
    <row r="290" spans="2:23" ht="13">
      <c r="B290" s="2"/>
      <c r="D290" s="4"/>
      <c r="E290" s="4" t="s">
        <v>119</v>
      </c>
      <c r="F290" s="4" t="s">
        <v>258</v>
      </c>
      <c r="G290" s="4"/>
      <c r="H290" s="4"/>
      <c r="K290" s="4"/>
      <c r="L290" s="4"/>
      <c r="M290" s="4"/>
      <c r="N290" s="4"/>
      <c r="O290" s="4"/>
      <c r="P290" s="4"/>
      <c r="Q290" s="4"/>
      <c r="R290" s="4"/>
      <c r="S290" s="4"/>
      <c r="T290" s="4"/>
      <c r="U290" s="4"/>
      <c r="V290" s="4"/>
      <c r="W290" s="4"/>
    </row>
    <row r="291" spans="2:23" ht="13">
      <c r="B291" s="2"/>
      <c r="D291" s="4"/>
      <c r="E291" s="4"/>
      <c r="F291" s="4" t="s">
        <v>652</v>
      </c>
      <c r="G291" s="4" t="s">
        <v>259</v>
      </c>
      <c r="K291" s="4"/>
      <c r="L291" s="4"/>
      <c r="M291" s="4"/>
      <c r="N291" s="4"/>
      <c r="O291" s="4"/>
      <c r="P291" s="4"/>
      <c r="Q291" s="4"/>
      <c r="R291" s="4"/>
      <c r="S291" s="4"/>
      <c r="T291" s="4"/>
      <c r="U291" s="4"/>
      <c r="V291" s="4"/>
      <c r="W291" s="4"/>
    </row>
    <row r="292" spans="2:23" ht="13">
      <c r="B292" s="2"/>
      <c r="D292" s="4"/>
      <c r="E292" s="4"/>
      <c r="F292" s="4" t="s">
        <v>347</v>
      </c>
      <c r="G292" s="4" t="s">
        <v>939</v>
      </c>
      <c r="H292" s="4"/>
      <c r="K292" s="4"/>
      <c r="L292" s="4"/>
      <c r="M292" s="4"/>
      <c r="N292" s="4"/>
      <c r="O292" s="4"/>
      <c r="P292" s="4"/>
      <c r="Q292" s="4"/>
      <c r="R292" s="4"/>
      <c r="S292" s="4"/>
      <c r="T292" s="4"/>
      <c r="U292" s="4"/>
      <c r="V292" s="4"/>
      <c r="W292" s="4"/>
    </row>
    <row r="293" spans="2:23" ht="13">
      <c r="B293" s="2"/>
      <c r="D293" s="4"/>
      <c r="E293" s="4"/>
      <c r="F293" s="4" t="s">
        <v>348</v>
      </c>
      <c r="G293" s="4" t="s">
        <v>560</v>
      </c>
      <c r="K293" s="4"/>
      <c r="L293" s="4"/>
      <c r="M293" s="4"/>
      <c r="N293" s="4"/>
      <c r="O293" s="4"/>
      <c r="P293" s="4"/>
      <c r="Q293" s="4"/>
      <c r="R293" s="4"/>
      <c r="S293" s="4"/>
      <c r="T293" s="4"/>
      <c r="U293" s="4"/>
      <c r="V293" s="4"/>
      <c r="W293" s="4"/>
    </row>
    <row r="294" spans="2:23" ht="13">
      <c r="B294" s="2"/>
      <c r="D294" s="4"/>
      <c r="E294" s="4"/>
      <c r="F294" s="4" t="s">
        <v>443</v>
      </c>
      <c r="G294" s="4" t="s">
        <v>260</v>
      </c>
      <c r="H294" s="4"/>
      <c r="K294" s="4"/>
      <c r="L294" s="4"/>
      <c r="M294" s="4"/>
      <c r="N294" s="4"/>
      <c r="O294" s="4"/>
      <c r="P294" s="4"/>
      <c r="Q294" s="4"/>
      <c r="R294" s="4"/>
      <c r="S294" s="4"/>
      <c r="T294" s="4"/>
      <c r="U294" s="4"/>
      <c r="V294" s="4"/>
      <c r="W294" s="4"/>
    </row>
    <row r="295" spans="2:23" ht="13">
      <c r="B295" s="2"/>
      <c r="D295" s="4"/>
      <c r="E295" s="4"/>
      <c r="F295" s="4" t="s">
        <v>261</v>
      </c>
      <c r="G295" s="4" t="s">
        <v>389</v>
      </c>
      <c r="K295" s="4"/>
      <c r="L295" s="4"/>
      <c r="M295" s="4"/>
      <c r="N295" s="4"/>
      <c r="O295" s="4"/>
      <c r="P295" s="4"/>
      <c r="Q295" s="4"/>
      <c r="R295" s="4"/>
      <c r="S295" s="4"/>
      <c r="T295" s="4"/>
      <c r="U295" s="4"/>
      <c r="V295" s="4"/>
      <c r="W295" s="4"/>
    </row>
    <row r="296" spans="2:23" ht="13">
      <c r="B296" s="2"/>
      <c r="D296" s="4"/>
      <c r="E296" s="4"/>
      <c r="F296" s="4" t="s">
        <v>262</v>
      </c>
      <c r="G296" s="4" t="s">
        <v>169</v>
      </c>
      <c r="H296" s="4"/>
      <c r="K296" s="4"/>
      <c r="L296" s="4"/>
      <c r="M296" s="4"/>
      <c r="N296" s="4"/>
      <c r="O296" s="4"/>
      <c r="P296" s="4"/>
      <c r="Q296" s="4"/>
      <c r="R296" s="4"/>
      <c r="S296" s="4"/>
      <c r="T296" s="4"/>
      <c r="U296" s="4"/>
      <c r="V296" s="4"/>
      <c r="W296" s="4"/>
    </row>
    <row r="297" spans="2:23" ht="13">
      <c r="B297" s="2"/>
      <c r="D297" s="4"/>
      <c r="E297" s="4" t="s">
        <v>580</v>
      </c>
      <c r="F297" s="4" t="s">
        <v>741</v>
      </c>
      <c r="G297" s="4"/>
      <c r="K297" s="4"/>
      <c r="L297" s="4"/>
      <c r="M297" s="4"/>
      <c r="N297" s="4"/>
      <c r="O297" s="4"/>
      <c r="P297" s="4"/>
      <c r="Q297" s="4"/>
      <c r="R297" s="4"/>
      <c r="S297" s="4"/>
      <c r="T297" s="4"/>
      <c r="U297" s="4"/>
      <c r="V297" s="4"/>
      <c r="W297" s="4"/>
    </row>
    <row r="298" spans="2:23" ht="13">
      <c r="B298" s="2"/>
      <c r="D298" s="4"/>
      <c r="E298" s="4" t="s">
        <v>762</v>
      </c>
      <c r="F298" s="4" t="s">
        <v>748</v>
      </c>
      <c r="G298" s="4"/>
      <c r="K298" s="4"/>
      <c r="L298" s="4"/>
      <c r="M298" s="4"/>
      <c r="N298" s="4"/>
      <c r="O298" s="4"/>
      <c r="P298" s="4"/>
      <c r="Q298" s="4"/>
      <c r="R298" s="4"/>
      <c r="S298" s="4"/>
      <c r="T298" s="4"/>
      <c r="U298" s="4"/>
      <c r="V298" s="4"/>
      <c r="W298" s="4"/>
    </row>
    <row r="299" spans="2:23" ht="13">
      <c r="B299" s="2"/>
      <c r="D299" s="4"/>
      <c r="E299" s="4"/>
      <c r="F299" s="120" t="s">
        <v>961</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962</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963</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554</v>
      </c>
      <c r="E303" s="2" t="s">
        <v>288</v>
      </c>
      <c r="G303" s="4"/>
      <c r="H303" s="4"/>
      <c r="I303" s="4"/>
      <c r="J303" s="4"/>
      <c r="K303" s="4"/>
      <c r="L303" s="4"/>
      <c r="M303" s="4"/>
      <c r="N303" s="4"/>
      <c r="O303" s="4"/>
      <c r="P303" s="4"/>
      <c r="Q303" s="4"/>
      <c r="R303" s="4"/>
      <c r="S303" s="4"/>
      <c r="T303" s="4"/>
      <c r="U303" s="4"/>
      <c r="V303" s="4"/>
      <c r="W303" s="4"/>
    </row>
    <row r="304" spans="2:23" ht="13">
      <c r="B304" s="2"/>
      <c r="D304" s="2"/>
      <c r="E304" s="4" t="s">
        <v>947</v>
      </c>
      <c r="F304" s="4"/>
      <c r="K304" s="4"/>
      <c r="L304" s="4"/>
      <c r="M304" s="4"/>
      <c r="N304" s="4"/>
      <c r="O304" s="4"/>
      <c r="P304" s="4"/>
      <c r="Q304" s="4"/>
      <c r="R304" s="4"/>
      <c r="S304" s="4"/>
      <c r="T304" s="4"/>
      <c r="U304" s="4"/>
      <c r="V304" s="4"/>
      <c r="W304" s="4"/>
    </row>
    <row r="305" spans="2:23" ht="13">
      <c r="B305" s="2"/>
      <c r="D305" s="2"/>
      <c r="E305" s="4" t="s">
        <v>945</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613</v>
      </c>
      <c r="I307" s="4"/>
      <c r="J307" s="4"/>
      <c r="K307" s="4"/>
      <c r="L307" s="4"/>
      <c r="M307" s="4"/>
      <c r="N307" s="4"/>
      <c r="O307" s="4"/>
      <c r="P307" s="4"/>
    </row>
    <row r="308" spans="2:23" ht="13">
      <c r="B308" s="2"/>
      <c r="D308" s="2" t="s">
        <v>206</v>
      </c>
      <c r="E308" s="2" t="s">
        <v>263</v>
      </c>
      <c r="G308" s="2"/>
      <c r="H308" s="2"/>
      <c r="I308" s="2"/>
      <c r="J308" s="2"/>
      <c r="K308" s="2"/>
      <c r="L308" s="2"/>
      <c r="M308" s="2"/>
      <c r="N308" s="2"/>
      <c r="O308" s="2"/>
      <c r="P308" s="2"/>
      <c r="Q308" s="2"/>
      <c r="R308" s="2"/>
    </row>
    <row r="309" spans="2:23" ht="13">
      <c r="B309" s="2"/>
      <c r="D309" s="2"/>
      <c r="E309" t="s">
        <v>264</v>
      </c>
      <c r="G309" s="4"/>
      <c r="I309" s="4"/>
      <c r="K309" s="4"/>
    </row>
    <row r="310" spans="2:23" ht="13">
      <c r="B310" s="2"/>
      <c r="D310" s="2"/>
      <c r="E310" s="4" t="s">
        <v>798</v>
      </c>
      <c r="F310" s="4"/>
      <c r="G310" s="4"/>
      <c r="I310" s="4"/>
      <c r="K310" s="4"/>
    </row>
    <row r="311" spans="2:23" ht="13">
      <c r="B311" s="2"/>
      <c r="D311" s="2"/>
      <c r="E311" s="4" t="s">
        <v>948</v>
      </c>
      <c r="F311" s="4"/>
      <c r="G311" s="4"/>
      <c r="I311" s="4"/>
      <c r="K311" s="4"/>
    </row>
    <row r="312" spans="2:23" ht="13">
      <c r="B312" s="2"/>
      <c r="D312" s="2"/>
      <c r="E312" s="4" t="s">
        <v>799</v>
      </c>
      <c r="F312" s="4"/>
      <c r="G312" s="4"/>
      <c r="I312" s="4"/>
      <c r="K312" s="4"/>
    </row>
    <row r="313" spans="2:23" ht="13">
      <c r="B313" s="2"/>
      <c r="D313" s="2"/>
      <c r="G313" s="4"/>
      <c r="I313" s="4"/>
      <c r="K313" s="4"/>
    </row>
    <row r="314" spans="2:23" ht="13">
      <c r="B314" s="2"/>
      <c r="D314" s="2" t="s">
        <v>340</v>
      </c>
      <c r="E314" s="2" t="s">
        <v>750</v>
      </c>
      <c r="G314" s="4"/>
      <c r="H314" s="4"/>
      <c r="I314" s="4"/>
      <c r="J314" s="4"/>
      <c r="K314" s="4"/>
      <c r="P314" s="4"/>
      <c r="Q314" s="4"/>
      <c r="R314" s="4"/>
      <c r="S314" s="4"/>
    </row>
    <row r="315" spans="2:23" ht="13">
      <c r="B315" s="2"/>
      <c r="D315" s="2"/>
      <c r="E315" t="s">
        <v>265</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573</v>
      </c>
      <c r="E317" s="170" t="s">
        <v>734</v>
      </c>
      <c r="F317" s="3"/>
      <c r="G317" s="4"/>
      <c r="H317" s="4"/>
      <c r="I317" s="4"/>
      <c r="J317" s="4"/>
      <c r="K317" s="4"/>
      <c r="L317" s="4"/>
      <c r="M317" s="4"/>
      <c r="N317" s="4"/>
      <c r="O317" s="4"/>
      <c r="P317" s="4"/>
      <c r="Q317" s="4"/>
      <c r="R317" s="4"/>
      <c r="S317" s="4"/>
    </row>
    <row r="318" spans="2:23" ht="13">
      <c r="B318" s="2"/>
      <c r="E318" t="s">
        <v>731</v>
      </c>
      <c r="I318" s="4"/>
      <c r="J318" s="4"/>
      <c r="K318" s="4"/>
      <c r="L318" s="4"/>
      <c r="M318" s="4"/>
      <c r="N318" s="4"/>
      <c r="O318" s="4"/>
      <c r="P318" s="4"/>
      <c r="Q318" s="4"/>
      <c r="R318" s="4"/>
      <c r="S318" s="4"/>
    </row>
    <row r="319" spans="2:23" ht="13">
      <c r="B319" s="2"/>
      <c r="E319" t="s">
        <v>732</v>
      </c>
      <c r="I319" s="4"/>
      <c r="J319" s="4"/>
      <c r="K319" s="4"/>
      <c r="L319" s="4"/>
      <c r="M319" s="4"/>
      <c r="N319" s="4"/>
      <c r="O319" s="4"/>
      <c r="P319" s="4"/>
      <c r="Q319" s="4"/>
      <c r="R319" s="4"/>
      <c r="S319" s="4"/>
    </row>
    <row r="320" spans="2:23" ht="13">
      <c r="B320" s="2"/>
      <c r="E320" t="s">
        <v>733</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614</v>
      </c>
      <c r="I322" s="4"/>
      <c r="J322" s="4"/>
      <c r="K322" s="4"/>
      <c r="L322" s="4"/>
      <c r="M322" s="4"/>
      <c r="N322" s="4"/>
      <c r="O322" s="4"/>
      <c r="P322" s="4"/>
      <c r="Q322" s="4"/>
      <c r="R322" s="4"/>
      <c r="S322" s="4"/>
    </row>
    <row r="323" spans="1:38" ht="13">
      <c r="A323" t="s">
        <v>249</v>
      </c>
      <c r="D323" s="2" t="s">
        <v>206</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ht="13">
      <c r="F326" s="120" t="s">
        <v>1149</v>
      </c>
      <c r="I326" s="120"/>
      <c r="J326" s="4"/>
      <c r="K326" s="4"/>
      <c r="L326" s="4"/>
      <c r="M326" s="4"/>
      <c r="N326" s="4"/>
      <c r="O326" s="4"/>
      <c r="P326" s="4"/>
      <c r="Q326" s="4"/>
      <c r="R326" s="4"/>
      <c r="S326" s="4"/>
    </row>
    <row r="327" spans="1:38" ht="13">
      <c r="F327" s="120" t="s">
        <v>1150</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429</v>
      </c>
      <c r="G331" s="2" t="s">
        <v>22</v>
      </c>
      <c r="I331" s="2"/>
      <c r="J331" s="4"/>
      <c r="K331" s="4"/>
      <c r="L331" s="4"/>
      <c r="M331" s="4"/>
      <c r="N331" s="4"/>
      <c r="O331" s="4"/>
      <c r="P331" s="4"/>
      <c r="Q331" s="4"/>
      <c r="R331" s="4"/>
      <c r="S331" s="4"/>
    </row>
    <row r="332" spans="1:38" ht="13">
      <c r="B332" s="2"/>
      <c r="C332" s="2"/>
      <c r="D332" s="2" t="s">
        <v>206</v>
      </c>
      <c r="E332" s="2" t="s">
        <v>22</v>
      </c>
      <c r="G332" s="2"/>
      <c r="I332" s="2"/>
      <c r="J332" s="4"/>
      <c r="K332" s="4"/>
      <c r="L332" s="4"/>
      <c r="M332" s="4"/>
      <c r="N332" s="4"/>
      <c r="O332" s="4"/>
      <c r="P332" s="4"/>
      <c r="Q332" s="4"/>
      <c r="R332" s="4"/>
      <c r="S332" s="4"/>
    </row>
    <row r="333" spans="1:38" ht="13">
      <c r="B333" s="2"/>
      <c r="E333" t="s">
        <v>112</v>
      </c>
      <c r="F333" t="s">
        <v>738</v>
      </c>
      <c r="J333" s="4"/>
      <c r="K333" s="4"/>
      <c r="L333" s="4"/>
      <c r="M333" s="4"/>
      <c r="N333" s="4"/>
      <c r="O333" s="4"/>
      <c r="P333" s="4"/>
      <c r="Q333" s="4"/>
      <c r="R333" s="4"/>
      <c r="S333" s="4"/>
    </row>
    <row r="334" spans="1:38" ht="13">
      <c r="B334" s="2"/>
      <c r="E334" s="4"/>
      <c r="F334" s="4" t="s">
        <v>739</v>
      </c>
      <c r="J334" s="4"/>
      <c r="K334" s="4"/>
      <c r="L334" s="4"/>
      <c r="M334" s="4"/>
      <c r="N334" s="4"/>
      <c r="O334" s="4"/>
      <c r="P334" s="4"/>
      <c r="Q334" s="4"/>
      <c r="R334" s="4"/>
      <c r="S334" s="4"/>
    </row>
    <row r="335" spans="1:38" ht="13">
      <c r="B335" s="2"/>
      <c r="E335" s="4"/>
      <c r="F335" s="4" t="s">
        <v>740</v>
      </c>
      <c r="I335" s="4"/>
      <c r="J335" s="4"/>
      <c r="K335" s="4"/>
      <c r="L335" s="4"/>
      <c r="M335" s="4"/>
      <c r="N335" s="4"/>
      <c r="O335" s="4"/>
      <c r="P335" s="4"/>
      <c r="Q335" s="4"/>
      <c r="R335" s="4"/>
      <c r="S335" s="4"/>
    </row>
    <row r="336" spans="1:38" ht="13">
      <c r="B336" s="2"/>
      <c r="E336" s="4" t="s">
        <v>113</v>
      </c>
      <c r="F336" s="1266" t="s">
        <v>1153</v>
      </c>
      <c r="G336" s="1266"/>
      <c r="H336" s="1266"/>
      <c r="I336" s="1266"/>
      <c r="J336" s="1266"/>
      <c r="K336" s="1266"/>
      <c r="L336" s="1266"/>
      <c r="M336" s="1266"/>
      <c r="N336" s="1266"/>
      <c r="O336" s="1266"/>
      <c r="P336" s="1266"/>
      <c r="Q336" s="1266"/>
      <c r="R336" s="1266"/>
      <c r="S336" s="1266"/>
      <c r="T336" s="1266"/>
      <c r="U336" s="1266"/>
      <c r="V336" s="1266"/>
      <c r="W336" s="1266"/>
      <c r="X336" s="1266"/>
      <c r="Y336" s="1266"/>
      <c r="Z336" s="1266"/>
      <c r="AA336" s="1266"/>
      <c r="AB336" s="1266"/>
      <c r="AC336" s="1266"/>
      <c r="AD336" s="1266"/>
      <c r="AE336" s="1266"/>
      <c r="AF336" s="1266"/>
      <c r="AG336" s="1266"/>
      <c r="AH336" s="1266"/>
      <c r="AI336" s="1266"/>
      <c r="AJ336" s="1266"/>
      <c r="AK336" s="1266"/>
    </row>
    <row r="337" spans="2:37" ht="13">
      <c r="B337" s="2"/>
      <c r="E337" s="4"/>
      <c r="F337" s="1266"/>
      <c r="G337" s="1266"/>
      <c r="H337" s="1266"/>
      <c r="I337" s="1266"/>
      <c r="J337" s="1266"/>
      <c r="K337" s="1266"/>
      <c r="L337" s="1266"/>
      <c r="M337" s="1266"/>
      <c r="N337" s="1266"/>
      <c r="O337" s="1266"/>
      <c r="P337" s="1266"/>
      <c r="Q337" s="1266"/>
      <c r="R337" s="1266"/>
      <c r="S337" s="1266"/>
      <c r="T337" s="1266"/>
      <c r="U337" s="1266"/>
      <c r="V337" s="1266"/>
      <c r="W337" s="1266"/>
      <c r="X337" s="1266"/>
      <c r="Y337" s="1266"/>
      <c r="Z337" s="1266"/>
      <c r="AA337" s="1266"/>
      <c r="AB337" s="1266"/>
      <c r="AC337" s="1266"/>
      <c r="AD337" s="1266"/>
      <c r="AE337" s="1266"/>
      <c r="AF337" s="1266"/>
      <c r="AG337" s="1266"/>
      <c r="AH337" s="1266"/>
      <c r="AI337" s="1266"/>
      <c r="AJ337" s="1266"/>
      <c r="AK337" s="1266"/>
    </row>
    <row r="338" spans="2:37" ht="13">
      <c r="B338" s="2"/>
      <c r="E338" s="4"/>
      <c r="F338" s="1266"/>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ht="13">
      <c r="B339" s="2"/>
      <c r="F339" s="4"/>
      <c r="H339" s="4"/>
      <c r="I339" s="4"/>
      <c r="J339" s="4"/>
      <c r="K339" s="4"/>
      <c r="L339" s="4"/>
      <c r="M339" s="4"/>
      <c r="N339" s="4"/>
      <c r="O339" s="4"/>
      <c r="P339" s="4"/>
      <c r="Q339" s="4"/>
      <c r="R339" s="4"/>
      <c r="S339" s="4"/>
    </row>
    <row r="340" spans="2:37" ht="13">
      <c r="B340" s="2"/>
      <c r="C340" s="2" t="s">
        <v>430</v>
      </c>
      <c r="G340" s="2" t="s">
        <v>1226</v>
      </c>
      <c r="I340" s="2"/>
      <c r="J340" s="4"/>
      <c r="K340" s="4"/>
      <c r="L340" s="4"/>
      <c r="M340" s="4"/>
      <c r="N340" s="4"/>
      <c r="O340" s="4"/>
      <c r="P340" s="4"/>
      <c r="Q340" s="4"/>
      <c r="R340" s="4"/>
      <c r="S340" s="4"/>
    </row>
    <row r="341" spans="2:37" ht="13.15" customHeight="1">
      <c r="B341" s="2"/>
      <c r="E341" s="1271" t="s">
        <v>1233</v>
      </c>
      <c r="F341" s="1271"/>
      <c r="G341" s="1271"/>
      <c r="H341" s="1271"/>
      <c r="I341" s="1271"/>
      <c r="J341" s="1271"/>
      <c r="K341" s="1271"/>
      <c r="L341" s="1271"/>
      <c r="M341" s="1271"/>
      <c r="N341" s="1271"/>
      <c r="O341" s="1271"/>
      <c r="P341" s="1271"/>
      <c r="Q341" s="1271"/>
      <c r="R341" s="1271"/>
      <c r="S341" s="1271"/>
      <c r="T341" s="1271"/>
      <c r="U341" s="1271"/>
      <c r="V341" s="1271"/>
      <c r="W341" s="1271"/>
      <c r="X341" s="1271"/>
      <c r="Y341" s="1271"/>
      <c r="Z341" s="1271"/>
      <c r="AA341" s="1271"/>
      <c r="AB341" s="1271"/>
      <c r="AC341" s="1271"/>
      <c r="AD341" s="1271"/>
      <c r="AE341" s="1271"/>
      <c r="AF341" s="1271"/>
      <c r="AG341" s="1271"/>
      <c r="AH341" s="1271"/>
      <c r="AI341" s="1271"/>
      <c r="AJ341" s="1271"/>
      <c r="AK341" s="1271"/>
    </row>
    <row r="342" spans="2:37" ht="13">
      <c r="B342" s="2"/>
      <c r="E342" s="1271"/>
      <c r="F342" s="1271"/>
      <c r="G342" s="1271"/>
      <c r="H342" s="1271"/>
      <c r="I342" s="1271"/>
      <c r="J342" s="1271"/>
      <c r="K342" s="1271"/>
      <c r="L342" s="1271"/>
      <c r="M342" s="1271"/>
      <c r="N342" s="1271"/>
      <c r="O342" s="1271"/>
      <c r="P342" s="1271"/>
      <c r="Q342" s="1271"/>
      <c r="R342" s="1271"/>
      <c r="S342" s="1271"/>
      <c r="T342" s="1271"/>
      <c r="U342" s="1271"/>
      <c r="V342" s="1271"/>
      <c r="W342" s="1271"/>
      <c r="X342" s="1271"/>
      <c r="Y342" s="1271"/>
      <c r="Z342" s="1271"/>
      <c r="AA342" s="1271"/>
      <c r="AB342" s="1271"/>
      <c r="AC342" s="1271"/>
      <c r="AD342" s="1271"/>
      <c r="AE342" s="1271"/>
      <c r="AF342" s="1271"/>
      <c r="AG342" s="1271"/>
      <c r="AH342" s="1271"/>
      <c r="AI342" s="1271"/>
      <c r="AJ342" s="1271"/>
      <c r="AK342" s="1271"/>
    </row>
    <row r="343" spans="2:37" ht="13">
      <c r="B343" s="2"/>
      <c r="E343" s="1271"/>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ht="13">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ht="13">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ht="13">
      <c r="B346" s="2"/>
      <c r="E346" s="3" t="s">
        <v>112</v>
      </c>
      <c r="F346" s="1266" t="s">
        <v>1235</v>
      </c>
      <c r="G346" s="1266"/>
      <c r="H346" s="1266"/>
      <c r="I346" s="1266"/>
      <c r="J346" s="1266"/>
      <c r="K346" s="1266"/>
      <c r="L346" s="1266"/>
      <c r="M346" s="1266"/>
      <c r="N346" s="1266"/>
      <c r="O346" s="1266"/>
      <c r="P346" s="1266"/>
      <c r="Q346" s="1266"/>
      <c r="R346" s="1266"/>
      <c r="S346" s="1266"/>
      <c r="T346" s="1266"/>
      <c r="U346" s="1266"/>
      <c r="V346" s="1266"/>
      <c r="W346" s="1266"/>
      <c r="X346" s="1266"/>
      <c r="Y346" s="1266"/>
      <c r="Z346" s="1266"/>
      <c r="AA346" s="1266"/>
      <c r="AB346" s="1266"/>
      <c r="AC346" s="1266"/>
      <c r="AD346" s="1266"/>
      <c r="AE346" s="1266"/>
      <c r="AF346" s="1266"/>
      <c r="AG346" s="1266"/>
      <c r="AH346" s="1266"/>
      <c r="AI346" s="1266"/>
      <c r="AJ346" s="1266"/>
      <c r="AK346" s="1266"/>
    </row>
    <row r="347" spans="2:37" ht="13">
      <c r="B347" s="2"/>
      <c r="E347" s="3"/>
      <c r="F347" s="1266"/>
      <c r="G347" s="1266"/>
      <c r="H347" s="1266"/>
      <c r="I347" s="1266"/>
      <c r="J347" s="1266"/>
      <c r="K347" s="1266"/>
      <c r="L347" s="1266"/>
      <c r="M347" s="1266"/>
      <c r="N347" s="1266"/>
      <c r="O347" s="1266"/>
      <c r="P347" s="1266"/>
      <c r="Q347" s="1266"/>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row>
    <row r="348" spans="2:37" ht="13">
      <c r="B348" s="2"/>
      <c r="E348" s="3"/>
      <c r="F348" s="1266"/>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ht="13">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ht="13">
      <c r="B350" s="2"/>
      <c r="E350" s="3" t="s">
        <v>113</v>
      </c>
      <c r="F350" s="1266" t="s">
        <v>1234</v>
      </c>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ht="13">
      <c r="B351" s="2"/>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ht="13">
      <c r="B352" s="2"/>
      <c r="F352" s="1266"/>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ht="13">
      <c r="B353" s="2"/>
      <c r="F353" s="4"/>
      <c r="H353" s="4"/>
      <c r="I353" s="4"/>
      <c r="J353" s="4"/>
      <c r="K353" s="4"/>
      <c r="L353" s="4"/>
      <c r="M353" s="4"/>
      <c r="N353" s="4"/>
      <c r="O353" s="4"/>
      <c r="P353" s="4"/>
      <c r="Q353" s="4"/>
      <c r="R353" s="4"/>
      <c r="S353" s="4"/>
    </row>
    <row r="354" spans="1:38" ht="13">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15" customHeight="1">
      <c r="B356" s="2"/>
      <c r="C356" s="11" t="s">
        <v>1216</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206</v>
      </c>
      <c r="E358" s="2" t="s">
        <v>122</v>
      </c>
      <c r="I358" s="4"/>
      <c r="J358" s="4"/>
      <c r="K358" s="4"/>
      <c r="L358" s="4"/>
      <c r="M358" s="4"/>
      <c r="N358" s="4"/>
      <c r="O358" s="4"/>
      <c r="P358" s="4"/>
      <c r="Q358" s="4"/>
      <c r="R358" s="4"/>
      <c r="S358" s="4"/>
    </row>
    <row r="359" spans="1:38" ht="13">
      <c r="B359" s="2"/>
      <c r="E359" t="s">
        <v>112</v>
      </c>
      <c r="F359" s="4" t="s">
        <v>742</v>
      </c>
      <c r="I359" s="4"/>
      <c r="J359" s="4"/>
      <c r="K359" s="4"/>
      <c r="L359" s="4"/>
      <c r="M359" s="4"/>
      <c r="N359" s="4"/>
      <c r="O359" s="4"/>
      <c r="P359" s="4"/>
      <c r="Q359" s="4"/>
      <c r="R359" s="4"/>
      <c r="S359" s="4"/>
    </row>
    <row r="360" spans="1:38" ht="13">
      <c r="B360" s="2"/>
      <c r="F360" s="4" t="s">
        <v>743</v>
      </c>
      <c r="I360" s="4"/>
      <c r="J360" s="4"/>
      <c r="K360" s="4"/>
      <c r="L360" s="4"/>
      <c r="M360" s="4"/>
      <c r="N360" s="4"/>
      <c r="O360" s="4"/>
      <c r="P360" s="4"/>
      <c r="Q360" s="4"/>
      <c r="R360" s="4"/>
      <c r="S360" s="4"/>
    </row>
    <row r="361" spans="1:38" ht="13">
      <c r="B361" s="2"/>
      <c r="F361" s="4" t="s">
        <v>871</v>
      </c>
      <c r="G361" s="4"/>
      <c r="K361" s="4"/>
      <c r="L361" s="4"/>
      <c r="M361" s="4"/>
      <c r="N361" s="4"/>
      <c r="O361" s="4"/>
      <c r="P361" s="4"/>
      <c r="Q361" s="4"/>
      <c r="R361" s="4"/>
      <c r="S361" s="4"/>
    </row>
    <row r="362" spans="1:38" ht="13">
      <c r="B362" s="2"/>
      <c r="E362" t="s">
        <v>113</v>
      </c>
      <c r="F362" s="4" t="s">
        <v>870</v>
      </c>
      <c r="I362" s="4"/>
      <c r="J362" s="4"/>
      <c r="K362" s="4"/>
      <c r="L362" s="4"/>
      <c r="M362" s="4"/>
      <c r="N362" s="4"/>
      <c r="O362" s="4"/>
      <c r="P362" s="4"/>
      <c r="Q362" s="4"/>
      <c r="R362" s="4"/>
      <c r="S362" s="4"/>
    </row>
    <row r="363" spans="1:38" ht="13">
      <c r="B363" s="2"/>
      <c r="E363" t="s">
        <v>119</v>
      </c>
      <c r="F363" s="4" t="s">
        <v>744</v>
      </c>
      <c r="I363" s="4"/>
      <c r="J363" s="4"/>
      <c r="K363" s="4"/>
      <c r="L363" s="4"/>
      <c r="M363" s="4"/>
      <c r="N363" s="4"/>
      <c r="O363" s="4"/>
      <c r="P363" s="4"/>
      <c r="Q363" s="4"/>
      <c r="R363" s="4"/>
      <c r="S363" s="4"/>
    </row>
    <row r="364" spans="1:38" ht="13">
      <c r="B364" s="2"/>
      <c r="F364" s="4" t="s">
        <v>745</v>
      </c>
      <c r="J364" s="4"/>
      <c r="K364" s="4"/>
      <c r="L364" s="4"/>
      <c r="M364" s="4"/>
      <c r="N364" s="4"/>
      <c r="O364" s="4"/>
      <c r="P364" s="4"/>
      <c r="Q364" s="4"/>
      <c r="R364" s="4"/>
      <c r="S364" s="4"/>
    </row>
    <row r="365" spans="1:38" ht="13">
      <c r="B365" s="2"/>
      <c r="E365" s="1274" t="s">
        <v>1224</v>
      </c>
      <c r="F365" s="1274"/>
      <c r="G365" s="1274"/>
      <c r="H365" s="1274"/>
      <c r="I365" s="1274"/>
      <c r="J365" s="1274"/>
      <c r="K365" s="1274"/>
      <c r="L365" s="1274"/>
      <c r="M365" s="1274"/>
      <c r="N365" s="1274"/>
      <c r="O365" s="1274"/>
      <c r="P365" s="1274"/>
      <c r="Q365" s="1274"/>
      <c r="R365" s="1274"/>
      <c r="S365" s="1274"/>
      <c r="T365" s="1274"/>
      <c r="U365" s="1274"/>
      <c r="V365" s="1274"/>
      <c r="W365" s="1274"/>
      <c r="X365" s="1274"/>
      <c r="Y365" s="1274"/>
      <c r="Z365" s="1274"/>
      <c r="AA365" s="1274"/>
      <c r="AB365" s="1274"/>
      <c r="AC365" s="1274"/>
      <c r="AD365" s="1274"/>
      <c r="AE365" s="1274"/>
      <c r="AF365" s="1274"/>
      <c r="AG365" s="1274"/>
      <c r="AH365" s="1274"/>
      <c r="AI365" s="1274"/>
      <c r="AJ365" s="1274"/>
      <c r="AK365" s="1274"/>
      <c r="AL365" s="1274"/>
    </row>
    <row r="366" spans="1:38" ht="13">
      <c r="B366" s="2"/>
      <c r="E366" s="1274"/>
      <c r="F366" s="1274"/>
      <c r="G366" s="1274"/>
      <c r="H366" s="1274"/>
      <c r="I366" s="1274"/>
      <c r="J366" s="1274"/>
      <c r="K366" s="1274"/>
      <c r="L366" s="1274"/>
      <c r="M366" s="1274"/>
      <c r="N366" s="1274"/>
      <c r="O366" s="1274"/>
      <c r="P366" s="1274"/>
      <c r="Q366" s="1274"/>
      <c r="R366" s="1274"/>
      <c r="S366" s="1274"/>
      <c r="T366" s="1274"/>
      <c r="U366" s="1274"/>
      <c r="V366" s="1274"/>
      <c r="W366" s="1274"/>
      <c r="X366" s="1274"/>
      <c r="Y366" s="1274"/>
      <c r="Z366" s="1274"/>
      <c r="AA366" s="1274"/>
      <c r="AB366" s="1274"/>
      <c r="AC366" s="1274"/>
      <c r="AD366" s="1274"/>
      <c r="AE366" s="1274"/>
      <c r="AF366" s="1274"/>
      <c r="AG366" s="1274"/>
      <c r="AH366" s="1274"/>
      <c r="AI366" s="1274"/>
      <c r="AJ366" s="1274"/>
      <c r="AK366" s="1274"/>
      <c r="AL366" s="1274"/>
    </row>
    <row r="367" spans="1:38" s="1275" customFormat="1" ht="13">
      <c r="A367"/>
      <c r="B367" s="2"/>
      <c r="C367"/>
      <c r="D367"/>
      <c r="E367" s="1272" t="s">
        <v>1256</v>
      </c>
    </row>
    <row r="368" spans="1:38" s="1275"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340</v>
      </c>
      <c r="E370" s="2" t="s">
        <v>567</v>
      </c>
      <c r="J370" s="4"/>
      <c r="K370" s="4"/>
      <c r="L370" s="4"/>
      <c r="M370" s="4"/>
      <c r="N370" s="4"/>
      <c r="O370" s="4"/>
      <c r="P370" s="4"/>
      <c r="Q370" s="4"/>
      <c r="R370" s="4"/>
      <c r="S370" s="4"/>
    </row>
    <row r="371" spans="1:38" ht="13">
      <c r="B371" s="2"/>
      <c r="E371" s="4" t="s">
        <v>746</v>
      </c>
      <c r="F371" s="4"/>
      <c r="G371" s="4"/>
      <c r="H371" s="4"/>
      <c r="I371" s="4"/>
      <c r="J371" s="4"/>
      <c r="K371" s="4"/>
      <c r="L371" s="4"/>
      <c r="M371" s="4"/>
      <c r="N371" s="4"/>
      <c r="O371" s="4"/>
      <c r="P371" s="4"/>
      <c r="Q371" s="4"/>
      <c r="R371" s="4"/>
      <c r="S371" s="4"/>
    </row>
    <row r="372" spans="1:38" ht="13">
      <c r="B372" s="2"/>
      <c r="E372" s="4" t="s">
        <v>747</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573</v>
      </c>
      <c r="E374" s="2" t="s">
        <v>281</v>
      </c>
      <c r="J374" s="4"/>
      <c r="K374" s="4"/>
      <c r="L374" s="4"/>
      <c r="M374" s="4"/>
      <c r="N374" s="4"/>
      <c r="O374" s="4"/>
      <c r="P374" s="4"/>
      <c r="Q374" s="4"/>
      <c r="R374" s="4"/>
      <c r="S374" s="4"/>
    </row>
    <row r="375" spans="1:38" ht="13">
      <c r="B375" s="2"/>
      <c r="E375" s="4" t="s">
        <v>112</v>
      </c>
      <c r="F375" s="4" t="s">
        <v>250</v>
      </c>
      <c r="G375" s="4"/>
      <c r="I375" s="4"/>
      <c r="J375" s="4"/>
      <c r="K375" s="4"/>
      <c r="L375" s="4"/>
      <c r="M375" s="4"/>
      <c r="N375" s="4"/>
      <c r="O375" s="4"/>
      <c r="P375" s="4"/>
      <c r="Q375" s="4"/>
      <c r="R375" s="4"/>
      <c r="S375" s="4"/>
    </row>
    <row r="376" spans="1:38" ht="13">
      <c r="B376" s="2"/>
      <c r="E376" s="4"/>
      <c r="F376" s="120" t="s">
        <v>1151</v>
      </c>
      <c r="G376" s="4"/>
      <c r="I376" s="120"/>
      <c r="J376" s="4"/>
      <c r="K376" s="4"/>
      <c r="L376" s="4"/>
      <c r="M376" s="4"/>
      <c r="N376" s="4"/>
      <c r="O376" s="4"/>
      <c r="P376" s="4"/>
      <c r="Q376" s="4"/>
      <c r="R376" s="4"/>
      <c r="S376" s="4"/>
    </row>
    <row r="377" spans="1:38" ht="13">
      <c r="B377" s="2"/>
      <c r="E377" s="4" t="s">
        <v>113</v>
      </c>
      <c r="F377" s="4" t="s">
        <v>251</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513</v>
      </c>
      <c r="E379" s="2" t="s">
        <v>1257</v>
      </c>
      <c r="J379" s="3"/>
      <c r="K379" s="3"/>
      <c r="L379" s="3"/>
      <c r="M379" s="3"/>
      <c r="N379" s="3"/>
      <c r="O379" s="3"/>
      <c r="P379" s="3"/>
      <c r="Q379" s="3"/>
      <c r="R379" s="3"/>
      <c r="S379" s="3"/>
    </row>
    <row r="380" spans="1:38" ht="13">
      <c r="B380" s="2"/>
      <c r="D380" s="2"/>
      <c r="E380" s="3" t="s">
        <v>746</v>
      </c>
      <c r="F380" s="3"/>
      <c r="G380" s="3"/>
      <c r="J380" s="3"/>
      <c r="K380" s="3"/>
      <c r="L380" s="3"/>
      <c r="M380" s="3"/>
      <c r="N380" s="3"/>
      <c r="O380" s="3"/>
      <c r="P380" s="3"/>
      <c r="Q380" s="3"/>
      <c r="R380" s="3"/>
      <c r="S380" s="3"/>
    </row>
    <row r="381" spans="1:38" ht="13">
      <c r="B381" s="2"/>
      <c r="D381" s="2"/>
      <c r="E381" s="3" t="s">
        <v>1154</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1258</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1151</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6" t="s">
        <v>1267</v>
      </c>
      <c r="G386" s="1266"/>
      <c r="H386" s="1266"/>
      <c r="I386" s="1266"/>
      <c r="J386" s="1266"/>
      <c r="K386" s="1266"/>
      <c r="L386" s="1266"/>
      <c r="M386" s="1266"/>
      <c r="N386" s="1266"/>
      <c r="O386" s="1266"/>
      <c r="P386" s="1266"/>
      <c r="Q386" s="1266"/>
      <c r="R386" s="1266"/>
      <c r="S386" s="1266"/>
      <c r="T386" s="1266"/>
      <c r="U386" s="1266"/>
      <c r="V386" s="1266"/>
      <c r="W386" s="1266"/>
      <c r="X386" s="1266"/>
      <c r="Y386" s="1266"/>
      <c r="Z386" s="1266"/>
      <c r="AA386" s="1266"/>
      <c r="AB386" s="1266"/>
      <c r="AC386" s="1266"/>
      <c r="AD386" s="1266"/>
      <c r="AE386" s="1266"/>
      <c r="AF386" s="1266"/>
      <c r="AG386" s="1266"/>
      <c r="AH386" s="1266"/>
      <c r="AI386" s="1266"/>
      <c r="AJ386" s="1266"/>
      <c r="AK386" s="1266"/>
    </row>
    <row r="387" spans="1:38" ht="13">
      <c r="B387" s="2"/>
      <c r="E387" s="3"/>
      <c r="F387" s="1266"/>
      <c r="G387" s="1266"/>
      <c r="H387" s="1266"/>
      <c r="I387" s="1266"/>
      <c r="J387" s="1266"/>
      <c r="K387" s="1266"/>
      <c r="L387" s="1266"/>
      <c r="M387" s="1266"/>
      <c r="N387" s="1266"/>
      <c r="O387" s="1266"/>
      <c r="P387" s="1266"/>
      <c r="Q387" s="1266"/>
      <c r="R387" s="1266"/>
      <c r="S387" s="1266"/>
      <c r="T387" s="1266"/>
      <c r="U387" s="1266"/>
      <c r="V387" s="1266"/>
      <c r="W387" s="1266"/>
      <c r="X387" s="1266"/>
      <c r="Y387" s="1266"/>
      <c r="Z387" s="1266"/>
      <c r="AA387" s="1266"/>
      <c r="AB387" s="1266"/>
      <c r="AC387" s="1266"/>
      <c r="AD387" s="1266"/>
      <c r="AE387" s="1266"/>
      <c r="AF387" s="1266"/>
      <c r="AG387" s="1266"/>
      <c r="AH387" s="1266"/>
      <c r="AI387" s="1266"/>
      <c r="AJ387" s="1266"/>
      <c r="AK387" s="1266"/>
    </row>
    <row r="388" spans="1:38" ht="13">
      <c r="B388" s="2"/>
      <c r="E388" s="3"/>
      <c r="F388" s="1266"/>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428</v>
      </c>
      <c r="E390" s="2" t="s">
        <v>1273</v>
      </c>
      <c r="F390" s="3"/>
      <c r="G390" s="2"/>
      <c r="I390" s="120"/>
      <c r="J390" s="3"/>
      <c r="K390" s="3"/>
      <c r="L390" s="3"/>
      <c r="M390" s="3"/>
      <c r="N390" s="3"/>
      <c r="O390" s="3"/>
      <c r="P390" s="3"/>
      <c r="Q390" s="3"/>
      <c r="R390" s="3"/>
      <c r="S390" s="3"/>
    </row>
    <row r="391" spans="1:38" ht="13.15" customHeight="1">
      <c r="B391" s="2"/>
      <c r="D391" s="2"/>
      <c r="E391" s="3" t="s">
        <v>1272</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1154</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I120" sqref="I120"/>
    </sheetView>
  </sheetViews>
  <sheetFormatPr defaultColWidth="9.1796875" defaultRowHeight="14"/>
  <cols>
    <col min="1" max="1" width="2.453125" style="1039" customWidth="1"/>
    <col min="2" max="9" width="14.7265625" style="1039" customWidth="1"/>
    <col min="10" max="10" width="2.26953125" style="1039" customWidth="1"/>
    <col min="11" max="11" width="11.81640625" style="1040" customWidth="1"/>
    <col min="12" max="12" width="10.7265625" style="1039" customWidth="1"/>
    <col min="13" max="13" width="10.453125" style="1039" customWidth="1"/>
    <col min="14" max="14" width="10.81640625" style="1039" customWidth="1"/>
    <col min="15" max="18" width="9.1796875" style="1039"/>
    <col min="19" max="19" width="9.453125" style="1039" bestFit="1" customWidth="1"/>
    <col min="20" max="16384" width="9.1796875" style="1039"/>
  </cols>
  <sheetData>
    <row r="1" spans="1:13" ht="30" customHeight="1">
      <c r="A1" s="2656" t="s">
        <v>1572</v>
      </c>
      <c r="B1" s="2656"/>
      <c r="C1" s="2656"/>
      <c r="D1" s="2656"/>
      <c r="E1" s="2656"/>
      <c r="F1" s="2656"/>
      <c r="G1" s="2656"/>
      <c r="H1" s="2656"/>
      <c r="I1" s="2656"/>
      <c r="J1" s="2656"/>
    </row>
    <row r="2" spans="1:13" ht="15" customHeight="1" thickBot="1">
      <c r="A2" s="1041"/>
      <c r="B2" s="1041"/>
      <c r="I2" s="1042"/>
      <c r="K2" s="1043"/>
    </row>
    <row r="3" spans="1:13" s="1046" customFormat="1" ht="20.149999999999999" customHeight="1">
      <c r="A3" s="1094"/>
      <c r="B3" s="1095"/>
      <c r="C3" s="1096"/>
      <c r="D3" s="1101"/>
      <c r="E3" s="1096"/>
      <c r="F3" s="1097" t="s">
        <v>1961</v>
      </c>
      <c r="G3" s="1096"/>
      <c r="H3" s="1098">
        <f>E18</f>
        <v>39384646</v>
      </c>
      <c r="I3" s="1099"/>
    </row>
    <row r="4" spans="1:13" s="1046" customFormat="1" ht="20.149999999999999" customHeight="1">
      <c r="B4" s="1088"/>
      <c r="D4" s="1102"/>
      <c r="F4" s="1087" t="s">
        <v>1963</v>
      </c>
      <c r="G4" s="1086" t="s">
        <v>1962</v>
      </c>
      <c r="H4" s="1201">
        <f>I18</f>
        <v>23077894.65975</v>
      </c>
      <c r="I4" s="1089"/>
      <c r="K4" s="1050"/>
    </row>
    <row r="5" spans="1:13" s="1046" customFormat="1" ht="20.149999999999999" customHeight="1" thickBot="1">
      <c r="B5" s="1090"/>
      <c r="C5" s="1091"/>
      <c r="D5" s="1103"/>
      <c r="E5" s="1092"/>
      <c r="F5" s="1103" t="s">
        <v>1913</v>
      </c>
      <c r="G5" s="1104"/>
      <c r="H5" s="1100">
        <f>IFERROR(H3/H4,0)</f>
        <v>1.7065961423548091</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59" t="s">
        <v>1911</v>
      </c>
      <c r="C8" s="2660"/>
      <c r="D8" s="2660"/>
      <c r="E8" s="2661"/>
      <c r="G8" s="2640" t="s">
        <v>1912</v>
      </c>
      <c r="H8" s="2641"/>
      <c r="I8" s="2642"/>
      <c r="K8" s="1052"/>
    </row>
    <row r="9" spans="1:13" ht="15" customHeight="1">
      <c r="A9" s="1041"/>
      <c r="B9" s="2657" t="s">
        <v>1945</v>
      </c>
      <c r="C9" s="2657"/>
      <c r="D9" s="2657"/>
      <c r="E9" s="1054">
        <f>G33</f>
        <v>8037500</v>
      </c>
      <c r="G9" s="2653" t="s">
        <v>1943</v>
      </c>
      <c r="H9" s="2653"/>
      <c r="I9" s="1055">
        <f>MAX(SUMIF(Application!M562:M573,"Loan, Tax-Exempt",Application!AM562:AM573),27.5%*SUM('Sources and Uses Budget'!C8,'Sources and Uses Budget'!S105,'Sources and Uses Budget'!T105))</f>
        <v>18282209.550000001</v>
      </c>
      <c r="K9" s="1056"/>
      <c r="M9" s="1057"/>
    </row>
    <row r="10" spans="1:13" ht="15" customHeight="1" thickBot="1">
      <c r="A10" s="1041"/>
      <c r="B10" s="2657" t="s">
        <v>1946</v>
      </c>
      <c r="C10" s="2657"/>
      <c r="D10" s="2657"/>
      <c r="E10" s="1055">
        <f>G47</f>
        <v>16258896</v>
      </c>
      <c r="G10" s="2655" t="s">
        <v>1914</v>
      </c>
      <c r="H10" s="2655"/>
      <c r="I10" s="1134">
        <f>IF(OR(Application!Z205="State Farmworker Credit",Application!Z205="$500M (Farmworker Housing)"),0,'Basis &amp; Credits'!AB78)</f>
        <v>6138843</v>
      </c>
      <c r="M10" s="1057"/>
    </row>
    <row r="11" spans="1:13" ht="15" customHeight="1">
      <c r="A11" s="1041"/>
      <c r="B11" s="2663" t="s">
        <v>2208</v>
      </c>
      <c r="C11" s="2664"/>
      <c r="D11" s="2665"/>
      <c r="E11" s="1055">
        <f>SUM(E13,E12)</f>
        <v>460000</v>
      </c>
      <c r="G11" s="2662" t="s">
        <v>1954</v>
      </c>
      <c r="H11" s="2662"/>
      <c r="I11" s="1133">
        <f>I9+I10</f>
        <v>24421052.550000001</v>
      </c>
      <c r="M11" s="1057"/>
    </row>
    <row r="12" spans="1:13" ht="15" customHeight="1">
      <c r="A12" s="1058"/>
      <c r="B12" s="2658" t="s">
        <v>2571</v>
      </c>
      <c r="C12" s="2658"/>
      <c r="D12" s="2658"/>
      <c r="E12" s="1158">
        <f>G56</f>
        <v>460000</v>
      </c>
      <c r="M12" s="1057"/>
    </row>
    <row r="13" spans="1:13" ht="15" customHeight="1">
      <c r="A13" s="1044"/>
      <c r="B13" s="2658" t="s">
        <v>2572</v>
      </c>
      <c r="C13" s="2658"/>
      <c r="D13" s="2658"/>
      <c r="E13" s="1158">
        <f>IF(G67,MAX(G65,G79),G65)</f>
        <v>0</v>
      </c>
      <c r="G13" s="2640" t="s">
        <v>1977</v>
      </c>
      <c r="H13" s="2641"/>
      <c r="I13" s="2642"/>
    </row>
    <row r="14" spans="1:13" ht="15" customHeight="1">
      <c r="A14" s="1044"/>
      <c r="B14" s="2663" t="s">
        <v>2209</v>
      </c>
      <c r="C14" s="2664"/>
      <c r="D14" s="2665"/>
      <c r="E14" s="1160">
        <f>MAX(E15,E16)+E17</f>
        <v>14628250</v>
      </c>
      <c r="G14" s="2653" t="s">
        <v>2588</v>
      </c>
      <c r="H14" s="2653"/>
      <c r="I14" s="1059">
        <f>IF(AND(G134="Yes",G136&lt;&gt;""),IF(OR(G141="Yes",G145="Yes"),18%,15%),0)</f>
        <v>0</v>
      </c>
      <c r="M14" s="1057"/>
    </row>
    <row r="15" spans="1:13" ht="15" customHeight="1">
      <c r="A15" s="1044"/>
      <c r="B15" s="2637" t="s">
        <v>2585</v>
      </c>
      <c r="C15" s="2638"/>
      <c r="D15" s="2639"/>
      <c r="E15" s="1158">
        <f>G94</f>
        <v>4822500</v>
      </c>
      <c r="G15" s="1131" t="s">
        <v>1955</v>
      </c>
      <c r="H15" s="1131"/>
      <c r="I15" s="1059">
        <f>IF(Application!AJ1041&gt;0,10%,IF(Application!AJ1045&gt;0,5%,0))</f>
        <v>0</v>
      </c>
      <c r="M15" s="1057"/>
    </row>
    <row r="16" spans="1:13" ht="15" customHeight="1">
      <c r="A16" s="1044"/>
      <c r="B16" s="2637" t="s">
        <v>2586</v>
      </c>
      <c r="C16" s="2638"/>
      <c r="D16" s="2639"/>
      <c r="E16" s="1158">
        <f>G104</f>
        <v>0</v>
      </c>
      <c r="G16" s="2653" t="s">
        <v>1956</v>
      </c>
      <c r="H16" s="2653"/>
      <c r="I16" s="1059">
        <f>G155</f>
        <v>5.5E-2</v>
      </c>
    </row>
    <row r="17" spans="1:21" ht="15" customHeight="1" thickBot="1">
      <c r="A17" s="1044"/>
      <c r="B17" s="2637" t="s">
        <v>2587</v>
      </c>
      <c r="C17" s="2638"/>
      <c r="D17" s="2639"/>
      <c r="E17" s="1158">
        <f>G129</f>
        <v>9805750</v>
      </c>
      <c r="G17" s="2653" t="s">
        <v>2217</v>
      </c>
      <c r="H17" s="2653"/>
      <c r="I17" s="1059">
        <f>IF(AND(G161="Yes",G159),IF(G165&gt;15%,15%,G165),0)</f>
        <v>0</v>
      </c>
    </row>
    <row r="18" spans="1:21" ht="15" customHeight="1">
      <c r="A18" s="1041"/>
      <c r="B18" s="2654" t="s">
        <v>1910</v>
      </c>
      <c r="C18" s="2654"/>
      <c r="D18" s="2654"/>
      <c r="E18" s="1105">
        <f>SUM(E9:E11,E14)</f>
        <v>39384646</v>
      </c>
      <c r="G18" s="1132" t="s">
        <v>1944</v>
      </c>
      <c r="H18" s="1132"/>
      <c r="I18" s="1106">
        <f>I11-((I11*I14)+(I11*I15)+(I11*I16)+(I11*I17))</f>
        <v>23077894.65975</v>
      </c>
      <c r="M18" s="1060">
        <f>SUM(Cdlac[Quantity])</f>
        <v>130</v>
      </c>
      <c r="O18" s="1079" t="s">
        <v>581</v>
      </c>
      <c r="P18" s="1039">
        <f>MATCH(Application!T189,Application!CB160:CB217,0)</f>
        <v>7</v>
      </c>
      <c r="T18" s="1060">
        <f>SUM(Cdlac[Population])</f>
        <v>0</v>
      </c>
    </row>
    <row r="19" spans="1:21" ht="15" customHeight="1">
      <c r="A19" s="1041"/>
      <c r="B19" s="1041"/>
      <c r="C19" s="1041"/>
      <c r="D19" s="1041"/>
      <c r="E19" s="1041"/>
      <c r="L19" s="1039" t="s">
        <v>1906</v>
      </c>
      <c r="M19" s="1039" t="s">
        <v>1905</v>
      </c>
      <c r="N19" s="1039" t="s">
        <v>1917</v>
      </c>
      <c r="O19" s="1039" t="s">
        <v>1918</v>
      </c>
      <c r="P19" s="1039" t="s">
        <v>1907</v>
      </c>
      <c r="Q19" s="1039" t="s">
        <v>2206</v>
      </c>
      <c r="R19" s="1039" t="s">
        <v>1908</v>
      </c>
      <c r="S19" s="1039" t="s">
        <v>1919</v>
      </c>
      <c r="T19" s="1039" t="s">
        <v>1925</v>
      </c>
      <c r="U19" s="1039" t="s">
        <v>384</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5</v>
      </c>
      <c r="N20" s="1066">
        <f>Application!AC726</f>
        <v>0.3</v>
      </c>
      <c r="O20" s="1066">
        <f>IF(Cdlac[[#This Row],[Quantity]]&gt;0,IF(Cdlac[[#This Row],[Federal]],30%,IF(AND(OR(NOT($G$38),$G$38=""),$G$43),40%,Cdlac[[#This Row],[iAMI]])),"")</f>
        <v>0.3</v>
      </c>
      <c r="P20" s="1060" cm="1">
        <f t="array" ref="P20">IF(Cdlac[[#This Row],[Quantity]]&gt;0,INDEX(TcacRents,$P$18,Cdlac[[#This Row],[Bedrooms]]+1)*Cdlac[[#This Row],[AMI]],"")</f>
        <v>898.8</v>
      </c>
      <c r="Q20" s="1157"/>
      <c r="R20" s="1060" cm="1">
        <f t="array" ref="R20">IF(Cdlac[[#This Row],[Quantity]]&gt;0,INDEX(HudFmrs,$P$18,Cdlac[[#This Row],[Bedrooms]]+1),"")</f>
        <v>2201</v>
      </c>
      <c r="S20" s="1060">
        <f>IF(Cdlac[[#This Row],[Quantity]]&gt;0,MAX(0,Cdlac[[#This Row],[Fair Market Rent]]-IF(AND($G$37,$G$38,$G$38&lt;&gt;"",NOT(Cdlac[[#This Row],[Federal]]),Cdlac[[#This Row],[Preservation Rent]]&lt;&gt;""),Cdlac[[#This Row],[Preservation Rent]],Cdlac[[#This Row],[Restricted Rent]])),"")</f>
        <v>1302.2</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8</v>
      </c>
      <c r="N21" s="1066">
        <f>Application!AC727</f>
        <v>0.5</v>
      </c>
      <c r="O21" s="1066">
        <f>IF(Cdlac[[#This Row],[Quantity]]&gt;0,IF(Cdlac[[#This Row],[Federal]],30%,IF(AND(OR(NOT($G$38),$G$38=""),$G$43),40%,Cdlac[[#This Row],[iAMI]])),"")</f>
        <v>0.5</v>
      </c>
      <c r="P21" s="1060" cm="1">
        <f t="array" ref="P21">IF(Cdlac[[#This Row],[Quantity]]&gt;0,INDEX(TcacRents,$P$18,Cdlac[[#This Row],[Bedrooms]]+1)*Cdlac[[#This Row],[AMI]],"")</f>
        <v>1498</v>
      </c>
      <c r="Q21" s="1157"/>
      <c r="R21" s="1060" cm="1">
        <f t="array" ref="R21">IF(Cdlac[[#This Row],[Quantity]]&gt;0,INDEX(HudFmrs,$P$18,Cdlac[[#This Row],[Bedrooms]]+1),"")</f>
        <v>2201</v>
      </c>
      <c r="S21" s="1060">
        <f>IF(Cdlac[[#This Row],[Quantity]]&gt;0,MAX(0,Cdlac[[#This Row],[Fair Market Rent]]-IF(AND($G$37,$G$38,$G$38&lt;&gt;"",NOT(Cdlac[[#This Row],[Federal]]),Cdlac[[#This Row],[Preservation Rent]]&lt;&gt;""),Cdlac[[#This Row],[Preservation Rent]],Cdlac[[#This Row],[Restricted Rent]])),"")</f>
        <v>703</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4" t="s">
        <v>1958</v>
      </c>
      <c r="D22" s="2644" t="s">
        <v>1959</v>
      </c>
      <c r="E22" s="2644" t="s">
        <v>1960</v>
      </c>
      <c r="F22" s="2644" t="s">
        <v>2532</v>
      </c>
      <c r="G22" s="2644" t="s">
        <v>1957</v>
      </c>
      <c r="H22" s="1065"/>
      <c r="I22" s="1064"/>
      <c r="L22" s="1039">
        <f>IFERROR(MIN(4,MATCH(Application!B728,UnitSizes,0)-1),"")</f>
        <v>1</v>
      </c>
      <c r="M22" s="1060">
        <f>Application!G728</f>
        <v>12</v>
      </c>
      <c r="N22" s="1066">
        <f>Application!AC728</f>
        <v>0.6</v>
      </c>
      <c r="O22" s="1066">
        <f>IF(Cdlac[[#This Row],[Quantity]]&gt;0,IF(Cdlac[[#This Row],[Federal]],30%,IF(AND(OR(NOT($G$38),$G$38=""),$G$43),40%,Cdlac[[#This Row],[iAMI]])),"")</f>
        <v>0.6</v>
      </c>
      <c r="P22" s="1060" cm="1">
        <f t="array" ref="P22">IF(Cdlac[[#This Row],[Quantity]]&gt;0,INDEX(TcacRents,$P$18,Cdlac[[#This Row],[Bedrooms]]+1)*Cdlac[[#This Row],[AMI]],"")</f>
        <v>1797.6</v>
      </c>
      <c r="Q22" s="1157"/>
      <c r="R22" s="1060" cm="1">
        <f t="array" ref="R22">IF(Cdlac[[#This Row],[Quantity]]&gt;0,INDEX(HudFmrs,$P$18,Cdlac[[#This Row],[Bedrooms]]+1),"")</f>
        <v>2201</v>
      </c>
      <c r="S22" s="1060">
        <f>IF(Cdlac[[#This Row],[Quantity]]&gt;0,MAX(0,Cdlac[[#This Row],[Fair Market Rent]]-IF(AND($G$37,$G$38,$G$38&lt;&gt;"",NOT(Cdlac[[#This Row],[Federal]]),Cdlac[[#This Row],[Preservation Rent]]&lt;&gt;""),Cdlac[[#This Row],[Preservation Rent]],Cdlac[[#This Row],[Restricted Rent]])),"")</f>
        <v>403.40000000000009</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5"/>
      <c r="D23" s="2645"/>
      <c r="E23" s="2645"/>
      <c r="F23" s="2645"/>
      <c r="G23" s="2645"/>
      <c r="H23" s="1065"/>
      <c r="I23" s="1064"/>
      <c r="L23" s="1039">
        <f>IFERROR(MIN(4,MATCH(Application!B729,UnitSizes,0)-1),"")</f>
        <v>1</v>
      </c>
      <c r="M23" s="1060">
        <f>Application!G729</f>
        <v>21</v>
      </c>
      <c r="N23" s="1066">
        <f>Application!AC729</f>
        <v>0.8</v>
      </c>
      <c r="O23" s="1066">
        <f>IF(Cdlac[[#This Row],[Quantity]]&gt;0,IF(Cdlac[[#This Row],[Federal]],30%,IF(AND(OR(NOT($G$38),$G$38=""),$G$43),40%,Cdlac[[#This Row],[iAMI]])),"")</f>
        <v>0.8</v>
      </c>
      <c r="P23" s="1060" cm="1">
        <f t="array" ref="P23">IF(Cdlac[[#This Row],[Quantity]]&gt;0,INDEX(TcacRents,$P$18,Cdlac[[#This Row],[Bedrooms]]+1)*Cdlac[[#This Row],[AMI]],"")</f>
        <v>2396.8000000000002</v>
      </c>
      <c r="Q23" s="1157"/>
      <c r="R23" s="1060" cm="1">
        <f t="array" ref="R23">IF(Cdlac[[#This Row],[Quantity]]&gt;0,INDEX(HudFmrs,$P$18,Cdlac[[#This Row],[Bedrooms]]+1),"")</f>
        <v>2201</v>
      </c>
      <c r="S23" s="1060">
        <f>IF(Cdlac[[#This Row],[Quantity]]&gt;0,MAX(0,Cdlac[[#This Row],[Fair Market Rent]]-IF(AND($G$37,$G$38,$G$38&lt;&gt;"",NOT(Cdlac[[#This Row],[Federal]]),Cdlac[[#This Row],[Preservation Rent]]&lt;&gt;""),Cdlac[[#This Row],[Preservation Rent]],Cdlac[[#This Row],[Restricted Rent]])),"")</f>
        <v>0</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2</v>
      </c>
      <c r="M24" s="1060">
        <f>Application!G730</f>
        <v>7</v>
      </c>
      <c r="N24" s="1066">
        <f>Application!AC730</f>
        <v>0.3</v>
      </c>
      <c r="O24" s="1066">
        <f>IF(Cdlac[[#This Row],[Quantity]]&gt;0,IF(Cdlac[[#This Row],[Federal]],30%,IF(AND(OR(NOT($G$38),$G$38=""),$G$43),40%,Cdlac[[#This Row],[iAMI]])),"")</f>
        <v>0.3</v>
      </c>
      <c r="P24" s="1060" cm="1">
        <f t="array" ref="P24">IF(Cdlac[[#This Row],[Quantity]]&gt;0,INDEX(TcacRents,$P$18,Cdlac[[#This Row],[Bedrooms]]+1)*Cdlac[[#This Row],[AMI]],"")</f>
        <v>1078.8</v>
      </c>
      <c r="Q24" s="1157"/>
      <c r="R24" s="1060" cm="1">
        <f t="array" ref="R24">IF(Cdlac[[#This Row],[Quantity]]&gt;0,INDEX(HudFmrs,$P$18,Cdlac[[#This Row],[Bedrooms]]+1),"")</f>
        <v>2682</v>
      </c>
      <c r="S24" s="1060">
        <f>IF(Cdlac[[#This Row],[Quantity]]&gt;0,MAX(0,Cdlac[[#This Row],[Fair Market Rent]]-IF(AND($G$37,$G$38,$G$38&lt;&gt;"",NOT(Cdlac[[#This Row],[Federal]]),Cdlac[[#This Row],[Preservation Rent]]&lt;&gt;""),Cdlac[[#This Row],[Preservation Rent]],Cdlac[[#This Row],[Restricted Rent]])),"")</f>
        <v>1603.2</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46</v>
      </c>
      <c r="F25" s="1067">
        <f>E25</f>
        <v>46</v>
      </c>
      <c r="G25" s="1067">
        <f>D25*F25</f>
        <v>46</v>
      </c>
      <c r="L25" s="1039">
        <f>IFERROR(MIN(4,MATCH(Application!B731,UnitSizes,0)-1),"")</f>
        <v>2</v>
      </c>
      <c r="M25" s="1060">
        <f>Application!G731</f>
        <v>9</v>
      </c>
      <c r="N25" s="1066">
        <f>Application!AC731</f>
        <v>0.5</v>
      </c>
      <c r="O25" s="1066">
        <f>IF(Cdlac[[#This Row],[Quantity]]&gt;0,IF(Cdlac[[#This Row],[Federal]],30%,IF(AND(OR(NOT($G$38),$G$38=""),$G$43),40%,Cdlac[[#This Row],[iAMI]])),"")</f>
        <v>0.5</v>
      </c>
      <c r="P25" s="1060" cm="1">
        <f t="array" ref="P25">IF(Cdlac[[#This Row],[Quantity]]&gt;0,INDEX(TcacRents,$P$18,Cdlac[[#This Row],[Bedrooms]]+1)*Cdlac[[#This Row],[AMI]],"")</f>
        <v>1798</v>
      </c>
      <c r="Q25" s="1157"/>
      <c r="R25" s="1060" cm="1">
        <f t="array" ref="R25">IF(Cdlac[[#This Row],[Quantity]]&gt;0,INDEX(HudFmrs,$P$18,Cdlac[[#This Row],[Bedrooms]]+1),"")</f>
        <v>2682</v>
      </c>
      <c r="S25" s="1060">
        <f>IF(Cdlac[[#This Row],[Quantity]]&gt;0,MAX(0,Cdlac[[#This Row],[Fair Market Rent]]-IF(AND($G$37,$G$38,$G$38&lt;&gt;"",NOT(Cdlac[[#This Row],[Federal]]),Cdlac[[#This Row],[Preservation Rent]]&lt;&gt;""),Cdlac[[#This Row],[Preservation Rent]],Cdlac[[#This Row],[Restricted Rent]])),"")</f>
        <v>884</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42</v>
      </c>
      <c r="F26" s="1070">
        <f>SUM(E26:E28)-SUM(F27:F28)</f>
        <v>45</v>
      </c>
      <c r="G26" s="1067">
        <f>D26*F26</f>
        <v>56.25</v>
      </c>
      <c r="H26" s="1069"/>
      <c r="I26" s="1069"/>
      <c r="L26" s="1039">
        <f>IFERROR(MIN(4,MATCH(Application!B732,UnitSizes,0)-1),"")</f>
        <v>2</v>
      </c>
      <c r="M26" s="1060">
        <f>Application!G732</f>
        <v>13</v>
      </c>
      <c r="N26" s="1066">
        <f>Application!AC732</f>
        <v>0.6</v>
      </c>
      <c r="O26" s="1066">
        <f>IF(Cdlac[[#This Row],[Quantity]]&gt;0,IF(Cdlac[[#This Row],[Federal]],30%,IF(AND(OR(NOT($G$38),$G$38=""),$G$43),40%,Cdlac[[#This Row],[iAMI]])),"")</f>
        <v>0.6</v>
      </c>
      <c r="P26" s="1060" cm="1">
        <f t="array" ref="P26">IF(Cdlac[[#This Row],[Quantity]]&gt;0,INDEX(TcacRents,$P$18,Cdlac[[#This Row],[Bedrooms]]+1)*Cdlac[[#This Row],[AMI]],"")</f>
        <v>2157.6</v>
      </c>
      <c r="Q26" s="1157"/>
      <c r="R26" s="1060" cm="1">
        <f t="array" ref="R26">IF(Cdlac[[#This Row],[Quantity]]&gt;0,INDEX(HudFmrs,$P$18,Cdlac[[#This Row],[Bedrooms]]+1),"")</f>
        <v>2682</v>
      </c>
      <c r="S26" s="1060">
        <f>IF(Cdlac[[#This Row],[Quantity]]&gt;0,MAX(0,Cdlac[[#This Row],[Fair Market Rent]]-IF(AND($G$37,$G$38,$G$38&lt;&gt;"",NOT(Cdlac[[#This Row],[Federal]]),Cdlac[[#This Row],[Preservation Rent]]&lt;&gt;""),Cdlac[[#This Row],[Preservation Rent]],Cdlac[[#This Row],[Restricted Rent]])),"")</f>
        <v>524.40000000000009</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42</v>
      </c>
      <c r="F27" s="1070">
        <f>MIN(E27,ROUNDDOWN(E29*30%,0))</f>
        <v>39</v>
      </c>
      <c r="G27" s="1067">
        <f>D27*F27</f>
        <v>58.5</v>
      </c>
      <c r="H27" s="1069"/>
      <c r="I27" s="1069"/>
      <c r="L27" s="1039">
        <f>IFERROR(MIN(4,MATCH(Application!B733,UnitSizes,0)-1),"")</f>
        <v>2</v>
      </c>
      <c r="M27" s="1060">
        <f>Application!G733</f>
        <v>13</v>
      </c>
      <c r="N27" s="1066">
        <f>Application!AC733</f>
        <v>0.8</v>
      </c>
      <c r="O27" s="1066">
        <f>IF(Cdlac[[#This Row],[Quantity]]&gt;0,IF(Cdlac[[#This Row],[Federal]],30%,IF(AND(OR(NOT($G$38),$G$38=""),$G$43),40%,Cdlac[[#This Row],[iAMI]])),"")</f>
        <v>0.8</v>
      </c>
      <c r="P27" s="1060" cm="1">
        <f t="array" ref="P27">IF(Cdlac[[#This Row],[Quantity]]&gt;0,INDEX(TcacRents,$P$18,Cdlac[[#This Row],[Bedrooms]]+1)*Cdlac[[#This Row],[AMI]],"")</f>
        <v>2876.8</v>
      </c>
      <c r="Q27" s="1157"/>
      <c r="R27" s="1060" cm="1">
        <f t="array" ref="R27">IF(Cdlac[[#This Row],[Quantity]]&gt;0,INDEX(HudFmrs,$P$18,Cdlac[[#This Row],[Bedrooms]]+1),"")</f>
        <v>2682</v>
      </c>
      <c r="S27" s="1060">
        <f>IF(Cdlac[[#This Row],[Quantity]]&gt;0,MAX(0,Cdlac[[#This Row],[Fair Market Rent]]-IF(AND($G$37,$G$38,$G$38&lt;&gt;"",NOT(Cdlac[[#This Row],[Federal]]),Cdlac[[#This Row],[Preservation Rent]]&lt;&gt;""),Cdlac[[#This Row],[Preservation Rent]],Cdlac[[#This Row],[Restricted Rent]])),"")</f>
        <v>0</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3</v>
      </c>
      <c r="M28" s="1060">
        <f>Application!G734</f>
        <v>11</v>
      </c>
      <c r="N28" s="1066">
        <f>Application!AC734</f>
        <v>0.3</v>
      </c>
      <c r="O28" s="1066">
        <f>IF(Cdlac[[#This Row],[Quantity]]&gt;0,IF(Cdlac[[#This Row],[Federal]],30%,IF(AND(OR(NOT($G$38),$G$38=""),$G$43),40%,Cdlac[[#This Row],[iAMI]])),"")</f>
        <v>0.3</v>
      </c>
      <c r="P28" s="1060" cm="1">
        <f t="array" ref="P28">IF(Cdlac[[#This Row],[Quantity]]&gt;0,INDEX(TcacRents,$P$18,Cdlac[[#This Row],[Bedrooms]]+1)*Cdlac[[#This Row],[AMI]],"")</f>
        <v>1246.2</v>
      </c>
      <c r="Q28" s="1157"/>
      <c r="R28" s="1060" cm="1">
        <f t="array" ref="R28">IF(Cdlac[[#This Row],[Quantity]]&gt;0,INDEX(HudFmrs,$P$18,Cdlac[[#This Row],[Bedrooms]]+1),"")</f>
        <v>3432</v>
      </c>
      <c r="S28" s="1060">
        <f>IF(Cdlac[[#This Row],[Quantity]]&gt;0,MAX(0,Cdlac[[#This Row],[Fair Market Rent]]-IF(AND($G$37,$G$38,$G$38&lt;&gt;"",NOT(Cdlac[[#This Row],[Federal]]),Cdlac[[#This Row],[Preservation Rent]]&lt;&gt;""),Cdlac[[#This Row],[Preservation Rent]],Cdlac[[#This Row],[Restricted Rent]])),"")</f>
        <v>2185.8000000000002</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46" t="s">
        <v>1573</v>
      </c>
      <c r="D29" s="2647"/>
      <c r="E29" s="1084">
        <f>SUM(E24:E28)</f>
        <v>130</v>
      </c>
      <c r="F29" s="1084">
        <f>SUM(F24:F28)</f>
        <v>130</v>
      </c>
      <c r="G29" s="1085">
        <f>SUMPRODUCT(D24:D28,F24:F28)</f>
        <v>160.75</v>
      </c>
      <c r="H29" s="1069"/>
      <c r="I29" s="1069"/>
      <c r="L29" s="1039">
        <f>IFERROR(MIN(4,MATCH(Application!B735,UnitSizes,0)-1),"")</f>
        <v>3</v>
      </c>
      <c r="M29" s="1060">
        <f>Application!G735</f>
        <v>10</v>
      </c>
      <c r="N29" s="1066">
        <f>Application!AC735</f>
        <v>0.5</v>
      </c>
      <c r="O29" s="1066">
        <f>IF(Cdlac[[#This Row],[Quantity]]&gt;0,IF(Cdlac[[#This Row],[Federal]],30%,IF(AND(OR(NOT($G$38),$G$38=""),$G$43),40%,Cdlac[[#This Row],[iAMI]])),"")</f>
        <v>0.5</v>
      </c>
      <c r="P29" s="1060" cm="1">
        <f t="array" ref="P29">IF(Cdlac[[#This Row],[Quantity]]&gt;0,INDEX(TcacRents,$P$18,Cdlac[[#This Row],[Bedrooms]]+1)*Cdlac[[#This Row],[AMI]],"")</f>
        <v>2077</v>
      </c>
      <c r="Q29" s="1157"/>
      <c r="R29" s="1060" cm="1">
        <f t="array" ref="R29">IF(Cdlac[[#This Row],[Quantity]]&gt;0,INDEX(HudFmrs,$P$18,Cdlac[[#This Row],[Bedrooms]]+1),"")</f>
        <v>3432</v>
      </c>
      <c r="S29" s="1060">
        <f>IF(Cdlac[[#This Row],[Quantity]]&gt;0,MAX(0,Cdlac[[#This Row],[Fair Market Rent]]-IF(AND($G$37,$G$38,$G$38&lt;&gt;"",NOT(Cdlac[[#This Row],[Federal]]),Cdlac[[#This Row],[Preservation Rent]]&lt;&gt;""),Cdlac[[#This Row],[Preservation Rent]],Cdlac[[#This Row],[Restricted Rent]])),"")</f>
        <v>1355</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f>IFERROR(MIN(4,MATCH(Application!B736,UnitSizes,0)-1),"")</f>
        <v>3</v>
      </c>
      <c r="M30" s="1060">
        <f>Application!G736</f>
        <v>9</v>
      </c>
      <c r="N30" s="1066">
        <f>Application!AC736</f>
        <v>0.6</v>
      </c>
      <c r="O30" s="1066">
        <f>IF(Cdlac[[#This Row],[Quantity]]&gt;0,IF(Cdlac[[#This Row],[Federal]],30%,IF(AND(OR(NOT($G$38),$G$38=""),$G$43),40%,Cdlac[[#This Row],[iAMI]])),"")</f>
        <v>0.6</v>
      </c>
      <c r="P30" s="1060" cm="1">
        <f t="array" ref="P30">IF(Cdlac[[#This Row],[Quantity]]&gt;0,INDEX(TcacRents,$P$18,Cdlac[[#This Row],[Bedrooms]]+1)*Cdlac[[#This Row],[AMI]],"")</f>
        <v>2492.4</v>
      </c>
      <c r="Q30" s="1157"/>
      <c r="R30" s="1060" cm="1">
        <f t="array" ref="R30">IF(Cdlac[[#This Row],[Quantity]]&gt;0,INDEX(HudFmrs,$P$18,Cdlac[[#This Row],[Bedrooms]]+1),"")</f>
        <v>3432</v>
      </c>
      <c r="S30" s="1060">
        <f>IF(Cdlac[[#This Row],[Quantity]]&gt;0,MAX(0,Cdlac[[#This Row],[Fair Market Rent]]-IF(AND($G$37,$G$38,$G$38&lt;&gt;"",NOT(Cdlac[[#This Row],[Federal]]),Cdlac[[#This Row],[Preservation Rent]]&lt;&gt;""),Cdlac[[#This Row],[Preservation Rent]],Cdlac[[#This Row],[Restricted Rent]])),"")</f>
        <v>939.59999999999991</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0</v>
      </c>
    </row>
    <row r="31" spans="1:21" ht="15" customHeight="1">
      <c r="A31" s="1069"/>
      <c r="E31" s="1111" t="s">
        <v>1957</v>
      </c>
      <c r="G31" s="1108">
        <f>G29</f>
        <v>160.75</v>
      </c>
      <c r="H31" s="1069"/>
      <c r="I31" s="1069"/>
      <c r="L31" s="1039">
        <f>IFERROR(MIN(4,MATCH(Application!B737,UnitSizes,0)-1),"")</f>
        <v>3</v>
      </c>
      <c r="M31" s="1060">
        <f>Application!G737</f>
        <v>12</v>
      </c>
      <c r="N31" s="1066">
        <f>Application!AC737</f>
        <v>0.8</v>
      </c>
      <c r="O31" s="1066">
        <f>IF(Cdlac[[#This Row],[Quantity]]&gt;0,IF(Cdlac[[#This Row],[Federal]],30%,IF(AND(OR(NOT($G$38),$G$38=""),$G$43),40%,Cdlac[[#This Row],[iAMI]])),"")</f>
        <v>0.8</v>
      </c>
      <c r="P31" s="1060" cm="1">
        <f t="array" ref="P31">IF(Cdlac[[#This Row],[Quantity]]&gt;0,INDEX(TcacRents,$P$18,Cdlac[[#This Row],[Bedrooms]]+1)*Cdlac[[#This Row],[AMI]],"")</f>
        <v>3323.2000000000003</v>
      </c>
      <c r="Q31" s="1157"/>
      <c r="R31" s="1060" cm="1">
        <f t="array" ref="R31">IF(Cdlac[[#This Row],[Quantity]]&gt;0,INDEX(HudFmrs,$P$18,Cdlac[[#This Row],[Bedrooms]]+1),"")</f>
        <v>3432</v>
      </c>
      <c r="S31" s="1060">
        <f>IF(Cdlac[[#This Row],[Quantity]]&gt;0,MAX(0,Cdlac[[#This Row],[Fair Market Rent]]-IF(AND($G$37,$G$38,$G$38&lt;&gt;"",NOT(Cdlac[[#This Row],[Federal]]),Cdlac[[#This Row],[Preservation Rent]]&lt;&gt;""),Cdlac[[#This Row],[Preservation Rent]],Cdlac[[#This Row],[Restricted Rent]])),"")</f>
        <v>108.79999999999973</v>
      </c>
      <c r="T31" s="1039">
        <f>IF(Cdlac[[#This Row],[Quantity]]&gt;0,AND(Application!AK737&lt;&gt;"N/A",Application!AK737&lt;&gt;"")*Cdlac[[#This Row],[Quantity]],"")</f>
        <v>0</v>
      </c>
      <c r="U31" s="1039" t="b">
        <f>AND('Subsidy Contract Calculation'!F15&gt;0,OR('Subsidy Contract Calculation'!C15="Federal",'Subsidy Contract Calculation'!C15="Local - Approved by ED"),Cdlac[[#This Row],[Quantity]]&gt;0)</f>
        <v>0</v>
      </c>
    </row>
    <row r="32" spans="1:21" ht="15" customHeight="1">
      <c r="A32" s="1069"/>
      <c r="E32" s="1111" t="s">
        <v>1916</v>
      </c>
      <c r="F32" s="1107" t="s">
        <v>1964</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1950</v>
      </c>
      <c r="F33" s="1041"/>
      <c r="G33" s="1113">
        <f>G32*G31</f>
        <v>8037500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2570</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2205</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49" t="str">
        <f>IF(AND(G37,G38,G38&lt;&gt;""),"Enter the average rent charged for each unit type over the last three years, as documented with rent rolls or property audits, in cells Q20:Q44","")</f>
        <v/>
      </c>
      <c r="D39" s="2649"/>
      <c r="E39" s="2649"/>
      <c r="F39" s="2649"/>
      <c r="G39" s="2649"/>
      <c r="H39" s="2649"/>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49"/>
      <c r="D40" s="2649"/>
      <c r="E40" s="2649"/>
      <c r="F40" s="2649"/>
      <c r="G40" s="2649"/>
      <c r="H40" s="2649"/>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49"/>
      <c r="D41" s="2649"/>
      <c r="E41" s="2649"/>
      <c r="F41" s="2649"/>
      <c r="G41" s="2649"/>
      <c r="H41" s="2649"/>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1975</v>
      </c>
      <c r="G42" s="1114" cm="1">
        <f t="array" ref="G42">SUMPRODUCT(Cdlac[Quantity],Cdlac[iAMI],IF(Cdlac[Federal],0,1))/SUMIFS(Cdlac[Quantity],Cdlac[Federal],FALSE)</f>
        <v>0.59692307692307689</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1970</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1920</v>
      </c>
      <c r="G45" s="1073">
        <f>IFERROR(SUMPRODUCT(Cdlac[Quantity],Cdlac[Delta]),0)</f>
        <v>90327.2</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1976</v>
      </c>
      <c r="F46" s="1107" t="s">
        <v>1964</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1915</v>
      </c>
      <c r="F47" s="1041"/>
      <c r="G47" s="1117">
        <f>G45*G46</f>
        <v>16258896</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1967</v>
      </c>
      <c r="G51" s="1074">
        <f>SUMIFS(Cdlac[Quantity],Cdlac[iAMI],"&lt;=30%")</f>
        <v>23</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1966</v>
      </c>
      <c r="G52" s="1074">
        <f>ROUNDDOWN(E29*50%,0)</f>
        <v>65</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1926</v>
      </c>
      <c r="G54" s="1108">
        <f>MIN(G51:G52)</f>
        <v>23</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1916</v>
      </c>
      <c r="F55" s="1107" t="s">
        <v>1964</v>
      </c>
      <c r="G55" s="1118">
        <v>20000</v>
      </c>
      <c r="M55" s="1060"/>
      <c r="N55" s="1066"/>
      <c r="O55" s="1066"/>
      <c r="P55" s="1060"/>
      <c r="Q55" s="1157"/>
      <c r="R55" s="1060"/>
      <c r="S55" s="1060"/>
    </row>
    <row r="56" spans="2:21" ht="15" customHeight="1">
      <c r="E56" s="1112" t="s">
        <v>1948</v>
      </c>
      <c r="F56" s="1041"/>
      <c r="G56" s="1117">
        <f>G54*G55</f>
        <v>460000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1965</v>
      </c>
      <c r="G60" s="1202">
        <f>T18</f>
        <v>0</v>
      </c>
    </row>
    <row r="61" spans="2:21" ht="15" customHeight="1">
      <c r="E61" s="1111" t="s">
        <v>1966</v>
      </c>
      <c r="G61" s="1108">
        <f>ROUNDDOWN(E29*50%,0)</f>
        <v>65</v>
      </c>
    </row>
    <row r="62" spans="2:21" ht="15" customHeight="1">
      <c r="E62" s="1111"/>
      <c r="G62" s="1119"/>
    </row>
    <row r="63" spans="2:21" ht="15" customHeight="1">
      <c r="E63" s="1111" t="s">
        <v>1926</v>
      </c>
      <c r="G63" s="1108">
        <f>MIN(G60:G61)</f>
        <v>0</v>
      </c>
    </row>
    <row r="64" spans="2:21" ht="15" customHeight="1">
      <c r="E64" s="1111" t="s">
        <v>1916</v>
      </c>
      <c r="F64" s="1107" t="s">
        <v>1964</v>
      </c>
      <c r="G64" s="1118">
        <v>10000</v>
      </c>
    </row>
    <row r="65" spans="5:7" ht="15" customHeight="1">
      <c r="E65" s="1112" t="s">
        <v>1949</v>
      </c>
      <c r="F65" s="1041"/>
      <c r="G65" s="1117">
        <f>G63*G64</f>
        <v>0</v>
      </c>
    </row>
    <row r="66" spans="5:7" ht="15" customHeight="1">
      <c r="E66" s="1112"/>
      <c r="F66" s="1041"/>
      <c r="G66" s="1117"/>
    </row>
    <row r="67" spans="5:7" ht="15" customHeight="1">
      <c r="E67" s="1079" t="s">
        <v>2575</v>
      </c>
      <c r="G67" s="1039" t="b">
        <f>Application!V227="Yes"</f>
        <v>0</v>
      </c>
    </row>
    <row r="68" spans="5:7" ht="15" customHeight="1">
      <c r="E68" s="1079" t="s">
        <v>2576</v>
      </c>
      <c r="G68" s="1202">
        <f>SUMIF(Application!AK726:AK760,"Homeless",Application!G726:G760)</f>
        <v>0</v>
      </c>
    </row>
    <row r="69" spans="5:7" ht="15" customHeight="1">
      <c r="E69" s="1079"/>
    </row>
    <row r="70" spans="5:7" ht="15" customHeight="1">
      <c r="E70" s="1079" t="s">
        <v>2577</v>
      </c>
      <c r="G70" s="1203"/>
    </row>
    <row r="71" spans="5:7" ht="15" customHeight="1">
      <c r="E71" s="1079" t="s">
        <v>2578</v>
      </c>
      <c r="G71" s="1203"/>
    </row>
    <row r="72" spans="5:7" ht="15" customHeight="1">
      <c r="E72" s="1079" t="s">
        <v>2579</v>
      </c>
      <c r="G72" s="1202">
        <f>IF(G71=0,0,(G70/G71)*100000)</f>
        <v>0</v>
      </c>
    </row>
    <row r="73" spans="5:7" ht="15" customHeight="1">
      <c r="E73" s="1079" t="s">
        <v>2580</v>
      </c>
      <c r="G73" s="1203"/>
    </row>
    <row r="74" spans="5:7" ht="15" customHeight="1">
      <c r="E74" s="1079" t="s">
        <v>2581</v>
      </c>
      <c r="G74" s="1203"/>
    </row>
    <row r="75" spans="5:7" ht="15" customHeight="1">
      <c r="E75" s="1079" t="s">
        <v>2582</v>
      </c>
      <c r="G75" s="1202">
        <f>IF(G74=0,0,(G73/G74)*100000)</f>
        <v>0</v>
      </c>
    </row>
    <row r="76" spans="5:7" ht="15" customHeight="1">
      <c r="E76" s="1112"/>
      <c r="F76" s="1041"/>
      <c r="G76" s="1117"/>
    </row>
    <row r="77" spans="5:7" ht="15" customHeight="1">
      <c r="E77" s="1111" t="s">
        <v>1926</v>
      </c>
      <c r="G77" s="1108">
        <f>IF(OR(G75&gt;G72,G71&lt;100000),G75*G68,G72*G68)</f>
        <v>0</v>
      </c>
    </row>
    <row r="78" spans="5:7" ht="15" customHeight="1">
      <c r="E78" s="1111" t="s">
        <v>1916</v>
      </c>
      <c r="F78" s="1107" t="s">
        <v>1964</v>
      </c>
      <c r="G78" s="1118">
        <v>100</v>
      </c>
    </row>
    <row r="79" spans="5:7" ht="15" customHeight="1">
      <c r="E79" s="1112" t="s">
        <v>1949</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1952</v>
      </c>
      <c r="G83" s="1038" t="s">
        <v>544</v>
      </c>
      <c r="L83" s="2670" t="s">
        <v>1941</v>
      </c>
      <c r="M83" s="2671"/>
      <c r="N83" s="1125">
        <v>30000</v>
      </c>
    </row>
    <row r="84" spans="2:14" ht="15" customHeight="1">
      <c r="C84" s="1072" t="s">
        <v>1953</v>
      </c>
      <c r="G84" s="1076" t="str">
        <f>IF(Application!D211="Large Family","Yes","No")</f>
        <v>Yes</v>
      </c>
      <c r="L84" s="2674" t="s">
        <v>1909</v>
      </c>
      <c r="M84" s="2675"/>
      <c r="N84" s="1126">
        <v>20000</v>
      </c>
    </row>
    <row r="85" spans="2:14" ht="15" customHeight="1" thickBot="1">
      <c r="C85" s="1072" t="s">
        <v>1939</v>
      </c>
      <c r="G85" s="1038" t="s">
        <v>668</v>
      </c>
      <c r="L85" s="2676" t="s">
        <v>1942</v>
      </c>
      <c r="M85" s="2677"/>
      <c r="N85" s="1127">
        <v>10000</v>
      </c>
    </row>
    <row r="86" spans="2:14" ht="15" customHeight="1" thickBot="1">
      <c r="C86" s="1072" t="s">
        <v>1940</v>
      </c>
      <c r="G86" s="1039" t="str">
        <f>Application!T193</f>
        <v>Highest Resource</v>
      </c>
    </row>
    <row r="87" spans="2:14" ht="15" customHeight="1">
      <c r="C87" s="2652" t="s">
        <v>2207</v>
      </c>
      <c r="D87" s="2652"/>
      <c r="E87" s="2652"/>
      <c r="F87" s="2652"/>
      <c r="G87" s="1038" t="s">
        <v>668</v>
      </c>
      <c r="L87" s="1121" t="str">
        <f>'Points System'!H651</f>
        <v>(ii)</v>
      </c>
      <c r="M87" s="2672" t="s">
        <v>1395</v>
      </c>
      <c r="N87" s="2673"/>
    </row>
    <row r="88" spans="2:14" ht="15" customHeight="1">
      <c r="C88" s="2652"/>
      <c r="D88" s="2652"/>
      <c r="E88" s="2652"/>
      <c r="F88" s="2652"/>
      <c r="L88" s="1122" t="str">
        <f>'Points System'!H663</f>
        <v>N/A</v>
      </c>
      <c r="M88" s="2666" t="s">
        <v>1928</v>
      </c>
      <c r="N88" s="2667"/>
    </row>
    <row r="89" spans="2:14" ht="15" customHeight="1">
      <c r="C89" s="1072"/>
      <c r="L89" s="1122" t="str">
        <f>'Points System'!H698</f>
        <v>(i)</v>
      </c>
      <c r="M89" s="2666" t="s">
        <v>1929</v>
      </c>
      <c r="N89" s="2667"/>
    </row>
    <row r="90" spans="2:14" ht="15" customHeight="1">
      <c r="E90" s="1079" t="s">
        <v>1971</v>
      </c>
      <c r="G90" s="1074" t="b">
        <f>OR(AND(COUNTIFS(G84:G85,"Yes")&gt;=1,G83="Yes"),G87="Yes")</f>
        <v>1</v>
      </c>
      <c r="L90" s="1122" t="str">
        <f>IF(OR('Points System'!H722="(ii)",'Points System'!H722="(i)"),"(i)","N/A")</f>
        <v>N/A</v>
      </c>
      <c r="M90" s="2666" t="s">
        <v>1930</v>
      </c>
      <c r="N90" s="2667"/>
    </row>
    <row r="91" spans="2:14" ht="15" customHeight="1">
      <c r="E91" s="1079"/>
      <c r="G91" s="1074"/>
      <c r="L91" s="1123" t="str">
        <f>'Points System'!H736</f>
        <v>N/A</v>
      </c>
      <c r="M91" s="2666" t="s">
        <v>1421</v>
      </c>
      <c r="N91" s="2667"/>
    </row>
    <row r="92" spans="2:14" ht="15" customHeight="1">
      <c r="E92" s="1079" t="s">
        <v>1916</v>
      </c>
      <c r="G92" s="1073">
        <f>IFERROR(IF($G$87="Yes",30000,INDEX(N83:N85,MATCH(LEFT(G86,17),L83:L85,0))),0)</f>
        <v>30000</v>
      </c>
      <c r="L92" s="1122" t="str">
        <f>'Points System'!H748</f>
        <v>N/A</v>
      </c>
      <c r="M92" s="2666" t="s">
        <v>1931</v>
      </c>
      <c r="N92" s="2667"/>
    </row>
    <row r="93" spans="2:14" ht="15" customHeight="1">
      <c r="E93" s="1079" t="str">
        <f>E110</f>
        <v>Bedroom-Adjusted Low-Income Units</v>
      </c>
      <c r="F93" s="1107" t="s">
        <v>1964</v>
      </c>
      <c r="G93" s="1108">
        <f>G29</f>
        <v>160.75</v>
      </c>
      <c r="L93" s="1122" t="str">
        <f>'Points System'!H764</f>
        <v>(ii)</v>
      </c>
      <c r="M93" s="2666" t="s">
        <v>1932</v>
      </c>
      <c r="N93" s="2667"/>
    </row>
    <row r="94" spans="2:14" ht="15" customHeight="1" thickBot="1">
      <c r="D94" s="1041"/>
      <c r="E94" s="1112" t="s">
        <v>2210</v>
      </c>
      <c r="F94" s="1041"/>
      <c r="G94" s="1117">
        <f>G93*G92*G90</f>
        <v>4822500</v>
      </c>
      <c r="L94" s="1124" t="str">
        <f>'Points System'!H776</f>
        <v>(i)</v>
      </c>
      <c r="M94" s="2668" t="s">
        <v>1424</v>
      </c>
      <c r="N94" s="2669"/>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1947</v>
      </c>
      <c r="G98" s="1038" t="s">
        <v>668</v>
      </c>
    </row>
    <row r="99" spans="2:9" ht="15" customHeight="1">
      <c r="F99" s="1110"/>
    </row>
    <row r="100" spans="2:9" ht="15" customHeight="1">
      <c r="E100" s="1079" t="s">
        <v>1971</v>
      </c>
      <c r="G100" s="1074" t="b">
        <f>G98="Yes"</f>
        <v>0</v>
      </c>
    </row>
    <row r="101" spans="2:9" ht="15" customHeight="1"/>
    <row r="102" spans="2:9" ht="15" customHeight="1">
      <c r="E102" s="1079" t="str">
        <f>E110</f>
        <v>Bedroom-Adjusted Low-Income Units</v>
      </c>
      <c r="G102" s="1108">
        <f>G29</f>
        <v>160.75</v>
      </c>
    </row>
    <row r="103" spans="2:9" ht="15" customHeight="1">
      <c r="E103" s="1079" t="s">
        <v>1916</v>
      </c>
      <c r="F103" s="1107" t="s">
        <v>1964</v>
      </c>
      <c r="G103" s="1045">
        <v>20000</v>
      </c>
    </row>
    <row r="104" spans="2:9" ht="15" customHeight="1">
      <c r="E104" s="1112" t="s">
        <v>2211</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1927</v>
      </c>
      <c r="G108" s="1108">
        <f>VLOOKUP('Points System'!$H$619,'Points System'!$AO$599:$AP$604,2,FALSE)</f>
        <v>7</v>
      </c>
    </row>
    <row r="109" spans="2:9" ht="15" customHeight="1">
      <c r="E109" s="1079" t="s">
        <v>1916</v>
      </c>
      <c r="F109" s="1107" t="s">
        <v>1964</v>
      </c>
      <c r="G109" s="1071">
        <v>4000</v>
      </c>
    </row>
    <row r="110" spans="2:9" ht="15" customHeight="1">
      <c r="E110" s="1079" t="s">
        <v>1968</v>
      </c>
      <c r="F110" s="1107" t="s">
        <v>1964</v>
      </c>
      <c r="G110" s="1120">
        <f>G29</f>
        <v>160.75</v>
      </c>
    </row>
    <row r="111" spans="2:9" ht="15" customHeight="1">
      <c r="E111" s="1112" t="s">
        <v>1933</v>
      </c>
      <c r="F111" s="1041"/>
      <c r="G111" s="1117">
        <f>G108*G109*G110</f>
        <v>4501000</v>
      </c>
    </row>
    <row r="112" spans="2:9" ht="15" customHeight="1">
      <c r="C112" s="1072"/>
      <c r="G112" s="1108"/>
    </row>
    <row r="113" spans="2:7" ht="15" customHeight="1">
      <c r="E113" s="1079" t="s">
        <v>1969</v>
      </c>
      <c r="G113" s="1108">
        <f>COUNTIFS(L87:L94,"(i)")</f>
        <v>2</v>
      </c>
    </row>
    <row r="114" spans="2:7" ht="15" customHeight="1">
      <c r="E114" s="1079" t="s">
        <v>1916</v>
      </c>
      <c r="F114" s="1107" t="s">
        <v>1964</v>
      </c>
      <c r="G114" s="1118">
        <v>4000</v>
      </c>
    </row>
    <row r="115" spans="2:7" ht="15" customHeight="1">
      <c r="E115" s="1112" t="s">
        <v>1934</v>
      </c>
      <c r="F115" s="1041"/>
      <c r="G115" s="1117">
        <f>G110*G113*G114</f>
        <v>1286000</v>
      </c>
    </row>
    <row r="116" spans="2:7" ht="15" customHeight="1"/>
    <row r="117" spans="2:7" ht="15" customHeight="1">
      <c r="C117" s="1075" t="s">
        <v>1936</v>
      </c>
    </row>
    <row r="118" spans="2:7" ht="15" customHeight="1">
      <c r="C118" s="1072" t="s">
        <v>1937</v>
      </c>
      <c r="G118" s="1038"/>
    </row>
    <row r="119" spans="2:7" ht="15" customHeight="1">
      <c r="C119" s="1072" t="s">
        <v>1938</v>
      </c>
      <c r="G119" s="1038"/>
    </row>
    <row r="120" spans="2:7" ht="15" customHeight="1">
      <c r="C120" s="1072" t="s">
        <v>2093</v>
      </c>
      <c r="G120" s="1038" t="s">
        <v>544</v>
      </c>
    </row>
    <row r="121" spans="2:7">
      <c r="C121" s="1072" t="s">
        <v>2094</v>
      </c>
      <c r="G121" s="1038"/>
    </row>
    <row r="123" spans="2:7">
      <c r="B123" s="1073"/>
      <c r="C123" s="1072"/>
      <c r="E123" s="1079" t="s">
        <v>1971</v>
      </c>
      <c r="G123" s="1074" t="b">
        <f>COUNTIFS(G118:G121,"Yes")&gt;=1</f>
        <v>1</v>
      </c>
    </row>
    <row r="124" spans="2:7">
      <c r="E124" s="1072"/>
    </row>
    <row r="125" spans="2:7" ht="14.5">
      <c r="E125" s="1079" t="s">
        <v>1968</v>
      </c>
      <c r="F125" s="1107" t="s">
        <v>1964</v>
      </c>
      <c r="G125" s="1108">
        <f>G29</f>
        <v>160.75</v>
      </c>
    </row>
    <row r="126" spans="2:7" ht="14.5">
      <c r="E126" s="1079" t="s">
        <v>1916</v>
      </c>
      <c r="F126" s="1107" t="s">
        <v>1964</v>
      </c>
      <c r="G126" s="1118">
        <v>25000</v>
      </c>
    </row>
    <row r="127" spans="2:7">
      <c r="E127" s="1112" t="s">
        <v>1935</v>
      </c>
      <c r="F127" s="1041"/>
      <c r="G127" s="1117">
        <f>G123*G126*G110</f>
        <v>4018750</v>
      </c>
    </row>
    <row r="128" spans="2:7">
      <c r="C128" s="1072"/>
      <c r="E128" s="1072"/>
    </row>
    <row r="129" spans="2:9">
      <c r="E129" s="1112" t="s">
        <v>2212</v>
      </c>
      <c r="G129" s="1117">
        <f>G127+G115+G111</f>
        <v>9805750</v>
      </c>
    </row>
    <row r="131" spans="2:9">
      <c r="B131" s="1061" t="s">
        <v>139</v>
      </c>
      <c r="C131" s="1062"/>
      <c r="D131" s="1062"/>
      <c r="E131" s="1062"/>
      <c r="F131" s="1062"/>
      <c r="G131" s="1062"/>
      <c r="H131" s="1062"/>
      <c r="I131" s="1063"/>
    </row>
    <row r="133" spans="2:9">
      <c r="C133" s="2648" t="s">
        <v>2179</v>
      </c>
      <c r="D133" s="2648"/>
      <c r="E133" s="2648"/>
      <c r="F133" s="2648"/>
    </row>
    <row r="134" spans="2:9">
      <c r="C134" s="2648"/>
      <c r="D134" s="2648"/>
      <c r="E134" s="2648"/>
      <c r="F134" s="2648"/>
      <c r="G134" s="1038"/>
    </row>
    <row r="135" spans="2:9" ht="14.25" customHeight="1"/>
    <row r="136" spans="2:9">
      <c r="C136" s="1039" t="s">
        <v>2181</v>
      </c>
      <c r="G136" s="2650"/>
      <c r="H136" s="2650"/>
    </row>
    <row r="137" spans="2:9">
      <c r="G137" s="2650"/>
      <c r="H137" s="2650"/>
    </row>
    <row r="138" spans="2:9">
      <c r="G138" s="2651"/>
      <c r="H138" s="2651"/>
    </row>
    <row r="140" spans="2:9">
      <c r="C140" s="2648" t="s">
        <v>2590</v>
      </c>
      <c r="D140" s="2648"/>
      <c r="E140" s="2648"/>
      <c r="F140" s="2648"/>
    </row>
    <row r="141" spans="2:9">
      <c r="C141" s="2648"/>
      <c r="D141" s="2648"/>
      <c r="E141" s="2648"/>
      <c r="F141" s="2648"/>
      <c r="G141" s="1038"/>
    </row>
    <row r="142" spans="2:9">
      <c r="C142" s="2648"/>
      <c r="D142" s="2648"/>
      <c r="E142" s="2648"/>
      <c r="F142" s="2648"/>
    </row>
    <row r="144" spans="2:9">
      <c r="C144" s="2648" t="s">
        <v>2589</v>
      </c>
      <c r="D144" s="2648"/>
      <c r="E144" s="2648"/>
      <c r="F144" s="2648"/>
    </row>
    <row r="145" spans="2:9">
      <c r="C145" s="2648"/>
      <c r="D145" s="2648"/>
      <c r="E145" s="2648"/>
      <c r="F145" s="2648"/>
      <c r="G145" s="1038"/>
    </row>
    <row r="146" spans="2:9">
      <c r="C146" s="2648"/>
      <c r="D146" s="2648"/>
      <c r="E146" s="2648"/>
      <c r="F146" s="2648"/>
    </row>
    <row r="147" spans="2:9">
      <c r="C147" s="2648"/>
      <c r="D147" s="2648"/>
      <c r="E147" s="2648"/>
      <c r="F147" s="2648"/>
    </row>
    <row r="149" spans="2:9">
      <c r="B149" s="1061" t="s">
        <v>1973</v>
      </c>
      <c r="C149" s="1062"/>
      <c r="D149" s="1062"/>
      <c r="E149" s="1062"/>
      <c r="F149" s="1062"/>
      <c r="G149" s="1062"/>
      <c r="H149" s="1062"/>
      <c r="I149" s="1063"/>
    </row>
    <row r="151" spans="2:9">
      <c r="E151" s="1079" t="s">
        <v>581</v>
      </c>
      <c r="G151" s="1039" t="str">
        <f>IF(Application!T189="","",Application!T189)</f>
        <v>Contra Costa</v>
      </c>
    </row>
    <row r="152" spans="2:9">
      <c r="E152" s="1079"/>
      <c r="G152" s="1073"/>
    </row>
    <row r="153" spans="2:9">
      <c r="E153" s="1079" t="str">
        <f>"2-Bedroom "&amp;G151&amp;" County Basis Limit"</f>
        <v>2-Bedroom Contra Costa County Basis Limit</v>
      </c>
      <c r="G153" s="1073">
        <f>Application!R997</f>
        <v>683200</v>
      </c>
    </row>
    <row r="154" spans="2:9">
      <c r="E154" s="1079" t="s">
        <v>1972</v>
      </c>
      <c r="G154" s="1073">
        <f>MEDIAN((Application!CU160:CU217))</f>
        <v>560000</v>
      </c>
    </row>
    <row r="155" spans="2:9">
      <c r="D155" s="1041"/>
      <c r="E155" s="1112" t="s">
        <v>1974</v>
      </c>
      <c r="F155" s="1128"/>
      <c r="G155" s="1129">
        <f>((G153-G154)/G154)*0.25</f>
        <v>5.5E-2</v>
      </c>
      <c r="H155" s="1037"/>
      <c r="I155" s="1037"/>
    </row>
    <row r="156" spans="2:9">
      <c r="D156" s="1040"/>
      <c r="E156" s="1040"/>
    </row>
    <row r="157" spans="2:9">
      <c r="B157" s="1061" t="s">
        <v>2213</v>
      </c>
      <c r="C157" s="1062"/>
      <c r="D157" s="1062"/>
      <c r="E157" s="1062"/>
      <c r="F157" s="1062"/>
      <c r="G157" s="1062"/>
      <c r="H157" s="1062"/>
      <c r="I157" s="1063"/>
    </row>
    <row r="159" spans="2:9">
      <c r="E159" s="1079" t="s">
        <v>2570</v>
      </c>
      <c r="G159" s="1039" t="b">
        <f>G37</f>
        <v>0</v>
      </c>
    </row>
    <row r="160" spans="2:9">
      <c r="C160" s="2643" t="s">
        <v>2214</v>
      </c>
      <c r="D160" s="2643"/>
      <c r="E160" s="2643"/>
      <c r="F160" s="2643"/>
    </row>
    <row r="161" spans="2:7">
      <c r="B161" s="1040"/>
      <c r="C161" s="2643"/>
      <c r="D161" s="2643"/>
      <c r="E161" s="2643"/>
      <c r="F161" s="2643"/>
      <c r="G161" s="1038"/>
    </row>
    <row r="162" spans="2:7">
      <c r="B162" s="1040"/>
      <c r="C162" s="1040"/>
      <c r="D162" s="1040"/>
      <c r="E162" s="1040"/>
      <c r="F162" s="1040"/>
    </row>
    <row r="163" spans="2:7">
      <c r="E163" s="1079" t="s">
        <v>2216</v>
      </c>
      <c r="G163" s="1162"/>
    </row>
    <row r="165" spans="2:7">
      <c r="E165" s="1079" t="s">
        <v>2218</v>
      </c>
      <c r="G165" s="1161">
        <f>IF(I9=0,0,G163/I9)</f>
        <v>0</v>
      </c>
    </row>
    <row r="166" spans="2:7">
      <c r="E166" s="1079" t="s">
        <v>2215</v>
      </c>
      <c r="G166" s="1159">
        <f>I9*0.15</f>
        <v>2742331.4325000001</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7"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796875" defaultRowHeight="14" zeroHeight="1"/>
  <cols>
    <col min="1" max="2" width="15.7265625" style="304" customWidth="1"/>
    <col min="3" max="3" width="11" style="304" customWidth="1"/>
    <col min="4" max="4" width="15.7265625" style="304" customWidth="1"/>
    <col min="5" max="5" width="3.7265625" style="304" customWidth="1"/>
    <col min="6" max="7" width="15.7265625" style="304" customWidth="1"/>
    <col min="8" max="8" width="3.7265625" style="304" customWidth="1"/>
    <col min="9" max="10" width="15.7265625" style="304" customWidth="1"/>
    <col min="11" max="11" width="3.26953125" style="304" customWidth="1"/>
    <col min="12" max="17" width="15.7265625" style="304" customWidth="1"/>
    <col min="18" max="16384" width="9.1796875" style="304"/>
  </cols>
  <sheetData>
    <row r="1" spans="1:12">
      <c r="A1" s="2678" t="s">
        <v>908</v>
      </c>
      <c r="B1" s="2678"/>
      <c r="C1" s="2678"/>
      <c r="D1" s="2678"/>
      <c r="E1" s="2678"/>
      <c r="F1" s="2678"/>
      <c r="G1" s="2678"/>
      <c r="H1" s="2678"/>
      <c r="I1" s="2678"/>
      <c r="J1" s="2678"/>
      <c r="K1" s="204"/>
      <c r="L1" s="204"/>
    </row>
    <row r="2" spans="1:12">
      <c r="A2" s="210"/>
      <c r="B2" s="210"/>
      <c r="C2" s="210"/>
      <c r="D2" s="210"/>
      <c r="E2" s="210"/>
      <c r="F2" s="210"/>
      <c r="G2" s="210"/>
      <c r="H2" s="210"/>
      <c r="I2" s="210"/>
      <c r="J2" s="210"/>
    </row>
    <row r="3" spans="1:12" ht="84.5">
      <c r="A3" s="426" t="s">
        <v>909</v>
      </c>
      <c r="B3" s="426" t="s">
        <v>2200</v>
      </c>
      <c r="C3" s="426" t="s">
        <v>2201</v>
      </c>
      <c r="D3" s="1140" t="s">
        <v>2202</v>
      </c>
      <c r="E3" s="204"/>
      <c r="F3" s="1140" t="s">
        <v>910</v>
      </c>
      <c r="G3" s="426" t="s">
        <v>911</v>
      </c>
      <c r="H3" s="427"/>
      <c r="I3" s="426" t="s">
        <v>912</v>
      </c>
      <c r="J3" s="426" t="s">
        <v>913</v>
      </c>
      <c r="K3" s="204"/>
      <c r="L3" s="305"/>
    </row>
    <row r="4" spans="1:12">
      <c r="A4" s="428" t="str">
        <f>Application!B726</f>
        <v>1 Bedroom</v>
      </c>
      <c r="B4" s="1077">
        <f>Application!G726</f>
        <v>5</v>
      </c>
      <c r="C4" s="1155"/>
      <c r="D4" s="428">
        <f>Application!O726</f>
        <v>859</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8</v>
      </c>
      <c r="C5" s="1155"/>
      <c r="D5" s="428">
        <f>Application!O727</f>
        <v>1458</v>
      </c>
      <c r="E5" s="429"/>
      <c r="F5" s="1078"/>
      <c r="G5" s="428">
        <f t="shared" ref="G5:G38" si="2">F5*B5</f>
        <v>0</v>
      </c>
      <c r="H5" s="429"/>
      <c r="I5" s="428" t="str">
        <f t="shared" si="0"/>
        <v/>
      </c>
      <c r="J5" s="428" t="str">
        <f t="shared" si="1"/>
        <v/>
      </c>
      <c r="K5" s="204"/>
      <c r="L5" s="305"/>
    </row>
    <row r="6" spans="1:12">
      <c r="A6" s="428" t="str">
        <f>Application!B728</f>
        <v>1 Bedroom</v>
      </c>
      <c r="B6" s="1077">
        <f>Application!G728</f>
        <v>12</v>
      </c>
      <c r="C6" s="1155"/>
      <c r="D6" s="428">
        <f>Application!O728</f>
        <v>1758</v>
      </c>
      <c r="E6" s="429"/>
      <c r="F6" s="1078"/>
      <c r="G6" s="428">
        <f t="shared" si="2"/>
        <v>0</v>
      </c>
      <c r="H6" s="429"/>
      <c r="I6" s="428" t="str">
        <f t="shared" si="0"/>
        <v/>
      </c>
      <c r="J6" s="428" t="str">
        <f t="shared" si="1"/>
        <v/>
      </c>
      <c r="K6" s="204"/>
      <c r="L6" s="305"/>
    </row>
    <row r="7" spans="1:12">
      <c r="A7" s="428" t="str">
        <f>Application!B729</f>
        <v>1 Bedroom</v>
      </c>
      <c r="B7" s="1077">
        <f>Application!G729</f>
        <v>21</v>
      </c>
      <c r="C7" s="1155"/>
      <c r="D7" s="428">
        <f>Application!O729</f>
        <v>2358</v>
      </c>
      <c r="E7" s="429"/>
      <c r="F7" s="1078"/>
      <c r="G7" s="428">
        <f t="shared" si="2"/>
        <v>0</v>
      </c>
      <c r="H7" s="429"/>
      <c r="I7" s="428" t="str">
        <f t="shared" si="0"/>
        <v/>
      </c>
      <c r="J7" s="428" t="str">
        <f t="shared" si="1"/>
        <v/>
      </c>
      <c r="K7" s="204"/>
      <c r="L7" s="305"/>
    </row>
    <row r="8" spans="1:12">
      <c r="A8" s="428" t="str">
        <f>Application!B730</f>
        <v>2 Bedrooms</v>
      </c>
      <c r="B8" s="1077">
        <f>Application!G730</f>
        <v>7</v>
      </c>
      <c r="C8" s="1155"/>
      <c r="D8" s="428">
        <f>Application!O730</f>
        <v>1043</v>
      </c>
      <c r="E8" s="429"/>
      <c r="F8" s="1078"/>
      <c r="G8" s="428">
        <f t="shared" si="2"/>
        <v>0</v>
      </c>
      <c r="H8" s="429"/>
      <c r="I8" s="428" t="str">
        <f t="shared" si="0"/>
        <v/>
      </c>
      <c r="J8" s="428" t="str">
        <f t="shared" si="1"/>
        <v/>
      </c>
      <c r="K8" s="204"/>
      <c r="L8" s="305"/>
    </row>
    <row r="9" spans="1:12">
      <c r="A9" s="428" t="str">
        <f>Application!B731</f>
        <v>2 Bedrooms</v>
      </c>
      <c r="B9" s="1077">
        <f>Application!G731</f>
        <v>9</v>
      </c>
      <c r="C9" s="1155"/>
      <c r="D9" s="428">
        <f>Application!O731</f>
        <v>1762</v>
      </c>
      <c r="E9" s="429"/>
      <c r="F9" s="1078"/>
      <c r="G9" s="428">
        <f t="shared" si="2"/>
        <v>0</v>
      </c>
      <c r="H9" s="429"/>
      <c r="I9" s="428" t="str">
        <f t="shared" si="0"/>
        <v/>
      </c>
      <c r="J9" s="428" t="str">
        <f t="shared" si="1"/>
        <v/>
      </c>
      <c r="K9" s="204"/>
      <c r="L9" s="305"/>
    </row>
    <row r="10" spans="1:12">
      <c r="A10" s="428" t="str">
        <f>Application!B732</f>
        <v>2 Bedrooms</v>
      </c>
      <c r="B10" s="1077">
        <f>Application!G732</f>
        <v>13</v>
      </c>
      <c r="C10" s="1155"/>
      <c r="D10" s="428">
        <f>Application!O732</f>
        <v>2122</v>
      </c>
      <c r="E10" s="429"/>
      <c r="F10" s="1078"/>
      <c r="G10" s="428">
        <f t="shared" si="2"/>
        <v>0</v>
      </c>
      <c r="H10" s="429"/>
      <c r="I10" s="428" t="str">
        <f t="shared" si="0"/>
        <v/>
      </c>
      <c r="J10" s="428" t="str">
        <f t="shared" si="1"/>
        <v/>
      </c>
      <c r="K10" s="204"/>
      <c r="L10" s="305"/>
    </row>
    <row r="11" spans="1:12">
      <c r="A11" s="428" t="str">
        <f>Application!B733</f>
        <v>2 Bedrooms</v>
      </c>
      <c r="B11" s="1077">
        <f>Application!G733</f>
        <v>13</v>
      </c>
      <c r="C11" s="1155"/>
      <c r="D11" s="428">
        <f>Application!O733</f>
        <v>2619</v>
      </c>
      <c r="E11" s="429"/>
      <c r="F11" s="1078"/>
      <c r="G11" s="428">
        <f t="shared" si="2"/>
        <v>0</v>
      </c>
      <c r="H11" s="429"/>
      <c r="I11" s="428" t="str">
        <f t="shared" si="0"/>
        <v/>
      </c>
      <c r="J11" s="428" t="str">
        <f t="shared" si="1"/>
        <v/>
      </c>
      <c r="K11" s="204"/>
      <c r="L11" s="305"/>
    </row>
    <row r="12" spans="1:12">
      <c r="A12" s="428" t="str">
        <f>Application!B734</f>
        <v>3 Bedrooms</v>
      </c>
      <c r="B12" s="1077">
        <f>Application!G734</f>
        <v>11</v>
      </c>
      <c r="C12" s="1155"/>
      <c r="D12" s="428">
        <f>Application!O734</f>
        <v>1202</v>
      </c>
      <c r="E12" s="429"/>
      <c r="F12" s="1078"/>
      <c r="G12" s="428">
        <f t="shared" si="2"/>
        <v>0</v>
      </c>
      <c r="H12" s="429"/>
      <c r="I12" s="428" t="str">
        <f t="shared" si="0"/>
        <v/>
      </c>
      <c r="J12" s="428" t="str">
        <f t="shared" si="1"/>
        <v/>
      </c>
      <c r="K12" s="204"/>
      <c r="L12" s="305"/>
    </row>
    <row r="13" spans="1:12">
      <c r="A13" s="428" t="str">
        <f>Application!B735</f>
        <v>3 Bedrooms</v>
      </c>
      <c r="B13" s="1077">
        <f>Application!G735</f>
        <v>10</v>
      </c>
      <c r="C13" s="1155"/>
      <c r="D13" s="428">
        <f>Application!O735</f>
        <v>2033</v>
      </c>
      <c r="E13" s="429"/>
      <c r="F13" s="1078"/>
      <c r="G13" s="428">
        <f t="shared" si="2"/>
        <v>0</v>
      </c>
      <c r="H13" s="429"/>
      <c r="I13" s="428" t="str">
        <f t="shared" si="0"/>
        <v/>
      </c>
      <c r="J13" s="428" t="str">
        <f t="shared" si="1"/>
        <v/>
      </c>
      <c r="K13" s="204"/>
      <c r="L13" s="305"/>
    </row>
    <row r="14" spans="1:12">
      <c r="A14" s="428" t="str">
        <f>Application!B736</f>
        <v>3 Bedrooms</v>
      </c>
      <c r="B14" s="1077">
        <f>Application!G736</f>
        <v>9</v>
      </c>
      <c r="C14" s="1155"/>
      <c r="D14" s="428">
        <f>Application!O736</f>
        <v>2449</v>
      </c>
      <c r="E14" s="429"/>
      <c r="F14" s="1078"/>
      <c r="G14" s="428">
        <f t="shared" si="2"/>
        <v>0</v>
      </c>
      <c r="H14" s="429"/>
      <c r="I14" s="428" t="str">
        <f t="shared" si="0"/>
        <v/>
      </c>
      <c r="J14" s="428" t="str">
        <f t="shared" si="1"/>
        <v/>
      </c>
      <c r="K14" s="204"/>
      <c r="L14" s="305"/>
    </row>
    <row r="15" spans="1:12">
      <c r="A15" s="428" t="str">
        <f>Application!B737</f>
        <v>3 Bedrooms</v>
      </c>
      <c r="B15" s="1077">
        <f>Application!G737</f>
        <v>12</v>
      </c>
      <c r="C15" s="1155"/>
      <c r="D15" s="428">
        <f>Application!O737</f>
        <v>3096</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914</v>
      </c>
      <c r="B40" s="431"/>
      <c r="C40" s="431"/>
      <c r="D40" s="432">
        <f>Application!O761</f>
        <v>264110</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2203</v>
      </c>
    </row>
    <row r="43" spans="1:12">
      <c r="A43" s="2679" t="s">
        <v>2424</v>
      </c>
      <c r="B43" s="2679"/>
      <c r="C43" s="2679"/>
      <c r="D43" s="2679"/>
      <c r="E43" s="2679"/>
      <c r="F43" s="2679"/>
      <c r="G43" s="2679"/>
      <c r="H43" s="2679"/>
      <c r="I43" s="2679"/>
      <c r="J43" s="2679"/>
    </row>
    <row r="44" spans="1:12">
      <c r="A44" s="2679"/>
      <c r="B44" s="2679"/>
      <c r="C44" s="2679"/>
      <c r="D44" s="2679"/>
      <c r="E44" s="2679"/>
      <c r="F44" s="2679"/>
      <c r="G44" s="2679"/>
      <c r="H44" s="2679"/>
      <c r="I44" s="2679"/>
      <c r="J44" s="2679"/>
    </row>
    <row r="45" spans="1:12">
      <c r="A45" s="2679" t="s">
        <v>2204</v>
      </c>
      <c r="B45" s="2679"/>
      <c r="C45" s="2679"/>
      <c r="D45" s="2679"/>
      <c r="E45" s="2679"/>
      <c r="F45" s="2679"/>
      <c r="G45" s="2679"/>
      <c r="H45" s="2679"/>
      <c r="I45" s="2679"/>
      <c r="J45" s="2679"/>
    </row>
    <row r="46" spans="1:12">
      <c r="A46" s="2679"/>
      <c r="B46" s="2679"/>
      <c r="C46" s="2679"/>
      <c r="D46" s="2679"/>
      <c r="E46" s="2679"/>
      <c r="F46" s="2679"/>
      <c r="G46" s="2679"/>
      <c r="H46" s="2679"/>
      <c r="I46" s="2679"/>
      <c r="J46" s="2679"/>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T34" workbookViewId="0">
      <selection activeCell="G63" sqref="G63"/>
    </sheetView>
  </sheetViews>
  <sheetFormatPr defaultColWidth="0" defaultRowHeight="12.5" zeroHeight="1"/>
  <cols>
    <col min="1" max="1" width="3.7265625" customWidth="1"/>
    <col min="2" max="2" width="30.54296875" customWidth="1"/>
    <col min="3" max="3" width="9.1796875" style="214"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1" t="s">
        <v>2047</v>
      </c>
      <c r="B1" s="211"/>
    </row>
    <row r="2" spans="1:34"/>
    <row r="3" spans="1:34" ht="15.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
      <c r="A4" s="219" t="s">
        <v>836</v>
      </c>
      <c r="C4" s="237">
        <v>1.0249999999999999</v>
      </c>
      <c r="E4" s="219">
        <f>Application!Y809</f>
        <v>3169320</v>
      </c>
      <c r="G4" s="219">
        <f>E4*$C$4</f>
        <v>3248552.9999999995</v>
      </c>
      <c r="I4" s="219">
        <f>G4*$C$4</f>
        <v>3329766.8249999993</v>
      </c>
      <c r="K4" s="219">
        <f>I4*$C$4</f>
        <v>3413010.9956249991</v>
      </c>
      <c r="M4" s="219">
        <f>K4*$C$4</f>
        <v>3498336.2705156235</v>
      </c>
      <c r="O4" s="219">
        <f>M4*$C$4</f>
        <v>3585794.6772785136</v>
      </c>
      <c r="Q4" s="219">
        <f>O4*$C$4</f>
        <v>3675439.5442104759</v>
      </c>
      <c r="S4" s="219">
        <f>Q4*$C$4</f>
        <v>3767325.5328157376</v>
      </c>
      <c r="U4" s="219">
        <f>S4*$C$4</f>
        <v>3861508.6711361306</v>
      </c>
      <c r="W4" s="219">
        <f>U4*$C$4</f>
        <v>3958046.3879145337</v>
      </c>
      <c r="Y4" s="219">
        <f>W4*$C$4</f>
        <v>4056997.5476123965</v>
      </c>
      <c r="AA4" s="219">
        <f>Y4*$C$4</f>
        <v>4158422.4863027059</v>
      </c>
      <c r="AC4" s="219">
        <f>AA4*$C$4</f>
        <v>4262383.0484602731</v>
      </c>
      <c r="AE4" s="219">
        <f>AC4*$C$4</f>
        <v>4368942.6246717796</v>
      </c>
      <c r="AG4" s="219">
        <f>AE4*$C$4</f>
        <v>4478166.1902885735</v>
      </c>
    </row>
    <row r="5" spans="1:34" s="210" customFormat="1" ht="14">
      <c r="B5" s="210" t="s">
        <v>837</v>
      </c>
      <c r="C5" s="238">
        <f>IF(Application!$D$211="Special Needs",(((0.1*Application!$T$212)+(0.05*(1-Application!$T$212)))),0.05)</f>
        <v>0.05</v>
      </c>
      <c r="E5" s="221">
        <f>-E4*$C$5</f>
        <v>-158466</v>
      </c>
      <c r="F5" s="221"/>
      <c r="G5" s="221">
        <f>-G4*$C$5</f>
        <v>-162427.65</v>
      </c>
      <c r="H5" s="221"/>
      <c r="I5" s="221">
        <f>-I4*$C$5</f>
        <v>-166488.34124999997</v>
      </c>
      <c r="J5" s="221"/>
      <c r="K5" s="221">
        <f>-K4*$C$5</f>
        <v>-170650.54978124995</v>
      </c>
      <c r="L5" s="221"/>
      <c r="M5" s="221">
        <f>-M4*$C$5</f>
        <v>-174916.81352578118</v>
      </c>
      <c r="N5" s="221"/>
      <c r="O5" s="221">
        <f>-O4*$C$5</f>
        <v>-179289.73386392568</v>
      </c>
      <c r="P5" s="221"/>
      <c r="Q5" s="221">
        <f>-Q4*$C$5</f>
        <v>-183771.97721052379</v>
      </c>
      <c r="R5" s="221"/>
      <c r="S5" s="221">
        <f>-S4*$C$5</f>
        <v>-188366.27664078691</v>
      </c>
      <c r="T5" s="221"/>
      <c r="U5" s="221">
        <f>-U4*$C$5</f>
        <v>-193075.43355680653</v>
      </c>
      <c r="V5" s="221"/>
      <c r="W5" s="221">
        <f>-W4*$C$5</f>
        <v>-197902.31939572669</v>
      </c>
      <c r="X5" s="221"/>
      <c r="Y5" s="221">
        <f>-Y4*$C$5</f>
        <v>-202849.87738061984</v>
      </c>
      <c r="Z5" s="221"/>
      <c r="AA5" s="221">
        <f>-AA4*$C$5</f>
        <v>-207921.1243151353</v>
      </c>
      <c r="AB5" s="221"/>
      <c r="AC5" s="221">
        <f>-AC4*$C$5</f>
        <v>-213119.15242301367</v>
      </c>
      <c r="AD5" s="221"/>
      <c r="AE5" s="221">
        <f>-AE4*$C$5</f>
        <v>-218447.131233589</v>
      </c>
      <c r="AF5" s="221"/>
      <c r="AG5" s="221">
        <f>-AG4*$C$5</f>
        <v>-223908.30951442869</v>
      </c>
    </row>
    <row r="6" spans="1:34" s="210" customFormat="1" ht="14">
      <c r="A6" s="210" t="s">
        <v>835</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
      <c r="B7" s="210" t="s">
        <v>837</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
      <c r="A8" s="210" t="s">
        <v>287</v>
      </c>
      <c r="C8" s="237">
        <v>1.0249999999999999</v>
      </c>
      <c r="E8" s="222">
        <f>Application!Z825</f>
        <v>19650</v>
      </c>
      <c r="F8" s="222"/>
      <c r="G8" s="222">
        <f>E8*$C$8</f>
        <v>20141.25</v>
      </c>
      <c r="H8" s="222"/>
      <c r="I8" s="222">
        <f>G8*$C$8</f>
        <v>20644.78125</v>
      </c>
      <c r="J8" s="222"/>
      <c r="K8" s="222">
        <f>I8*$C$8</f>
        <v>21160.900781249999</v>
      </c>
      <c r="L8" s="222"/>
      <c r="M8" s="222">
        <f>K8*$C$8</f>
        <v>21689.923300781247</v>
      </c>
      <c r="N8" s="222"/>
      <c r="O8" s="222">
        <f>M8*$C$8</f>
        <v>22232.171383300778</v>
      </c>
      <c r="P8" s="222"/>
      <c r="Q8" s="222">
        <f>O8*$C$8</f>
        <v>22787.975667883296</v>
      </c>
      <c r="R8" s="222"/>
      <c r="S8" s="222">
        <f>Q8*$C$8</f>
        <v>23357.675059580375</v>
      </c>
      <c r="T8" s="222"/>
      <c r="U8" s="222">
        <f>S8*$C$8</f>
        <v>23941.616936069884</v>
      </c>
      <c r="V8" s="222"/>
      <c r="W8" s="222">
        <f>U8*$C$8</f>
        <v>24540.157359471628</v>
      </c>
      <c r="X8" s="222"/>
      <c r="Y8" s="222">
        <f>W8*$C$8</f>
        <v>25153.661293458415</v>
      </c>
      <c r="Z8" s="222"/>
      <c r="AA8" s="222">
        <f>Y8*$C$8</f>
        <v>25782.502825794872</v>
      </c>
      <c r="AB8" s="222"/>
      <c r="AC8" s="222">
        <f>AA8*$C$8</f>
        <v>26427.065396439742</v>
      </c>
      <c r="AD8" s="222"/>
      <c r="AE8" s="222">
        <f>AC8*$C$8</f>
        <v>27087.742031350735</v>
      </c>
      <c r="AF8" s="222"/>
      <c r="AG8" s="222">
        <f>AE8*$C$8</f>
        <v>27764.935582134502</v>
      </c>
    </row>
    <row r="9" spans="1:34" s="210" customFormat="1" ht="14">
      <c r="B9" s="210" t="s">
        <v>837</v>
      </c>
      <c r="C9" s="238">
        <f>IF(Application!$D$211="Special Needs",(((0.1*Application!$T$212)+(0.05*(1-Application!$T$212)))),0.05)</f>
        <v>0.05</v>
      </c>
      <c r="E9" s="221">
        <f>-E8*$C$9</f>
        <v>-982.5</v>
      </c>
      <c r="F9" s="221"/>
      <c r="G9" s="221">
        <f>-G8*$C$9</f>
        <v>-1007.0625</v>
      </c>
      <c r="H9" s="221"/>
      <c r="I9" s="221">
        <f>-I8*$C$9</f>
        <v>-1032.2390625</v>
      </c>
      <c r="J9" s="221"/>
      <c r="K9" s="221">
        <f>-K8*$C$9</f>
        <v>-1058.0450390624999</v>
      </c>
      <c r="L9" s="221"/>
      <c r="M9" s="221">
        <f>-M8*$C$9</f>
        <v>-1084.4961650390624</v>
      </c>
      <c r="N9" s="221"/>
      <c r="O9" s="221">
        <f>-O8*$C$9</f>
        <v>-1111.6085691650389</v>
      </c>
      <c r="P9" s="221"/>
      <c r="Q9" s="221">
        <f>-Q8*$C$9</f>
        <v>-1139.3987833941649</v>
      </c>
      <c r="R9" s="221"/>
      <c r="S9" s="221">
        <f>-S8*$C$9</f>
        <v>-1167.8837529790187</v>
      </c>
      <c r="T9" s="221"/>
      <c r="U9" s="221">
        <f>-U8*$C$9</f>
        <v>-1197.0808468034943</v>
      </c>
      <c r="V9" s="221"/>
      <c r="W9" s="221">
        <f>-W8*$C$9</f>
        <v>-1227.0078679735814</v>
      </c>
      <c r="X9" s="221"/>
      <c r="Y9" s="221">
        <f>-Y8*$C$9</f>
        <v>-1257.6830646729209</v>
      </c>
      <c r="Z9" s="221"/>
      <c r="AA9" s="221">
        <f>-AA8*$C$9</f>
        <v>-1289.1251412897436</v>
      </c>
      <c r="AB9" s="221"/>
      <c r="AC9" s="221">
        <f>-AC8*$C$9</f>
        <v>-1321.3532698219872</v>
      </c>
      <c r="AD9" s="221"/>
      <c r="AE9" s="221">
        <f>-AE8*$C$9</f>
        <v>-1354.3871015675368</v>
      </c>
      <c r="AF9" s="221"/>
      <c r="AG9" s="221">
        <f>-AG8*$C$9</f>
        <v>-1388.2467791067252</v>
      </c>
    </row>
    <row r="10" spans="1:34" s="210" customFormat="1" ht="14">
      <c r="A10" s="1137" t="s">
        <v>2175</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4">
      <c r="A11" s="223" t="s">
        <v>858</v>
      </c>
      <c r="C11" s="216"/>
      <c r="E11" s="223">
        <f>SUM(E4:E10)</f>
        <v>3029521.5</v>
      </c>
      <c r="G11" s="223">
        <f>SUM(G4:G10)</f>
        <v>3105259.5374999996</v>
      </c>
      <c r="I11" s="223">
        <f>SUM(I4:I10)</f>
        <v>3182891.025937499</v>
      </c>
      <c r="K11" s="223">
        <f>SUM(K4:K10)</f>
        <v>3262463.3015859369</v>
      </c>
      <c r="M11" s="223">
        <f>SUM(M4:M10)</f>
        <v>3344024.8841255847</v>
      </c>
      <c r="O11" s="223">
        <f>SUM(O4:O10)</f>
        <v>3427625.5062287236</v>
      </c>
      <c r="Q11" s="223">
        <f>SUM(Q4:Q10)</f>
        <v>3513316.1438844413</v>
      </c>
      <c r="S11" s="223">
        <f>SUM(S4:S10)</f>
        <v>3601149.0474815522</v>
      </c>
      <c r="U11" s="223">
        <f>SUM(U4:U10)</f>
        <v>3691177.7736685909</v>
      </c>
      <c r="W11" s="223">
        <f>SUM(W4:W10)</f>
        <v>3783457.218010305</v>
      </c>
      <c r="Y11" s="223">
        <f>SUM(Y4:Y10)</f>
        <v>3878043.6484605619</v>
      </c>
      <c r="AA11" s="223">
        <f>SUM(AA4:AA10)</f>
        <v>3974994.739672076</v>
      </c>
      <c r="AC11" s="223">
        <f>SUM(AC4:AC10)</f>
        <v>4074369.6081638774</v>
      </c>
      <c r="AE11" s="223">
        <f>SUM(AE4:AE10)</f>
        <v>4176228.8483679742</v>
      </c>
      <c r="AG11" s="223">
        <f>SUM(AG4:AG10)</f>
        <v>4280634.5695771733</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840</v>
      </c>
      <c r="C15" s="176"/>
      <c r="E15" s="219">
        <f>Application!W855</f>
        <v>173020</v>
      </c>
      <c r="G15" s="219">
        <f>E15*$C$14</f>
        <v>179075.69999999998</v>
      </c>
      <c r="I15" s="219">
        <f>G15*$C$14</f>
        <v>185343.34949999998</v>
      </c>
      <c r="K15" s="219">
        <f>I15*$C$14</f>
        <v>191830.36673249997</v>
      </c>
      <c r="M15" s="219">
        <f>K15*$C$14</f>
        <v>198544.42956813745</v>
      </c>
      <c r="O15" s="219">
        <f>M15*$C$14</f>
        <v>205493.48460302225</v>
      </c>
      <c r="Q15" s="219">
        <f>O15*$C$14</f>
        <v>212685.75656412801</v>
      </c>
      <c r="S15" s="219">
        <f>Q15*$C$14</f>
        <v>220129.75804387248</v>
      </c>
      <c r="U15" s="219">
        <f>S15*$C$14</f>
        <v>227834.29957540799</v>
      </c>
      <c r="W15" s="219">
        <f>U15*$C$14</f>
        <v>235808.50006054726</v>
      </c>
      <c r="Y15" s="219">
        <f>W15*$C$14</f>
        <v>244061.79756266638</v>
      </c>
      <c r="AA15" s="219">
        <f>Y15*$C$14</f>
        <v>252603.96047735968</v>
      </c>
      <c r="AC15" s="219">
        <f>AA15*$C$14</f>
        <v>261445.09909406723</v>
      </c>
      <c r="AE15" s="219">
        <f>AC15*$C$14</f>
        <v>270595.67756235955</v>
      </c>
      <c r="AG15" s="219">
        <f>AE15*$C$14</f>
        <v>280066.52627704211</v>
      </c>
    </row>
    <row r="16" spans="1:34" s="210" customFormat="1" ht="14">
      <c r="A16" s="210" t="s">
        <v>343</v>
      </c>
      <c r="C16" s="233"/>
      <c r="E16" s="222">
        <f>Application!W857</f>
        <v>120200</v>
      </c>
      <c r="F16" s="222"/>
      <c r="G16" s="222">
        <f t="shared" ref="G16:AG21" si="0">E16*$C$14</f>
        <v>124406.99999999999</v>
      </c>
      <c r="H16" s="222"/>
      <c r="I16" s="222">
        <f t="shared" si="0"/>
        <v>128761.24499999998</v>
      </c>
      <c r="J16" s="222"/>
      <c r="K16" s="222">
        <f t="shared" si="0"/>
        <v>133267.88857499996</v>
      </c>
      <c r="L16" s="222"/>
      <c r="M16" s="222">
        <f t="shared" si="0"/>
        <v>137932.26467512496</v>
      </c>
      <c r="N16" s="222"/>
      <c r="O16" s="222">
        <f t="shared" si="0"/>
        <v>142759.89393875431</v>
      </c>
      <c r="P16" s="222"/>
      <c r="Q16" s="222">
        <f t="shared" si="0"/>
        <v>147756.49022661071</v>
      </c>
      <c r="R16" s="222"/>
      <c r="S16" s="222">
        <f t="shared" si="0"/>
        <v>152927.96738454208</v>
      </c>
      <c r="T16" s="222"/>
      <c r="U16" s="222">
        <f t="shared" si="0"/>
        <v>158280.44624300103</v>
      </c>
      <c r="V16" s="222"/>
      <c r="W16" s="222">
        <f t="shared" si="0"/>
        <v>163820.26186150606</v>
      </c>
      <c r="X16" s="222"/>
      <c r="Y16" s="222">
        <f t="shared" si="0"/>
        <v>169553.97102665875</v>
      </c>
      <c r="Z16" s="222"/>
      <c r="AA16" s="222">
        <f t="shared" si="0"/>
        <v>175488.36001259179</v>
      </c>
      <c r="AB16" s="222"/>
      <c r="AC16" s="222">
        <f t="shared" si="0"/>
        <v>181630.45261303248</v>
      </c>
      <c r="AD16" s="222"/>
      <c r="AE16" s="222">
        <f t="shared" si="0"/>
        <v>187987.5184544886</v>
      </c>
      <c r="AF16" s="222"/>
      <c r="AG16" s="222">
        <f t="shared" si="0"/>
        <v>194567.08160039567</v>
      </c>
    </row>
    <row r="17" spans="1:33" s="210" customFormat="1" ht="14">
      <c r="A17" s="210" t="s">
        <v>560</v>
      </c>
      <c r="C17" s="233"/>
      <c r="E17" s="222">
        <f>Application!W863</f>
        <v>120300</v>
      </c>
      <c r="F17" s="222"/>
      <c r="G17" s="222">
        <f t="shared" si="0"/>
        <v>124510.49999999999</v>
      </c>
      <c r="H17" s="222"/>
      <c r="I17" s="222">
        <f t="shared" si="0"/>
        <v>128868.36749999998</v>
      </c>
      <c r="J17" s="222"/>
      <c r="K17" s="222">
        <f t="shared" si="0"/>
        <v>133378.76036249998</v>
      </c>
      <c r="L17" s="222"/>
      <c r="M17" s="222">
        <f t="shared" si="0"/>
        <v>138047.01697518746</v>
      </c>
      <c r="N17" s="222"/>
      <c r="O17" s="222">
        <f t="shared" si="0"/>
        <v>142878.66256931901</v>
      </c>
      <c r="P17" s="222"/>
      <c r="Q17" s="222">
        <f t="shared" si="0"/>
        <v>147879.41575924517</v>
      </c>
      <c r="R17" s="222"/>
      <c r="S17" s="222">
        <f t="shared" si="0"/>
        <v>153055.19531081873</v>
      </c>
      <c r="T17" s="222"/>
      <c r="U17" s="222">
        <f t="shared" si="0"/>
        <v>158412.12714669737</v>
      </c>
      <c r="V17" s="222"/>
      <c r="W17" s="222">
        <f t="shared" si="0"/>
        <v>163956.55159683176</v>
      </c>
      <c r="X17" s="222"/>
      <c r="Y17" s="222">
        <f t="shared" si="0"/>
        <v>169695.03090272087</v>
      </c>
      <c r="Z17" s="222"/>
      <c r="AA17" s="222">
        <f t="shared" si="0"/>
        <v>175634.35698431608</v>
      </c>
      <c r="AB17" s="222"/>
      <c r="AC17" s="222">
        <f t="shared" si="0"/>
        <v>181781.55947876713</v>
      </c>
      <c r="AD17" s="222"/>
      <c r="AE17" s="222">
        <f t="shared" si="0"/>
        <v>188143.91406052397</v>
      </c>
      <c r="AF17" s="222"/>
      <c r="AG17" s="222">
        <f t="shared" si="0"/>
        <v>194728.95105264228</v>
      </c>
    </row>
    <row r="18" spans="1:33" s="210" customFormat="1" ht="14">
      <c r="A18" s="210" t="s">
        <v>841</v>
      </c>
      <c r="C18" s="233"/>
      <c r="E18" s="222">
        <f>Application!W870</f>
        <v>151880</v>
      </c>
      <c r="F18" s="222"/>
      <c r="G18" s="222">
        <f t="shared" si="0"/>
        <v>157195.79999999999</v>
      </c>
      <c r="H18" s="222"/>
      <c r="I18" s="222">
        <f t="shared" si="0"/>
        <v>162697.65299999996</v>
      </c>
      <c r="J18" s="222"/>
      <c r="K18" s="222">
        <f t="shared" si="0"/>
        <v>168392.07085499994</v>
      </c>
      <c r="L18" s="222"/>
      <c r="M18" s="222">
        <f t="shared" si="0"/>
        <v>174285.79333492494</v>
      </c>
      <c r="N18" s="222"/>
      <c r="O18" s="222">
        <f t="shared" si="0"/>
        <v>180385.79610164728</v>
      </c>
      <c r="P18" s="222"/>
      <c r="Q18" s="222">
        <f t="shared" si="0"/>
        <v>186699.29896520491</v>
      </c>
      <c r="R18" s="222"/>
      <c r="S18" s="222">
        <f t="shared" si="0"/>
        <v>193233.77442898706</v>
      </c>
      <c r="T18" s="222"/>
      <c r="U18" s="222">
        <f t="shared" si="0"/>
        <v>199996.9565340016</v>
      </c>
      <c r="V18" s="222"/>
      <c r="W18" s="222">
        <f t="shared" si="0"/>
        <v>206996.85001269163</v>
      </c>
      <c r="X18" s="222"/>
      <c r="Y18" s="222">
        <f t="shared" si="0"/>
        <v>214241.73976313582</v>
      </c>
      <c r="Z18" s="222"/>
      <c r="AA18" s="222">
        <f t="shared" si="0"/>
        <v>221740.20065484557</v>
      </c>
      <c r="AB18" s="222"/>
      <c r="AC18" s="222">
        <f t="shared" si="0"/>
        <v>229501.10767776513</v>
      </c>
      <c r="AD18" s="222"/>
      <c r="AE18" s="222">
        <f t="shared" si="0"/>
        <v>237533.64644648691</v>
      </c>
      <c r="AF18" s="222"/>
      <c r="AG18" s="222">
        <f t="shared" si="0"/>
        <v>245847.32407211393</v>
      </c>
    </row>
    <row r="19" spans="1:33" s="210" customFormat="1" ht="14">
      <c r="A19" s="210" t="s">
        <v>155</v>
      </c>
      <c r="C19" s="233"/>
      <c r="E19" s="222">
        <f>Application!W872</f>
        <v>65000</v>
      </c>
      <c r="F19" s="222"/>
      <c r="G19" s="222">
        <f t="shared" si="0"/>
        <v>67275</v>
      </c>
      <c r="H19" s="222"/>
      <c r="I19" s="222">
        <f t="shared" si="0"/>
        <v>69629.625</v>
      </c>
      <c r="J19" s="222"/>
      <c r="K19" s="222">
        <f t="shared" si="0"/>
        <v>72066.661874999991</v>
      </c>
      <c r="L19" s="222"/>
      <c r="M19" s="222">
        <f t="shared" si="0"/>
        <v>74588.995040624985</v>
      </c>
      <c r="N19" s="222"/>
      <c r="O19" s="222">
        <f t="shared" si="0"/>
        <v>77199.609867046849</v>
      </c>
      <c r="P19" s="222"/>
      <c r="Q19" s="222">
        <f t="shared" si="0"/>
        <v>79901.596212393488</v>
      </c>
      <c r="R19" s="222"/>
      <c r="S19" s="222">
        <f t="shared" si="0"/>
        <v>82698.152079827254</v>
      </c>
      <c r="T19" s="222"/>
      <c r="U19" s="222">
        <f t="shared" si="0"/>
        <v>85592.587402621197</v>
      </c>
      <c r="V19" s="222"/>
      <c r="W19" s="222">
        <f t="shared" si="0"/>
        <v>88588.32796171293</v>
      </c>
      <c r="X19" s="222"/>
      <c r="Y19" s="222">
        <f t="shared" si="0"/>
        <v>91688.919440372876</v>
      </c>
      <c r="Z19" s="222"/>
      <c r="AA19" s="222">
        <f t="shared" si="0"/>
        <v>94898.031620785914</v>
      </c>
      <c r="AB19" s="222"/>
      <c r="AC19" s="222">
        <f t="shared" si="0"/>
        <v>98219.462727513412</v>
      </c>
      <c r="AD19" s="222"/>
      <c r="AE19" s="222">
        <f t="shared" si="0"/>
        <v>101657.14392297638</v>
      </c>
      <c r="AF19" s="222"/>
      <c r="AG19" s="222">
        <f t="shared" si="0"/>
        <v>105215.14396028055</v>
      </c>
    </row>
    <row r="20" spans="1:33" s="210" customFormat="1" ht="14">
      <c r="A20" s="210" t="s">
        <v>389</v>
      </c>
      <c r="C20" s="233"/>
      <c r="E20" s="222">
        <f>Application!W881</f>
        <v>301560</v>
      </c>
      <c r="F20" s="222"/>
      <c r="G20" s="222">
        <f t="shared" si="0"/>
        <v>312114.59999999998</v>
      </c>
      <c r="H20" s="222"/>
      <c r="I20" s="222">
        <f t="shared" si="0"/>
        <v>323038.61099999998</v>
      </c>
      <c r="J20" s="222"/>
      <c r="K20" s="222">
        <f t="shared" si="0"/>
        <v>334344.96238499996</v>
      </c>
      <c r="L20" s="222"/>
      <c r="M20" s="222">
        <f t="shared" si="0"/>
        <v>346047.03606847493</v>
      </c>
      <c r="N20" s="222"/>
      <c r="O20" s="222">
        <f t="shared" si="0"/>
        <v>358158.68233087152</v>
      </c>
      <c r="P20" s="222"/>
      <c r="Q20" s="222">
        <f t="shared" si="0"/>
        <v>370694.236212452</v>
      </c>
      <c r="R20" s="222"/>
      <c r="S20" s="222">
        <f t="shared" si="0"/>
        <v>383668.53447988781</v>
      </c>
      <c r="T20" s="222"/>
      <c r="U20" s="222">
        <f t="shared" si="0"/>
        <v>397096.93318668386</v>
      </c>
      <c r="V20" s="222"/>
      <c r="W20" s="222">
        <f t="shared" si="0"/>
        <v>410995.32584821776</v>
      </c>
      <c r="X20" s="222"/>
      <c r="Y20" s="222">
        <f t="shared" si="0"/>
        <v>425380.16225290537</v>
      </c>
      <c r="Z20" s="222"/>
      <c r="AA20" s="222">
        <f t="shared" si="0"/>
        <v>440268.46793175704</v>
      </c>
      <c r="AB20" s="222"/>
      <c r="AC20" s="222">
        <f t="shared" si="0"/>
        <v>455677.86430936848</v>
      </c>
      <c r="AD20" s="222"/>
      <c r="AE20" s="222">
        <f t="shared" si="0"/>
        <v>471626.58956019633</v>
      </c>
      <c r="AF20" s="222"/>
      <c r="AG20" s="222">
        <f t="shared" si="0"/>
        <v>488133.52019480319</v>
      </c>
    </row>
    <row r="21" spans="1:33" s="210" customFormat="1" ht="14">
      <c r="A21" s="226" t="s">
        <v>2760</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4">
      <c r="A22" s="223" t="s">
        <v>842</v>
      </c>
      <c r="C22" s="233"/>
      <c r="E22" s="223">
        <f>SUM(E15:E21)</f>
        <v>931960</v>
      </c>
      <c r="G22" s="223">
        <f>SUM(G15:G21)</f>
        <v>964578.6</v>
      </c>
      <c r="I22" s="223">
        <f>SUM(I15:I21)</f>
        <v>998338.85099999979</v>
      </c>
      <c r="K22" s="223">
        <f>SUM(K15:K21)</f>
        <v>1033280.7107849998</v>
      </c>
      <c r="M22" s="223">
        <f>SUM(M15:M21)</f>
        <v>1069445.5356624748</v>
      </c>
      <c r="O22" s="223">
        <f>SUM(O15:O21)</f>
        <v>1106876.1294106613</v>
      </c>
      <c r="Q22" s="223">
        <f>SUM(Q15:Q21)</f>
        <v>1145616.7939400342</v>
      </c>
      <c r="S22" s="223">
        <f>SUM(S15:S21)</f>
        <v>1185713.3817279353</v>
      </c>
      <c r="U22" s="223">
        <f>SUM(U15:U21)</f>
        <v>1227213.3500884131</v>
      </c>
      <c r="W22" s="223">
        <f>SUM(W15:W21)</f>
        <v>1270165.8173415074</v>
      </c>
      <c r="Y22" s="223">
        <f>SUM(Y15:Y21)</f>
        <v>1314621.62094846</v>
      </c>
      <c r="AA22" s="223">
        <f>SUM(AA15:AA21)</f>
        <v>1360633.377681656</v>
      </c>
      <c r="AC22" s="223">
        <f>SUM(AC15:AC21)</f>
        <v>1408255.5459005139</v>
      </c>
      <c r="AE22" s="223">
        <f>SUM(AE15:AE21)</f>
        <v>1457544.4900070317</v>
      </c>
      <c r="AG22" s="223">
        <f>SUM(AG15:AG21)</f>
        <v>1508558.5471572778</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1669</v>
      </c>
      <c r="C24" s="6">
        <v>1.02</v>
      </c>
      <c r="E24" s="906">
        <v>648375</v>
      </c>
      <c r="F24" s="222"/>
      <c r="G24" s="222">
        <f>E24*$C$24</f>
        <v>661342.5</v>
      </c>
      <c r="H24" s="222"/>
      <c r="I24" s="222">
        <f>G24*$C$24</f>
        <v>674569.35</v>
      </c>
      <c r="J24" s="222"/>
      <c r="K24" s="222">
        <f>I24*$C$24</f>
        <v>688060.73699999996</v>
      </c>
      <c r="L24" s="222"/>
      <c r="M24" s="222">
        <f>K24*$C$24</f>
        <v>701821.95173999993</v>
      </c>
      <c r="N24" s="222"/>
      <c r="O24" s="222">
        <f>M24*$C$24</f>
        <v>715858.39077479998</v>
      </c>
      <c r="P24" s="222"/>
      <c r="Q24" s="222">
        <f>O24*$C$24</f>
        <v>730175.55859029596</v>
      </c>
      <c r="R24" s="222"/>
      <c r="S24" s="222">
        <f>Q24*$C$24</f>
        <v>744779.06976210186</v>
      </c>
      <c r="T24" s="222"/>
      <c r="U24" s="222">
        <f>S24*$C$24</f>
        <v>759674.65115734388</v>
      </c>
      <c r="V24" s="222"/>
      <c r="W24" s="222">
        <f>U24*$C$24</f>
        <v>774868.14418049075</v>
      </c>
      <c r="X24" s="222"/>
      <c r="Y24" s="222">
        <f>W24*$C$24</f>
        <v>790365.50706410059</v>
      </c>
      <c r="Z24" s="222"/>
      <c r="AA24" s="222">
        <f>Y24*$C$24</f>
        <v>806172.81720538263</v>
      </c>
      <c r="AB24" s="222"/>
      <c r="AC24" s="222">
        <f>AA24*$C$24</f>
        <v>822296.27354949026</v>
      </c>
      <c r="AD24" s="222"/>
      <c r="AE24" s="222">
        <f>AC24*$C$24</f>
        <v>838742.19902048004</v>
      </c>
      <c r="AF24" s="222"/>
      <c r="AG24" s="222">
        <f>AE24*$C$24</f>
        <v>855517.04300088971</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1157</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844</v>
      </c>
      <c r="C27" s="237">
        <v>1.0349999999999999</v>
      </c>
      <c r="E27" s="222">
        <f>Application!AC897</f>
        <v>19000</v>
      </c>
      <c r="F27" s="222"/>
      <c r="G27" s="222">
        <f>E27*$C$27</f>
        <v>19665</v>
      </c>
      <c r="H27" s="222"/>
      <c r="I27" s="222">
        <f>G27*$C$27</f>
        <v>20353.274999999998</v>
      </c>
      <c r="J27" s="222"/>
      <c r="K27" s="222">
        <f>I27*$C$27</f>
        <v>21065.639624999996</v>
      </c>
      <c r="L27" s="222"/>
      <c r="M27" s="222">
        <f>K27*$C$27</f>
        <v>21802.937011874994</v>
      </c>
      <c r="N27" s="222"/>
      <c r="O27" s="222">
        <f>M27*$C$27</f>
        <v>22566.039807290617</v>
      </c>
      <c r="P27" s="222"/>
      <c r="Q27" s="222">
        <f>O27*$C$27</f>
        <v>23355.851200545789</v>
      </c>
      <c r="R27" s="222"/>
      <c r="S27" s="222">
        <f>Q27*$C$27</f>
        <v>24173.305992564889</v>
      </c>
      <c r="T27" s="222"/>
      <c r="U27" s="222">
        <f>S27*$C$27</f>
        <v>25019.371702304659</v>
      </c>
      <c r="V27" s="222"/>
      <c r="W27" s="222">
        <f>U27*$C$27</f>
        <v>25895.04971188532</v>
      </c>
      <c r="X27" s="222"/>
      <c r="Y27" s="222">
        <f>W27*$C$27</f>
        <v>26801.376451801305</v>
      </c>
      <c r="Z27" s="222"/>
      <c r="AA27" s="222">
        <f>Y27*$C$27</f>
        <v>27739.424627614349</v>
      </c>
      <c r="AB27" s="222"/>
      <c r="AC27" s="222">
        <f>AA27*$C$27</f>
        <v>28710.304489580849</v>
      </c>
      <c r="AD27" s="222"/>
      <c r="AE27" s="222">
        <f>AC27*$C$27</f>
        <v>29715.165146716176</v>
      </c>
      <c r="AF27" s="222"/>
      <c r="AG27" s="222">
        <f>AE27*$C$27</f>
        <v>30755.19592685124</v>
      </c>
    </row>
    <row r="28" spans="1:33" s="210" customFormat="1" ht="14">
      <c r="A28" s="210" t="s">
        <v>845</v>
      </c>
      <c r="C28" s="237"/>
      <c r="E28" s="222">
        <f>Application!AC898</f>
        <v>32750</v>
      </c>
      <c r="F28" s="222"/>
      <c r="G28" s="222">
        <f>$E$28</f>
        <v>32750</v>
      </c>
      <c r="H28" s="222"/>
      <c r="I28" s="222">
        <f>$E$28</f>
        <v>32750</v>
      </c>
      <c r="J28" s="222"/>
      <c r="K28" s="222">
        <f>$E$28</f>
        <v>32750</v>
      </c>
      <c r="L28" s="222"/>
      <c r="M28" s="222">
        <f>$E$28</f>
        <v>32750</v>
      </c>
      <c r="N28" s="222"/>
      <c r="O28" s="222">
        <f>$E$28</f>
        <v>32750</v>
      </c>
      <c r="P28" s="222"/>
      <c r="Q28" s="222">
        <f>$E$28</f>
        <v>32750</v>
      </c>
      <c r="R28" s="222"/>
      <c r="S28" s="222">
        <f>$E$28</f>
        <v>32750</v>
      </c>
      <c r="T28" s="222"/>
      <c r="U28" s="222">
        <f>$E$28</f>
        <v>32750</v>
      </c>
      <c r="V28" s="222"/>
      <c r="W28" s="222">
        <f>$E$28</f>
        <v>32750</v>
      </c>
      <c r="X28" s="222"/>
      <c r="Y28" s="222">
        <f>$E$28</f>
        <v>32750</v>
      </c>
      <c r="Z28" s="222"/>
      <c r="AA28" s="222">
        <f>$E$28</f>
        <v>32750</v>
      </c>
      <c r="AB28" s="222"/>
      <c r="AC28" s="222">
        <f>$E$28</f>
        <v>32750</v>
      </c>
      <c r="AD28" s="222"/>
      <c r="AE28" s="222">
        <f>$E$28</f>
        <v>32750</v>
      </c>
      <c r="AF28" s="222"/>
      <c r="AG28" s="222">
        <f>$E$28</f>
        <v>32750</v>
      </c>
    </row>
    <row r="29" spans="1:33" s="210" customFormat="1" ht="14">
      <c r="A29" s="210" t="s">
        <v>1667</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
      <c r="A30" s="210" t="s">
        <v>843</v>
      </c>
      <c r="C30" s="237">
        <v>1.02</v>
      </c>
      <c r="E30" s="222">
        <f>Application!AC900</f>
        <v>12800</v>
      </c>
      <c r="F30" s="222"/>
      <c r="G30" s="222">
        <f>E30*$C$30</f>
        <v>13056</v>
      </c>
      <c r="H30" s="222"/>
      <c r="I30" s="222">
        <f>G30*$C$30</f>
        <v>13317.12</v>
      </c>
      <c r="J30" s="222"/>
      <c r="K30" s="222">
        <f>I30*$C$30</f>
        <v>13583.4624</v>
      </c>
      <c r="L30" s="222"/>
      <c r="M30" s="222">
        <f>K30*$C$30</f>
        <v>13855.131648</v>
      </c>
      <c r="N30" s="222"/>
      <c r="O30" s="222">
        <f>M30*$C$30</f>
        <v>14132.234280960001</v>
      </c>
      <c r="P30" s="222"/>
      <c r="Q30" s="222">
        <f>O30*$C$30</f>
        <v>14414.878966579201</v>
      </c>
      <c r="R30" s="222"/>
      <c r="S30" s="222">
        <f>Q30*$C$30</f>
        <v>14703.176545910785</v>
      </c>
      <c r="T30" s="222"/>
      <c r="U30" s="222">
        <f>S30*$C$30</f>
        <v>14997.240076829001</v>
      </c>
      <c r="V30" s="222"/>
      <c r="W30" s="222">
        <f>U30*$C$30</f>
        <v>15297.184878365581</v>
      </c>
      <c r="X30" s="222"/>
      <c r="Y30" s="222">
        <f>W30*$C$30</f>
        <v>15603.128575932893</v>
      </c>
      <c r="Z30" s="222"/>
      <c r="AA30" s="222">
        <f>Y30*$C$30</f>
        <v>15915.191147451551</v>
      </c>
      <c r="AB30" s="222"/>
      <c r="AC30" s="222">
        <f>AA30*$C$30</f>
        <v>16233.494970400583</v>
      </c>
      <c r="AD30" s="222"/>
      <c r="AE30" s="222">
        <f>AC30*$C$30</f>
        <v>16558.164869808596</v>
      </c>
      <c r="AF30" s="222"/>
      <c r="AG30" s="222">
        <f>AE30*$C$30</f>
        <v>16889.328167204767</v>
      </c>
    </row>
    <row r="31" spans="1:33" s="210" customFormat="1" ht="14">
      <c r="A31" s="210" t="s">
        <v>1668</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177</v>
      </c>
      <c r="C35" s="224"/>
      <c r="E35" s="223">
        <f>SUM(E22:E33)</f>
        <v>1644885</v>
      </c>
      <c r="G35" s="223">
        <f>SUM(G22:G33)</f>
        <v>1691392.1</v>
      </c>
      <c r="I35" s="223">
        <f>SUM(I22:I33)</f>
        <v>1739328.5959999999</v>
      </c>
      <c r="K35" s="223">
        <f>SUM(K22:K33)</f>
        <v>1788740.54981</v>
      </c>
      <c r="M35" s="223">
        <f>SUM(M22:M33)</f>
        <v>1839675.5560623498</v>
      </c>
      <c r="O35" s="223">
        <f>SUM(O22:O33)</f>
        <v>1892182.7942737117</v>
      </c>
      <c r="Q35" s="223">
        <f>SUM(Q22:Q33)</f>
        <v>1946313.0826974553</v>
      </c>
      <c r="S35" s="223">
        <f>SUM(S22:S33)</f>
        <v>2002118.9340285128</v>
      </c>
      <c r="U35" s="223">
        <f>SUM(U22:U33)</f>
        <v>2059654.6130248907</v>
      </c>
      <c r="W35" s="223">
        <f>SUM(W22:W33)</f>
        <v>2118976.196112249</v>
      </c>
      <c r="Y35" s="223">
        <f>SUM(Y22:Y33)</f>
        <v>2180141.6330402945</v>
      </c>
      <c r="AA35" s="223">
        <f>SUM(AA22:AA33)</f>
        <v>2243210.8106621047</v>
      </c>
      <c r="AC35" s="223">
        <f>SUM(AC22:AC33)</f>
        <v>2308245.6189099853</v>
      </c>
      <c r="AE35" s="223">
        <f>SUM(AE22:AE33)</f>
        <v>2375310.0190440365</v>
      </c>
      <c r="AG35" s="223">
        <f>SUM(AG22:AG33)</f>
        <v>2444470.1142522232</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846</v>
      </c>
      <c r="C37" s="224"/>
      <c r="E37" s="223">
        <f>E11-E35</f>
        <v>1384636.5</v>
      </c>
      <c r="G37" s="223">
        <f>G11-G35</f>
        <v>1413867.4374999995</v>
      </c>
      <c r="I37" s="223">
        <f>I11-I35</f>
        <v>1443562.4299374991</v>
      </c>
      <c r="K37" s="223">
        <f>K11-K35</f>
        <v>1473722.7517759369</v>
      </c>
      <c r="M37" s="223">
        <f>M11-M35</f>
        <v>1504349.3280632349</v>
      </c>
      <c r="O37" s="223">
        <f>O11-O35</f>
        <v>1535442.7119550118</v>
      </c>
      <c r="Q37" s="223">
        <f>Q11-Q35</f>
        <v>1567003.061186986</v>
      </c>
      <c r="S37" s="223">
        <f>S11-S35</f>
        <v>1599030.1134530394</v>
      </c>
      <c r="U37" s="223">
        <f>U11-U35</f>
        <v>1631523.1606437003</v>
      </c>
      <c r="W37" s="223">
        <f>W11-W35</f>
        <v>1664481.0218980559</v>
      </c>
      <c r="Y37" s="223">
        <f>Y11-Y35</f>
        <v>1697902.0154202674</v>
      </c>
      <c r="AA37" s="223">
        <f>AA11-AA35</f>
        <v>1731783.9290099712</v>
      </c>
      <c r="AC37" s="223">
        <f>AC11-AC35</f>
        <v>1766123.9892538921</v>
      </c>
      <c r="AE37" s="223">
        <f>AE11-AE35</f>
        <v>1800918.8293239377</v>
      </c>
      <c r="AG37" s="223">
        <f>AG11-AG35</f>
        <v>1836164.4553249502</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Application!C635</f>
        <v>Citibank, N.A. - Series B</v>
      </c>
      <c r="B40" s="226"/>
      <c r="C40" s="220"/>
      <c r="E40" s="222">
        <f>Application!AF635</f>
        <v>1158908</v>
      </c>
      <c r="F40" s="222"/>
      <c r="G40" s="222">
        <f>$E$40</f>
        <v>1158908</v>
      </c>
      <c r="H40" s="222"/>
      <c r="I40" s="222">
        <f>$E$40</f>
        <v>1158908</v>
      </c>
      <c r="J40" s="222"/>
      <c r="K40" s="222">
        <f>$E$40</f>
        <v>1158908</v>
      </c>
      <c r="L40" s="222"/>
      <c r="M40" s="222">
        <f>$E$40</f>
        <v>1158908</v>
      </c>
      <c r="N40" s="222"/>
      <c r="O40" s="222">
        <f>$E$40</f>
        <v>1158908</v>
      </c>
      <c r="P40" s="222"/>
      <c r="Q40" s="222">
        <f>$E$40</f>
        <v>1158908</v>
      </c>
      <c r="R40" s="222"/>
      <c r="S40" s="222">
        <f>$E$40</f>
        <v>1158908</v>
      </c>
      <c r="T40" s="222"/>
      <c r="U40" s="222">
        <f>$E$40</f>
        <v>1158908</v>
      </c>
      <c r="V40" s="222"/>
      <c r="W40" s="222">
        <f>$E$40</f>
        <v>1158908</v>
      </c>
      <c r="X40" s="222"/>
      <c r="Y40" s="222">
        <f>$E$40</f>
        <v>1158908</v>
      </c>
      <c r="Z40" s="222"/>
      <c r="AA40" s="222">
        <f>$E$40</f>
        <v>1158908</v>
      </c>
      <c r="AB40" s="222"/>
      <c r="AC40" s="222">
        <f>$E$40</f>
        <v>1158908</v>
      </c>
      <c r="AD40" s="222"/>
      <c r="AE40" s="222">
        <f>$E$40</f>
        <v>1158908</v>
      </c>
      <c r="AF40" s="222"/>
      <c r="AG40" s="222">
        <f>$E$40</f>
        <v>1158908</v>
      </c>
    </row>
    <row r="41" spans="1:33" s="210" customFormat="1" ht="14">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847</v>
      </c>
      <c r="C43" s="224"/>
      <c r="E43" s="223">
        <f>SUM(E40:E42)</f>
        <v>1158908</v>
      </c>
      <c r="G43" s="223">
        <f>SUM(G40:G42)</f>
        <v>1158908</v>
      </c>
      <c r="I43" s="223">
        <f>SUM(I40:I42)</f>
        <v>1158908</v>
      </c>
      <c r="K43" s="223">
        <f>SUM(K40:K42)</f>
        <v>1158908</v>
      </c>
      <c r="M43" s="223">
        <f>SUM(M40:M42)</f>
        <v>1158908</v>
      </c>
      <c r="O43" s="223">
        <f>SUM(O40:O42)</f>
        <v>1158908</v>
      </c>
      <c r="Q43" s="223">
        <f>SUM(Q40:Q42)</f>
        <v>1158908</v>
      </c>
      <c r="S43" s="223">
        <f>SUM(S40:S42)</f>
        <v>1158908</v>
      </c>
      <c r="U43" s="223">
        <f>SUM(U40:U42)</f>
        <v>1158908</v>
      </c>
      <c r="W43" s="223">
        <f>SUM(W40:W42)</f>
        <v>1158908</v>
      </c>
      <c r="Y43" s="223">
        <f>SUM(Y40:Y42)</f>
        <v>1158908</v>
      </c>
      <c r="AA43" s="223">
        <f>SUM(AA40:AA42)</f>
        <v>1158908</v>
      </c>
      <c r="AC43" s="223">
        <f>SUM(AC40:AC42)</f>
        <v>1158908</v>
      </c>
      <c r="AE43" s="223">
        <f>SUM(AE40:AE42)</f>
        <v>1158908</v>
      </c>
      <c r="AG43" s="223">
        <f>SUM(AG40:AG42)</f>
        <v>1158908</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848</v>
      </c>
      <c r="C45" s="224"/>
      <c r="E45" s="223">
        <f>E37-E43</f>
        <v>225728.5</v>
      </c>
      <c r="G45" s="223">
        <f>G37-G43</f>
        <v>254959.43749999953</v>
      </c>
      <c r="I45" s="223">
        <f>I37-I43</f>
        <v>284654.42993749911</v>
      </c>
      <c r="K45" s="223">
        <f>K37-K43</f>
        <v>314814.75177593692</v>
      </c>
      <c r="M45" s="223">
        <f>M37-M43</f>
        <v>345441.32806323492</v>
      </c>
      <c r="O45" s="223">
        <f>O37-O43</f>
        <v>376534.71195501182</v>
      </c>
      <c r="Q45" s="223">
        <f>Q37-Q43</f>
        <v>408095.06118698604</v>
      </c>
      <c r="S45" s="223">
        <f>S37-S43</f>
        <v>440122.11345303943</v>
      </c>
      <c r="U45" s="223">
        <f>U37-U43</f>
        <v>472615.16064370028</v>
      </c>
      <c r="W45" s="223">
        <f>W37-W43</f>
        <v>505573.02189805591</v>
      </c>
      <c r="Y45" s="223">
        <f>Y37-Y43</f>
        <v>538994.01542026736</v>
      </c>
      <c r="AA45" s="223">
        <f>AA37-AA43</f>
        <v>572875.92900997121</v>
      </c>
      <c r="AC45" s="223">
        <f>AC37-AC43</f>
        <v>607215.9892538921</v>
      </c>
      <c r="AE45" s="223">
        <f>AE37-AE43</f>
        <v>642010.82932393765</v>
      </c>
      <c r="AG45" s="223">
        <f>AG37-AG43</f>
        <v>677256.45532495016</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850</v>
      </c>
      <c r="C47" s="220"/>
      <c r="E47" s="227">
        <f>E45/(E4+E6+E8)</f>
        <v>7.0784140333712761E-2</v>
      </c>
      <c r="G47" s="227">
        <f>G45/(G4+G6+G8)</f>
        <v>7.8000393429272119E-2</v>
      </c>
      <c r="I47" s="227">
        <f>I45/(I4+I6+I8)</f>
        <v>8.496103267028228E-2</v>
      </c>
      <c r="K47" s="227">
        <f>K45/(K4+K6+K8)</f>
        <v>9.1671227088364587E-2</v>
      </c>
      <c r="M47" s="227">
        <f>M45/(M4+M6+M8)</f>
        <v>9.8136010655281006E-2</v>
      </c>
      <c r="O47" s="227">
        <f>O45/(O4+O6+O8)</f>
        <v>0.10436028548253881</v>
      </c>
      <c r="Q47" s="227">
        <f>Q45/(Q4+Q6+Q8)</f>
        <v>0.11034882494206548</v>
      </c>
      <c r="S47" s="227">
        <f>S45/(S4+S6+S8)</f>
        <v>0.11610627670987267</v>
      </c>
      <c r="U47" s="227">
        <f>U45/(U4+U6+U8)</f>
        <v>0.12163716573457753</v>
      </c>
      <c r="W47" s="227">
        <f>W45/(W4+W6+W8)</f>
        <v>0.12694589713260634</v>
      </c>
      <c r="Y47" s="227">
        <f>Y45/(Y4+Y6+Y8)</f>
        <v>0.13203675901185805</v>
      </c>
      <c r="AA47" s="227">
        <f>AA45/(AA4+AA6+AA8)</f>
        <v>0.13691392522556395</v>
      </c>
      <c r="AC47" s="227">
        <f>AC45/(AC4+AC6+AC8)</f>
        <v>0.14158145805803771</v>
      </c>
      <c r="AE47" s="227">
        <f>AE45/(AE4+AE6+AE8)</f>
        <v>0.14604331084396566</v>
      </c>
      <c r="AG47" s="227">
        <f>AG45/(AG4+AG6+AG8)</f>
        <v>0.15030333052285166</v>
      </c>
    </row>
    <row r="48" spans="1:33" s="227" customFormat="1" ht="14">
      <c r="A48" s="227" t="s">
        <v>851</v>
      </c>
      <c r="C48" s="220"/>
      <c r="E48" s="227">
        <f>E45/E43</f>
        <v>0.19477689342035778</v>
      </c>
      <c r="G48" s="227">
        <f>G45/G43</f>
        <v>0.21999972172079194</v>
      </c>
      <c r="I48" s="227">
        <f>I45/I43</f>
        <v>0.24562297433230171</v>
      </c>
      <c r="K48" s="227">
        <f>K45/K43</f>
        <v>0.27164775096550969</v>
      </c>
      <c r="M48" s="227">
        <f>M45/M43</f>
        <v>0.29807484982693616</v>
      </c>
      <c r="O48" s="227">
        <f>O45/O43</f>
        <v>0.32490474822420057</v>
      </c>
      <c r="Q48" s="227">
        <f>Q45/Q43</f>
        <v>0.35213758226449904</v>
      </c>
      <c r="S48" s="227">
        <f>S45/S43</f>
        <v>0.37977312560879678</v>
      </c>
      <c r="U48" s="227">
        <f>U45/U43</f>
        <v>0.40781076724269766</v>
      </c>
      <c r="W48" s="227">
        <f>W45/W43</f>
        <v>0.43624948822344478</v>
      </c>
      <c r="Y48" s="227">
        <f>Y45/Y43</f>
        <v>0.46508783736091852</v>
      </c>
      <c r="AA48" s="227">
        <f>AA45/AA43</f>
        <v>0.49432390578887297</v>
      </c>
      <c r="AC48" s="227">
        <f>AC45/AC43</f>
        <v>0.52395530038095528</v>
      </c>
      <c r="AE48" s="227">
        <f>AE45/AE43</f>
        <v>0.55397911596428506</v>
      </c>
      <c r="AG48" s="227">
        <f>AG45/AG43</f>
        <v>0.58439190628156001</v>
      </c>
    </row>
    <row r="49" spans="1:34" s="228" customFormat="1" ht="14">
      <c r="A49" s="228" t="s">
        <v>849</v>
      </c>
      <c r="C49" s="229"/>
      <c r="E49" s="228">
        <f>E37/E43</f>
        <v>1.1947768934203578</v>
      </c>
      <c r="G49" s="228">
        <f>G37/G43</f>
        <v>1.2199997217207919</v>
      </c>
      <c r="I49" s="228">
        <f>I37/I43</f>
        <v>1.2456229743323017</v>
      </c>
      <c r="K49" s="228">
        <f>K37/K43</f>
        <v>1.2716477509655097</v>
      </c>
      <c r="M49" s="228">
        <f>M37/M43</f>
        <v>1.2980748498269361</v>
      </c>
      <c r="O49" s="228">
        <f>O37/O43</f>
        <v>1.3249047482242005</v>
      </c>
      <c r="Q49" s="228">
        <f>Q37/Q43</f>
        <v>1.352137582264499</v>
      </c>
      <c r="S49" s="228">
        <f>S37/S43</f>
        <v>1.3797731256087968</v>
      </c>
      <c r="U49" s="228">
        <f>U37/U43</f>
        <v>1.4078107672426976</v>
      </c>
      <c r="W49" s="228">
        <f>W37/W43</f>
        <v>1.4362494882234447</v>
      </c>
      <c r="Y49" s="228">
        <f>Y37/Y43</f>
        <v>1.4650878373609184</v>
      </c>
      <c r="AA49" s="228">
        <f>AA37/AA43</f>
        <v>1.4943239057888731</v>
      </c>
      <c r="AC49" s="228">
        <f>AC37/AC43</f>
        <v>1.5239553003809552</v>
      </c>
      <c r="AE49" s="228">
        <f>AE37/AE43</f>
        <v>1.5539791159642851</v>
      </c>
      <c r="AG49" s="228">
        <f>AG37/AG43</f>
        <v>1.5843919062815601</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2" t="s">
        <v>2779</v>
      </c>
      <c r="B52" s="2682"/>
      <c r="C52" s="2682"/>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853</v>
      </c>
      <c r="C53" s="959">
        <v>1</v>
      </c>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854</v>
      </c>
      <c r="C54" s="954"/>
      <c r="E54" s="961">
        <v>20600</v>
      </c>
      <c r="F54" s="956"/>
      <c r="G54" s="956">
        <f t="shared" ref="G54:AG57" si="1">E54*$C$53</f>
        <v>20600</v>
      </c>
      <c r="H54" s="956"/>
      <c r="I54" s="956">
        <f t="shared" si="1"/>
        <v>20600</v>
      </c>
      <c r="J54" s="956"/>
      <c r="K54" s="956">
        <f t="shared" si="1"/>
        <v>20600</v>
      </c>
      <c r="L54" s="956"/>
      <c r="M54" s="956">
        <f t="shared" si="1"/>
        <v>20600</v>
      </c>
      <c r="N54" s="956"/>
      <c r="O54" s="956">
        <f t="shared" si="1"/>
        <v>20600</v>
      </c>
      <c r="P54" s="956"/>
      <c r="Q54" s="956">
        <f t="shared" si="1"/>
        <v>20600</v>
      </c>
      <c r="R54" s="956"/>
      <c r="S54" s="956">
        <f t="shared" si="1"/>
        <v>20600</v>
      </c>
      <c r="T54" s="956"/>
      <c r="U54" s="956">
        <f t="shared" si="1"/>
        <v>20600</v>
      </c>
      <c r="V54" s="956"/>
      <c r="W54" s="956">
        <f t="shared" si="1"/>
        <v>20600</v>
      </c>
      <c r="X54" s="956"/>
      <c r="Y54" s="956">
        <f t="shared" si="1"/>
        <v>20600</v>
      </c>
      <c r="Z54" s="956"/>
      <c r="AA54" s="956">
        <f t="shared" si="1"/>
        <v>20600</v>
      </c>
      <c r="AB54" s="956"/>
      <c r="AC54" s="956">
        <f t="shared" si="1"/>
        <v>20600</v>
      </c>
      <c r="AD54" s="956"/>
      <c r="AE54" s="956">
        <f t="shared" si="1"/>
        <v>20600</v>
      </c>
      <c r="AF54" s="956"/>
      <c r="AG54" s="956">
        <f t="shared" si="1"/>
        <v>20600</v>
      </c>
      <c r="AH54" s="956"/>
    </row>
    <row r="55" spans="1:34" s="3" customFormat="1">
      <c r="A55" s="3" t="s">
        <v>855</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852</v>
      </c>
      <c r="C58" s="957"/>
      <c r="E58" s="956">
        <f>SUM(E53:E57)</f>
        <v>20600</v>
      </c>
      <c r="F58" s="956"/>
      <c r="G58" s="956">
        <f>SUM(G53:G57)</f>
        <v>20600</v>
      </c>
      <c r="H58" s="956"/>
      <c r="I58" s="956">
        <f>SUM(I53:I57)</f>
        <v>20600</v>
      </c>
      <c r="J58" s="956"/>
      <c r="K58" s="956">
        <f>SUM(K53:K57)</f>
        <v>20600</v>
      </c>
      <c r="L58" s="956"/>
      <c r="M58" s="956">
        <f>SUM(M53:M57)</f>
        <v>20600</v>
      </c>
      <c r="N58" s="956"/>
      <c r="O58" s="956">
        <f>SUM(O53:O57)</f>
        <v>20600</v>
      </c>
      <c r="P58" s="956"/>
      <c r="Q58" s="956">
        <f>SUM(Q53:Q57)</f>
        <v>20600</v>
      </c>
      <c r="R58" s="956"/>
      <c r="S58" s="956">
        <f>SUM(S53:S57)</f>
        <v>20600</v>
      </c>
      <c r="T58" s="956"/>
      <c r="U58" s="956">
        <f>SUM(U53:U57)</f>
        <v>20600</v>
      </c>
      <c r="V58" s="956"/>
      <c r="W58" s="956">
        <f>SUM(W53:W57)</f>
        <v>20600</v>
      </c>
      <c r="X58" s="956"/>
      <c r="Y58" s="956">
        <f>SUM(Y53:Y57)</f>
        <v>20600</v>
      </c>
      <c r="Z58" s="956"/>
      <c r="AA58" s="956">
        <f>SUM(AA53:AA57)</f>
        <v>20600</v>
      </c>
      <c r="AB58" s="956"/>
      <c r="AC58" s="956">
        <f>SUM(AC53:AC57)</f>
        <v>20600</v>
      </c>
      <c r="AD58" s="956"/>
      <c r="AE58" s="956">
        <f>SUM(AE53:AE57)</f>
        <v>20600</v>
      </c>
      <c r="AF58" s="956"/>
      <c r="AG58" s="956">
        <f>SUM(AG53:AG57)</f>
        <v>20600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857</v>
      </c>
      <c r="C60" s="965"/>
      <c r="E60" s="958">
        <f>E45-E58</f>
        <v>205128.5</v>
      </c>
      <c r="G60" s="958">
        <f>G45-G58</f>
        <v>234359.43749999953</v>
      </c>
      <c r="I60" s="958">
        <f>I45-I58</f>
        <v>264054.42993749911</v>
      </c>
      <c r="K60" s="958">
        <f>K45-K58</f>
        <v>294214.75177593692</v>
      </c>
      <c r="M60" s="958">
        <f>M45-M58</f>
        <v>324841.32806323492</v>
      </c>
      <c r="O60" s="958">
        <f>O45-O58</f>
        <v>355934.71195501182</v>
      </c>
      <c r="Q60" s="958">
        <f>Q45-Q58</f>
        <v>387495.06118698604</v>
      </c>
      <c r="S60" s="958">
        <f>S45-S58</f>
        <v>419522.11345303943</v>
      </c>
      <c r="U60" s="958">
        <f>U45-U58</f>
        <v>452015.16064370028</v>
      </c>
      <c r="W60" s="958">
        <f>W45-W58</f>
        <v>484973.02189805591</v>
      </c>
      <c r="Y60" s="958">
        <f>Y45-Y58</f>
        <v>518394.01542026736</v>
      </c>
      <c r="AA60" s="958">
        <f>AA45-AA58</f>
        <v>552275.92900997121</v>
      </c>
      <c r="AC60" s="958">
        <f>AC45-AC58</f>
        <v>586615.9892538921</v>
      </c>
      <c r="AE60" s="958">
        <f>AE45-AE58</f>
        <v>621410.82932393765</v>
      </c>
      <c r="AG60" s="958">
        <f>AG45-AG58</f>
        <v>656656.45532495016</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856</v>
      </c>
      <c r="C62" s="955">
        <v>0.5</v>
      </c>
      <c r="E62" s="960">
        <f>E60*$C$62</f>
        <v>102564.25</v>
      </c>
      <c r="G62" s="958">
        <f>G60*$C$62</f>
        <v>117179.71874999977</v>
      </c>
      <c r="I62" s="958">
        <f>I60*$C$62</f>
        <v>132027.21496874955</v>
      </c>
      <c r="K62" s="958">
        <f>K60*$C$62</f>
        <v>147107.37588796846</v>
      </c>
      <c r="M62" s="958">
        <f>M60*$C$62</f>
        <v>162420.66403161746</v>
      </c>
      <c r="O62" s="958">
        <f>O60*$C$62</f>
        <v>177967.35597750591</v>
      </c>
      <c r="Q62" s="958">
        <f>Q60*$C$62</f>
        <v>193747.53059349302</v>
      </c>
      <c r="S62" s="958">
        <f>S60*$C$62</f>
        <v>209761.05672651972</v>
      </c>
      <c r="U62" s="958">
        <f>U60*$C$62</f>
        <v>226007.58032185014</v>
      </c>
      <c r="W62" s="958">
        <f>W60*$C$62</f>
        <v>242486.51094902796</v>
      </c>
      <c r="Y62" s="958">
        <f>Y60*$C$62</f>
        <v>259197.00771013368</v>
      </c>
      <c r="AA62" s="958">
        <f>AA60*$C$62</f>
        <v>276137.9645049856</v>
      </c>
      <c r="AC62" s="958">
        <f>AC60*$C$62</f>
        <v>293307.99462694605</v>
      </c>
      <c r="AE62" s="958">
        <f>AE60*$C$62</f>
        <v>310705.41466196883</v>
      </c>
      <c r="AG62" s="958">
        <f>AG60*$C$62</f>
        <v>328328.22766247508</v>
      </c>
    </row>
    <row r="63" spans="1:34" s="958" customFormat="1">
      <c r="A63" s="2682" t="s">
        <v>2779</v>
      </c>
      <c r="B63" s="2682"/>
      <c r="C63" s="2682"/>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860</v>
      </c>
      <c r="C65" s="955">
        <v>0.5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t="s">
        <v>2761</v>
      </c>
      <c r="B66" s="960"/>
      <c r="C66" s="959"/>
      <c r="E66" s="960">
        <f>$E60*$C$65</f>
        <v>102564.25</v>
      </c>
      <c r="G66" s="956">
        <f>G60*$C$65</f>
        <v>117179.71874999977</v>
      </c>
      <c r="I66" s="956">
        <f>I60*$C$65</f>
        <v>132027.21496874955</v>
      </c>
      <c r="K66" s="956">
        <f>K60*$C$65</f>
        <v>147107.37588796846</v>
      </c>
      <c r="M66" s="956">
        <f>M60*$C$65</f>
        <v>162420.66403161746</v>
      </c>
      <c r="O66" s="956">
        <f>O60*$C$65</f>
        <v>177967.35597750591</v>
      </c>
      <c r="Q66" s="956">
        <f>Q60*$C$65</f>
        <v>193747.53059349302</v>
      </c>
      <c r="S66" s="956">
        <f>S60*$C$65</f>
        <v>209761.05672651972</v>
      </c>
      <c r="U66" s="956">
        <f>U60*$C$65</f>
        <v>226007.58032185014</v>
      </c>
      <c r="W66" s="956">
        <f>W60*$C$65</f>
        <v>242486.51094902796</v>
      </c>
      <c r="Y66" s="956">
        <f>Y60*$C$65</f>
        <v>259197.00771013368</v>
      </c>
      <c r="AA66" s="956">
        <f>AA60*$C$65</f>
        <v>276137.9645049856</v>
      </c>
      <c r="AC66" s="956">
        <f>AC60*$C$65</f>
        <v>293307.99462694605</v>
      </c>
      <c r="AE66" s="956">
        <f>AE60*$C$65</f>
        <v>310705.41466196883</v>
      </c>
      <c r="AG66" s="956">
        <f>AG60*$C$65</f>
        <v>328328.22766247508</v>
      </c>
    </row>
    <row r="67" spans="1:34" s="956" customFormat="1">
      <c r="A67" s="961"/>
      <c r="B67" s="961"/>
      <c r="C67" s="966"/>
      <c r="E67" s="961"/>
      <c r="G67" s="956">
        <v>0</v>
      </c>
      <c r="I67" s="956">
        <v>0</v>
      </c>
      <c r="K67" s="956">
        <v>0</v>
      </c>
      <c r="M67" s="956">
        <v>0</v>
      </c>
      <c r="O67" s="956">
        <v>0</v>
      </c>
      <c r="Q67" s="956">
        <v>0</v>
      </c>
      <c r="S67" s="956">
        <v>0</v>
      </c>
      <c r="U67" s="956">
        <v>0</v>
      </c>
      <c r="W67" s="956">
        <v>0</v>
      </c>
      <c r="Y67" s="956">
        <v>0</v>
      </c>
      <c r="AA67" s="956">
        <v>0</v>
      </c>
      <c r="AC67" s="956">
        <v>0</v>
      </c>
      <c r="AE67" s="956">
        <v>0</v>
      </c>
      <c r="AG67" s="956">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852</v>
      </c>
      <c r="C70" s="966"/>
      <c r="E70" s="956">
        <f>SUM(E66:E69)</f>
        <v>102564.25</v>
      </c>
      <c r="G70" s="956">
        <f>SUM(G66:G69)</f>
        <v>117179.71874999977</v>
      </c>
      <c r="I70" s="956">
        <f>SUM(I66:I69)</f>
        <v>132027.21496874955</v>
      </c>
      <c r="K70" s="956">
        <f>SUM(K66:K69)</f>
        <v>147107.37588796846</v>
      </c>
      <c r="M70" s="956">
        <f>SUM(M66:M69)</f>
        <v>162420.66403161746</v>
      </c>
      <c r="O70" s="956">
        <f>SUM(O66:O69)</f>
        <v>177967.35597750591</v>
      </c>
      <c r="Q70" s="956">
        <f>SUM(Q66:Q69)</f>
        <v>193747.53059349302</v>
      </c>
      <c r="S70" s="956">
        <f>SUM(S66:S69)</f>
        <v>209761.05672651972</v>
      </c>
      <c r="U70" s="956">
        <f>SUM(U66:U69)</f>
        <v>226007.58032185014</v>
      </c>
      <c r="W70" s="956">
        <f>SUM(W66:W69)</f>
        <v>242486.51094902796</v>
      </c>
      <c r="Y70" s="956">
        <f>SUM(Y66:Y69)</f>
        <v>259197.00771013368</v>
      </c>
      <c r="AA70" s="956">
        <f>SUM(AA66:AA69)</f>
        <v>276137.9645049856</v>
      </c>
      <c r="AC70" s="956">
        <f>SUM(AC66:AC69)</f>
        <v>293307.99462694605</v>
      </c>
      <c r="AE70" s="956">
        <f>SUM(AE66:AE69)</f>
        <v>310705.41466196883</v>
      </c>
      <c r="AG70" s="956">
        <f>SUM(AG66:AG69)</f>
        <v>328328.22766247508</v>
      </c>
    </row>
    <row r="71" spans="1:34" s="956" customFormat="1">
      <c r="A71" s="958"/>
      <c r="C71" s="966"/>
    </row>
    <row r="72" spans="1:34" s="956" customFormat="1">
      <c r="A72" s="958" t="s">
        <v>1710</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ht="13">
      <c r="A73" s="529"/>
      <c r="C73" s="966"/>
    </row>
    <row r="74" spans="1:34" s="217" customFormat="1" ht="13">
      <c r="A74" s="529"/>
      <c r="C74" s="183"/>
    </row>
    <row r="75" spans="1:34" s="217" customFormat="1">
      <c r="A75" s="956" t="s">
        <v>1709</v>
      </c>
      <c r="C75" s="183"/>
    </row>
    <row r="76" spans="1:34" s="217" customFormat="1">
      <c r="C76" s="183"/>
    </row>
    <row r="77" spans="1:34" s="234" customFormat="1" ht="30" customHeight="1">
      <c r="A77" s="2680" t="s">
        <v>1708</v>
      </c>
      <c r="B77" s="2681"/>
      <c r="C77" s="2681"/>
      <c r="D77" s="2681"/>
      <c r="E77" s="2681"/>
      <c r="F77" s="2681"/>
      <c r="G77" s="2681"/>
      <c r="H77" s="2681"/>
      <c r="I77" s="2681"/>
      <c r="J77" s="2681"/>
      <c r="K77" s="2681"/>
      <c r="L77" s="2681"/>
      <c r="M77" s="2681"/>
      <c r="N77" s="2681"/>
      <c r="O77" s="2681"/>
      <c r="P77" s="2681"/>
      <c r="Q77" s="2681"/>
      <c r="R77" s="2681"/>
      <c r="S77" s="2681"/>
      <c r="T77" s="2681"/>
      <c r="U77" s="2681"/>
      <c r="V77" s="2681"/>
      <c r="W77" s="2681"/>
      <c r="X77" s="2681"/>
      <c r="Y77" s="2681"/>
      <c r="Z77" s="2681"/>
      <c r="AA77" s="2681"/>
      <c r="AB77" s="2681"/>
      <c r="AC77" s="2681"/>
      <c r="AD77" s="2681"/>
      <c r="AE77" s="2681"/>
      <c r="AF77" s="2681"/>
      <c r="AG77" s="268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7265625" customWidth="1"/>
    <col min="2" max="16384" width="8.81640625" hidden="1"/>
  </cols>
  <sheetData>
    <row r="1" spans="1:1" ht="46.5">
      <c r="A1" s="313" t="s">
        <v>969</v>
      </c>
    </row>
    <row r="2" spans="1:1" ht="15.5">
      <c r="A2" s="314"/>
    </row>
    <row r="3" spans="1:1" ht="15.5">
      <c r="A3" s="315" t="s">
        <v>964</v>
      </c>
    </row>
    <row r="4" spans="1:1" ht="15.5">
      <c r="A4" s="315" t="s">
        <v>965</v>
      </c>
    </row>
    <row r="5" spans="1:1" ht="15.5">
      <c r="A5" s="315" t="s">
        <v>966</v>
      </c>
    </row>
    <row r="6" spans="1:1" ht="15.5">
      <c r="A6" s="315" t="s">
        <v>968</v>
      </c>
    </row>
    <row r="7" spans="1:1" ht="15.5">
      <c r="A7" s="315" t="s">
        <v>967</v>
      </c>
    </row>
    <row r="8" spans="1:1" ht="15.5">
      <c r="A8" s="346" t="s">
        <v>1022</v>
      </c>
    </row>
    <row r="9" spans="1:1" ht="15.5">
      <c r="A9" s="315" t="s">
        <v>1023</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7265625" style="204" customWidth="1"/>
    <col min="2" max="4" width="14.7265625" style="204" customWidth="1"/>
    <col min="5" max="5" width="50.7265625" style="204" customWidth="1"/>
    <col min="6" max="253" width="9.1796875" style="204" customWidth="1"/>
    <col min="254" max="16384" width="9.1796875" style="204"/>
  </cols>
  <sheetData>
    <row r="1" spans="1:6" s="275" customFormat="1" ht="18" customHeight="1">
      <c r="A1" s="513" t="s">
        <v>1215</v>
      </c>
      <c r="D1" s="280"/>
    </row>
    <row r="2" spans="1:6" s="275" customFormat="1" ht="13">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ht="13">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150000</v>
      </c>
      <c r="C6" s="266">
        <f>'Sources and Uses Budget'!$C5</f>
        <v>150000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150000</v>
      </c>
      <c r="C9" s="270">
        <f>SUM(C5:C8)</f>
        <v>150000</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300000</v>
      </c>
      <c r="C11" s="266">
        <f>'Sources and Uses Budget'!$C10</f>
        <v>300000</v>
      </c>
      <c r="D11" s="270">
        <f t="shared" si="0"/>
        <v>0</v>
      </c>
      <c r="E11" s="268"/>
      <c r="F11" s="267"/>
    </row>
    <row r="12" spans="1:6" s="352" customFormat="1">
      <c r="A12" s="365" t="s">
        <v>595</v>
      </c>
      <c r="B12" s="270">
        <f>SUM(B10:B11)</f>
        <v>300000</v>
      </c>
      <c r="C12" s="270">
        <f>SUM(C10:C11)</f>
        <v>300000</v>
      </c>
      <c r="D12" s="270">
        <f t="shared" si="0"/>
        <v>0</v>
      </c>
      <c r="E12" s="268"/>
      <c r="F12" s="267"/>
    </row>
    <row r="13" spans="1:6" s="352" customFormat="1">
      <c r="A13" s="365" t="s">
        <v>84</v>
      </c>
      <c r="B13" s="270">
        <f>SUM(B9+B12)</f>
        <v>450000</v>
      </c>
      <c r="C13" s="270">
        <f>SUM(C9+C12)</f>
        <v>450000</v>
      </c>
      <c r="D13" s="270">
        <f t="shared" si="0"/>
        <v>0</v>
      </c>
      <c r="E13" s="268"/>
      <c r="F13" s="267"/>
    </row>
    <row r="14" spans="1:6" s="352" customFormat="1">
      <c r="A14" s="366" t="s">
        <v>901</v>
      </c>
      <c r="B14" s="266">
        <f>'Sources and Uses Budget'!$C13</f>
        <v>0</v>
      </c>
      <c r="C14" s="266">
        <f>'Sources and Uses Budget'!$C13</f>
        <v>0</v>
      </c>
      <c r="D14" s="270">
        <f t="shared" si="0"/>
        <v>0</v>
      </c>
      <c r="E14" s="268"/>
      <c r="F14" s="267"/>
    </row>
    <row r="15" spans="1:6" s="352" customFormat="1" ht="23">
      <c r="A15" s="364" t="s">
        <v>902</v>
      </c>
      <c r="B15" s="266">
        <f>'Sources and Uses Budget'!$C14</f>
        <v>0</v>
      </c>
      <c r="C15" s="266">
        <f>'Sources and Uses Budget'!$C14</f>
        <v>0</v>
      </c>
      <c r="D15" s="270">
        <f t="shared" si="0"/>
        <v>0</v>
      </c>
      <c r="E15" s="268"/>
      <c r="F15" s="267"/>
    </row>
    <row r="16" spans="1:6" s="352" customFormat="1">
      <c r="A16" s="364" t="s">
        <v>1159</v>
      </c>
      <c r="B16" s="266">
        <f>'Sources and Uses Budget'!$C15</f>
        <v>0</v>
      </c>
      <c r="C16" s="266">
        <f>'Sources and Uses Budget'!$C15</f>
        <v>0</v>
      </c>
      <c r="D16" s="270">
        <f t="shared" si="0"/>
        <v>0</v>
      </c>
      <c r="E16" s="268"/>
      <c r="F16" s="267"/>
    </row>
    <row r="17" spans="1:6" s="352" customFormat="1" ht="13">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1627</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3">
      <c r="A27" s="1013" t="s">
        <v>133</v>
      </c>
      <c r="B27" s="270">
        <f>SUM(B18:B26)</f>
        <v>0</v>
      </c>
      <c r="C27" s="270">
        <f>SUM(C18:C26)</f>
        <v>0</v>
      </c>
      <c r="D27" s="270">
        <f>SUM(D18:D26)</f>
        <v>0</v>
      </c>
      <c r="E27" s="268"/>
      <c r="F27" s="267"/>
    </row>
    <row r="28" spans="1:6" s="352" customFormat="1" ht="13">
      <c r="A28" s="271" t="s">
        <v>141</v>
      </c>
      <c r="B28" s="266">
        <f>'Sources and Uses Budget'!$C$27</f>
        <v>0</v>
      </c>
      <c r="C28" s="266">
        <f>'Sources and Uses Budget'!$C$27</f>
        <v>0</v>
      </c>
      <c r="D28" s="270">
        <f t="shared" si="0"/>
        <v>0</v>
      </c>
      <c r="E28" s="268"/>
      <c r="F28" s="267"/>
    </row>
    <row r="29" spans="1:6" s="352" customFormat="1" ht="13">
      <c r="A29" s="264" t="s">
        <v>142</v>
      </c>
      <c r="B29" s="264"/>
      <c r="C29" s="264"/>
      <c r="D29" s="264"/>
      <c r="E29" s="282"/>
      <c r="F29" s="264"/>
    </row>
    <row r="30" spans="1:6" s="352" customFormat="1">
      <c r="A30" s="145" t="s">
        <v>597</v>
      </c>
      <c r="B30" s="266">
        <f>'Sources and Uses Budget'!$C29</f>
        <v>3930000</v>
      </c>
      <c r="C30" s="266">
        <f>'Sources and Uses Budget'!$C29</f>
        <v>3930000</v>
      </c>
      <c r="D30" s="270">
        <f t="shared" si="0"/>
        <v>0</v>
      </c>
      <c r="E30" s="268"/>
      <c r="F30" s="267"/>
    </row>
    <row r="31" spans="1:6" s="352" customFormat="1">
      <c r="A31" s="145" t="s">
        <v>598</v>
      </c>
      <c r="B31" s="266">
        <f>'Sources and Uses Budget'!$C30</f>
        <v>31683885</v>
      </c>
      <c r="C31" s="266">
        <f>'Sources and Uses Budget'!$C30</f>
        <v>31683885</v>
      </c>
      <c r="D31" s="270">
        <f t="shared" si="0"/>
        <v>0</v>
      </c>
      <c r="E31" s="268"/>
      <c r="F31" s="267"/>
    </row>
    <row r="32" spans="1:6" s="352" customFormat="1">
      <c r="A32" s="145" t="s">
        <v>599</v>
      </c>
      <c r="B32" s="266">
        <f>'Sources and Uses Budget'!$C31</f>
        <v>1795694</v>
      </c>
      <c r="C32" s="266">
        <f>'Sources and Uses Budget'!$C31</f>
        <v>1795694</v>
      </c>
      <c r="D32" s="270">
        <f t="shared" si="0"/>
        <v>0</v>
      </c>
      <c r="E32" s="268"/>
      <c r="F32" s="267"/>
    </row>
    <row r="33" spans="1:6" s="352" customFormat="1">
      <c r="A33" s="145" t="s">
        <v>137</v>
      </c>
      <c r="B33" s="266">
        <f>'Sources and Uses Budget'!$C32</f>
        <v>718278</v>
      </c>
      <c r="C33" s="266">
        <f>'Sources and Uses Budget'!$C32</f>
        <v>718278</v>
      </c>
      <c r="D33" s="270">
        <f t="shared" si="0"/>
        <v>0</v>
      </c>
      <c r="E33" s="268"/>
      <c r="F33" s="267"/>
    </row>
    <row r="34" spans="1:6" s="352" customFormat="1">
      <c r="A34" s="145" t="s">
        <v>138</v>
      </c>
      <c r="B34" s="266">
        <f>'Sources and Uses Budget'!$C33</f>
        <v>2154833</v>
      </c>
      <c r="C34" s="266">
        <f>'Sources and Uses Budget'!$C33</f>
        <v>2154833</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1627</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3">
      <c r="A39" s="271" t="s">
        <v>143</v>
      </c>
      <c r="B39" s="270">
        <f>SUM(B30:B38)</f>
        <v>40282690</v>
      </c>
      <c r="C39" s="270">
        <f>SUM(C30:C38)</f>
        <v>40282690</v>
      </c>
      <c r="D39" s="270">
        <f t="shared" si="0"/>
        <v>0</v>
      </c>
      <c r="E39" s="268"/>
      <c r="F39" s="267"/>
    </row>
    <row r="40" spans="1:6" s="352" customFormat="1" ht="13">
      <c r="A40" s="264" t="s">
        <v>144</v>
      </c>
      <c r="B40" s="264"/>
      <c r="C40" s="264"/>
      <c r="D40" s="264"/>
      <c r="E40" s="282"/>
      <c r="F40" s="264"/>
    </row>
    <row r="41" spans="1:6" s="352" customFormat="1">
      <c r="A41" s="269" t="s">
        <v>145</v>
      </c>
      <c r="B41" s="266">
        <f>'Sources and Uses Budget'!$C40</f>
        <v>750000</v>
      </c>
      <c r="C41" s="266">
        <f>'Sources and Uses Budget'!$C40</f>
        <v>750000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ht="13">
      <c r="A43" s="271" t="s">
        <v>147</v>
      </c>
      <c r="B43" s="270">
        <f>SUM(B41:B42)</f>
        <v>750000</v>
      </c>
      <c r="C43" s="270">
        <f>SUM(C41:C42)</f>
        <v>750000</v>
      </c>
      <c r="D43" s="270">
        <f t="shared" si="0"/>
        <v>0</v>
      </c>
      <c r="E43" s="268"/>
      <c r="F43" s="267"/>
    </row>
    <row r="44" spans="1:6" s="352" customFormat="1" ht="13">
      <c r="A44" s="271" t="s">
        <v>148</v>
      </c>
      <c r="B44" s="266">
        <f>'Sources and Uses Budget'!$C43</f>
        <v>400000</v>
      </c>
      <c r="C44" s="266">
        <f>'Sources and Uses Budget'!$C43</f>
        <v>400000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3000000</v>
      </c>
      <c r="C46" s="266">
        <f>'Sources and Uses Budget'!$C45</f>
        <v>3000000</v>
      </c>
      <c r="D46" s="270">
        <f t="shared" si="0"/>
        <v>0</v>
      </c>
      <c r="E46" s="268"/>
      <c r="F46" s="267"/>
    </row>
    <row r="47" spans="1:6" s="352" customFormat="1">
      <c r="A47" s="145" t="s">
        <v>151</v>
      </c>
      <c r="B47" s="266">
        <f>'Sources and Uses Budget'!$C46</f>
        <v>275000</v>
      </c>
      <c r="C47" s="266">
        <f>'Sources and Uses Budget'!$C46</f>
        <v>275000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60000</v>
      </c>
      <c r="C51" s="266">
        <f>'Sources and Uses Budget'!$C50</f>
        <v>60000</v>
      </c>
      <c r="D51" s="270">
        <f t="shared" si="0"/>
        <v>0</v>
      </c>
      <c r="E51" s="268"/>
      <c r="F51" s="267"/>
    </row>
    <row r="52" spans="1:6" s="352" customFormat="1">
      <c r="A52" s="283" t="s">
        <v>154</v>
      </c>
      <c r="B52" s="266">
        <f>'Sources and Uses Budget'!$C51</f>
        <v>15000</v>
      </c>
      <c r="C52" s="266">
        <f>'Sources and Uses Budget'!$C51</f>
        <v>15000</v>
      </c>
      <c r="D52" s="270">
        <f t="shared" si="0"/>
        <v>0</v>
      </c>
      <c r="E52" s="268"/>
      <c r="F52" s="267"/>
    </row>
    <row r="53" spans="1:6" s="352" customFormat="1">
      <c r="A53" s="145" t="s">
        <v>155</v>
      </c>
      <c r="B53" s="266">
        <f>'Sources and Uses Budget'!$C52</f>
        <v>745700</v>
      </c>
      <c r="C53" s="266">
        <f>'Sources and Uses Budget'!$C52</f>
        <v>745700</v>
      </c>
      <c r="D53" s="270">
        <f t="shared" si="0"/>
        <v>0</v>
      </c>
      <c r="E53" s="268"/>
      <c r="F53" s="267"/>
    </row>
    <row r="54" spans="1:6" s="352" customFormat="1">
      <c r="A54" s="155" t="str">
        <f>'Sources and Uses Budget'!A53</f>
        <v>Other: Bond Issuer &amp; Trustee Fees</v>
      </c>
      <c r="B54" s="266">
        <f>'Sources and Uses Budget'!$C53</f>
        <v>100000</v>
      </c>
      <c r="C54" s="266">
        <f>'Sources and Uses Budget'!$C53</f>
        <v>100000</v>
      </c>
      <c r="D54" s="270">
        <f t="shared" si="0"/>
        <v>0</v>
      </c>
      <c r="E54" s="268"/>
      <c r="F54" s="267"/>
    </row>
    <row r="55" spans="1:6" s="353" customFormat="1" ht="13">
      <c r="A55" s="271" t="s">
        <v>157</v>
      </c>
      <c r="B55" s="273">
        <f>SUM(B46:B54)</f>
        <v>4195700</v>
      </c>
      <c r="C55" s="273">
        <f>SUM(C46:C54)</f>
        <v>4195700</v>
      </c>
      <c r="D55" s="270">
        <f t="shared" si="0"/>
        <v>0</v>
      </c>
      <c r="E55" s="268"/>
      <c r="F55" s="267"/>
    </row>
    <row r="56" spans="1:6" s="352" customFormat="1" ht="13">
      <c r="A56" s="264" t="s">
        <v>417</v>
      </c>
      <c r="B56" s="264"/>
      <c r="C56" s="264"/>
      <c r="D56" s="264"/>
      <c r="E56" s="282"/>
      <c r="F56" s="264"/>
    </row>
    <row r="57" spans="1:6" s="352" customFormat="1">
      <c r="A57" s="269" t="s">
        <v>158</v>
      </c>
      <c r="B57" s="266">
        <f>'Sources and Uses Budget'!$C56</f>
        <v>25000</v>
      </c>
      <c r="C57" s="266">
        <f>'Sources and Uses Budget'!$C56</f>
        <v>25000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v>
      </c>
      <c r="B62" s="266">
        <f>'Sources and Uses Budget'!$C61</f>
        <v>0</v>
      </c>
      <c r="C62" s="266">
        <f>'Sources and Uses Budget'!$C61</f>
        <v>0</v>
      </c>
      <c r="D62" s="270">
        <f t="shared" si="0"/>
        <v>0</v>
      </c>
      <c r="E62" s="268"/>
      <c r="F62" s="267"/>
    </row>
    <row r="63" spans="1:6" s="352" customFormat="1" ht="13.75" customHeight="1">
      <c r="A63" s="271" t="s">
        <v>300</v>
      </c>
      <c r="B63" s="270">
        <f>SUM(B57:B62)</f>
        <v>25000</v>
      </c>
      <c r="C63" s="270">
        <f>SUM(C57:C62)</f>
        <v>25000</v>
      </c>
      <c r="D63" s="270">
        <f t="shared" si="0"/>
        <v>0</v>
      </c>
      <c r="E63" s="268"/>
      <c r="F63" s="267"/>
    </row>
    <row r="64" spans="1:6" s="352" customFormat="1" ht="13">
      <c r="A64" s="274" t="s">
        <v>301</v>
      </c>
      <c r="B64" s="270">
        <f>SUM(B9+B12+B14+B15+B17+B26+B28+B39+B43+B44+B55+B63)</f>
        <v>46103390</v>
      </c>
      <c r="C64" s="270">
        <f>SUM(C9+C12+C14+C15+C17+C26+C28+C39+C43+C44+C55+C63)</f>
        <v>46103390</v>
      </c>
      <c r="D64" s="270">
        <f t="shared" si="0"/>
        <v>0</v>
      </c>
      <c r="E64" s="268"/>
      <c r="F64" s="267"/>
    </row>
    <row r="65" spans="1:6" s="352" customFormat="1" ht="24">
      <c r="A65" s="141" t="s">
        <v>1631</v>
      </c>
      <c r="B65" s="264"/>
      <c r="C65" s="264"/>
      <c r="D65" s="264"/>
      <c r="E65" s="282"/>
      <c r="F65" s="264"/>
    </row>
    <row r="66" spans="1:6" s="352" customFormat="1">
      <c r="A66" s="145" t="s">
        <v>170</v>
      </c>
      <c r="B66" s="266">
        <f>'Sources and Uses Budget'!$C65</f>
        <v>100000</v>
      </c>
      <c r="C66" s="266">
        <f>'Sources and Uses Budget'!$C65</f>
        <v>100000</v>
      </c>
      <c r="D66" s="270">
        <f t="shared" si="0"/>
        <v>0</v>
      </c>
      <c r="E66" s="268"/>
      <c r="F66" s="267"/>
    </row>
    <row r="67" spans="1:6" s="352" customFormat="1" ht="23">
      <c r="A67" s="283" t="s">
        <v>1628</v>
      </c>
      <c r="B67" s="266">
        <f>'Sources and Uses Budget'!$C66</f>
        <v>60000</v>
      </c>
      <c r="C67" s="266">
        <f>'Sources and Uses Budget'!$C66</f>
        <v>60000</v>
      </c>
      <c r="D67" s="270"/>
      <c r="E67" s="268"/>
      <c r="F67" s="267"/>
    </row>
    <row r="68" spans="1:6" s="352" customFormat="1" ht="23">
      <c r="A68" s="283" t="s">
        <v>1629</v>
      </c>
      <c r="B68" s="266">
        <f>'Sources and Uses Budget'!$C67</f>
        <v>0</v>
      </c>
      <c r="C68" s="266">
        <f>'Sources and Uses Budget'!$C67</f>
        <v>0</v>
      </c>
      <c r="D68" s="270"/>
      <c r="E68" s="268"/>
      <c r="F68" s="267"/>
    </row>
    <row r="69" spans="1:6" s="352" customFormat="1">
      <c r="A69" s="283" t="s">
        <v>1635</v>
      </c>
      <c r="B69" s="266">
        <f>'Sources and Uses Budget'!$C68</f>
        <v>0</v>
      </c>
      <c r="C69" s="266">
        <f>'Sources and Uses Budget'!$C68</f>
        <v>0</v>
      </c>
      <c r="D69" s="270"/>
      <c r="E69" s="268"/>
      <c r="F69" s="267"/>
    </row>
    <row r="70" spans="1:6" s="352" customFormat="1">
      <c r="A70" s="155" t="str">
        <f>'Sources and Uses Budget'!A69</f>
        <v>Other: Interest &amp; Loan Fees - Series B</v>
      </c>
      <c r="B70" s="266">
        <f>'Sources and Uses Budget'!$C69</f>
        <v>1000000</v>
      </c>
      <c r="C70" s="266">
        <f>'Sources and Uses Budget'!$C69</f>
        <v>1000000</v>
      </c>
      <c r="D70" s="270">
        <f t="shared" si="0"/>
        <v>0</v>
      </c>
      <c r="E70" s="268"/>
      <c r="F70" s="267"/>
    </row>
    <row r="71" spans="1:6" s="352" customFormat="1">
      <c r="A71" s="149" t="s">
        <v>1632</v>
      </c>
      <c r="B71" s="270">
        <f>SUM(B66:B70)</f>
        <v>1160000</v>
      </c>
      <c r="C71" s="270">
        <f>SUM(C66:C70)</f>
        <v>1160000</v>
      </c>
      <c r="D71" s="270">
        <f t="shared" si="0"/>
        <v>0</v>
      </c>
      <c r="E71" s="268"/>
      <c r="F71" s="267"/>
    </row>
    <row r="72" spans="1:6" s="352" customFormat="1" ht="13">
      <c r="A72" s="264" t="s">
        <v>601</v>
      </c>
      <c r="B72" s="264"/>
      <c r="C72" s="264"/>
      <c r="D72" s="264"/>
      <c r="E72" s="282"/>
      <c r="F72" s="264"/>
    </row>
    <row r="73" spans="1:6" s="352" customFormat="1">
      <c r="A73" s="269" t="s">
        <v>602</v>
      </c>
      <c r="B73" s="266">
        <f>'Sources and Uses Budget'!$C72</f>
        <v>100000</v>
      </c>
      <c r="C73" s="266">
        <f>'Sources and Uses Budget'!$C72</f>
        <v>100000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984</v>
      </c>
      <c r="B75" s="266">
        <f>'Sources and Uses Budget'!$C74</f>
        <v>0</v>
      </c>
      <c r="C75" s="266">
        <f>'Sources and Uses Budget'!$C74</f>
        <v>0</v>
      </c>
      <c r="D75" s="270">
        <f t="shared" si="0"/>
        <v>0</v>
      </c>
      <c r="E75" s="268"/>
      <c r="F75" s="267"/>
    </row>
    <row r="76" spans="1:6" s="352" customFormat="1">
      <c r="A76" s="269" t="s">
        <v>604</v>
      </c>
      <c r="B76" s="266">
        <f>'Sources and Uses Budget'!$C75</f>
        <v>544209</v>
      </c>
      <c r="C76" s="266">
        <f>'Sources and Uses Budget'!$C75</f>
        <v>544209</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ht="13">
      <c r="A78" s="271" t="s">
        <v>605</v>
      </c>
      <c r="B78" s="270">
        <f>SUM(B73:B77)</f>
        <v>644209</v>
      </c>
      <c r="C78" s="270">
        <f>SUM(C73:C77)</f>
        <v>644209</v>
      </c>
      <c r="D78" s="270">
        <f t="shared" ref="D78:D106" si="1">C78-B78</f>
        <v>0</v>
      </c>
      <c r="E78" s="268"/>
      <c r="F78" s="267"/>
    </row>
    <row r="79" spans="1:6" s="352" customFormat="1" ht="13">
      <c r="A79" s="264" t="s">
        <v>1208</v>
      </c>
      <c r="B79" s="264"/>
      <c r="C79" s="264"/>
      <c r="D79" s="264"/>
      <c r="E79" s="282"/>
      <c r="F79" s="264"/>
    </row>
    <row r="80" spans="1:6" s="352" customFormat="1">
      <c r="A80" s="510" t="s">
        <v>1210</v>
      </c>
      <c r="B80" s="266">
        <f>'Sources and Uses Budget'!$C79</f>
        <v>2029100</v>
      </c>
      <c r="C80" s="266">
        <f>'Sources and Uses Budget'!$C79</f>
        <v>2029100</v>
      </c>
      <c r="D80" s="270">
        <f t="shared" si="1"/>
        <v>0</v>
      </c>
      <c r="E80" s="268"/>
      <c r="F80" s="267"/>
    </row>
    <row r="81" spans="1:6" s="352" customFormat="1">
      <c r="A81" s="510" t="s">
        <v>58</v>
      </c>
      <c r="B81" s="266">
        <f>'Sources and Uses Budget'!$C80</f>
        <v>300000</v>
      </c>
      <c r="C81" s="266">
        <f>'Sources and Uses Budget'!$C80</f>
        <v>300000</v>
      </c>
      <c r="D81" s="270">
        <f>C81-B81</f>
        <v>0</v>
      </c>
      <c r="E81" s="268"/>
      <c r="F81" s="267"/>
    </row>
    <row r="82" spans="1:6" s="352" customFormat="1" ht="13">
      <c r="A82" s="271" t="s">
        <v>1207</v>
      </c>
      <c r="B82" s="270">
        <f>SUM(B80:B81)</f>
        <v>2329100</v>
      </c>
      <c r="C82" s="270">
        <f>SUM(C80:C81)</f>
        <v>2329100</v>
      </c>
      <c r="D82" s="270">
        <f t="shared" si="1"/>
        <v>0</v>
      </c>
      <c r="E82" s="268"/>
      <c r="F82" s="267"/>
    </row>
    <row r="83" spans="1:6" s="352" customFormat="1" ht="13">
      <c r="A83" s="264" t="s">
        <v>764</v>
      </c>
      <c r="B83" s="264"/>
      <c r="C83" s="264"/>
      <c r="D83" s="264"/>
      <c r="E83" s="282"/>
      <c r="F83" s="264"/>
    </row>
    <row r="84" spans="1:6" s="352" customFormat="1" ht="13.75" customHeight="1">
      <c r="A84" s="269" t="s">
        <v>765</v>
      </c>
      <c r="B84" s="266">
        <f>'Sources and Uses Budget'!$C83</f>
        <v>89792</v>
      </c>
      <c r="C84" s="266">
        <f>'Sources and Uses Budget'!$C83</f>
        <v>89792</v>
      </c>
      <c r="D84" s="270">
        <f t="shared" si="1"/>
        <v>0</v>
      </c>
      <c r="E84" s="268"/>
      <c r="F84" s="267"/>
    </row>
    <row r="85" spans="1:6" s="352" customFormat="1">
      <c r="A85" s="269" t="s">
        <v>766</v>
      </c>
      <c r="B85" s="266">
        <f>'Sources and Uses Budget'!$C84</f>
        <v>0</v>
      </c>
      <c r="C85" s="266">
        <f>'Sources and Uses Budget'!$C84</f>
        <v>0</v>
      </c>
      <c r="D85" s="270">
        <f t="shared" si="1"/>
        <v>0</v>
      </c>
      <c r="E85" s="268"/>
      <c r="F85" s="267"/>
    </row>
    <row r="86" spans="1:6" s="352" customFormat="1">
      <c r="A86" s="269" t="s">
        <v>767</v>
      </c>
      <c r="B86" s="266">
        <f>'Sources and Uses Budget'!$C85</f>
        <v>4771651</v>
      </c>
      <c r="C86" s="266">
        <f>'Sources and Uses Budget'!$C85</f>
        <v>4771651</v>
      </c>
      <c r="D86" s="270">
        <f t="shared" si="1"/>
        <v>0</v>
      </c>
      <c r="E86" s="268"/>
      <c r="F86" s="267"/>
    </row>
    <row r="87" spans="1:6" s="352" customFormat="1">
      <c r="A87" s="269" t="s">
        <v>768</v>
      </c>
      <c r="B87" s="266">
        <f>'Sources and Uses Budget'!$C86</f>
        <v>1006494</v>
      </c>
      <c r="C87" s="266">
        <f>'Sources and Uses Budget'!$C86</f>
        <v>1006494</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119676</v>
      </c>
      <c r="C89" s="266">
        <f>'Sources and Uses Budget'!$C88</f>
        <v>119676</v>
      </c>
      <c r="D89" s="270">
        <f t="shared" si="1"/>
        <v>0</v>
      </c>
      <c r="E89" s="268"/>
      <c r="F89" s="267"/>
    </row>
    <row r="90" spans="1:6" s="352" customFormat="1">
      <c r="A90" s="269" t="s">
        <v>771</v>
      </c>
      <c r="B90" s="266">
        <f>'Sources and Uses Budget'!$C89</f>
        <v>50000</v>
      </c>
      <c r="C90" s="266">
        <f>'Sources and Uses Budget'!$C89</f>
        <v>50000</v>
      </c>
      <c r="D90" s="270">
        <f t="shared" si="1"/>
        <v>0</v>
      </c>
      <c r="E90" s="268"/>
      <c r="F90" s="267"/>
    </row>
    <row r="91" spans="1:6" s="352" customFormat="1">
      <c r="A91" s="269" t="s">
        <v>772</v>
      </c>
      <c r="B91" s="266">
        <f>'Sources and Uses Budget'!$C90</f>
        <v>10000</v>
      </c>
      <c r="C91" s="266">
        <f>'Sources and Uses Budget'!$C90</f>
        <v>10000</v>
      </c>
      <c r="D91" s="270">
        <f t="shared" si="1"/>
        <v>0</v>
      </c>
      <c r="E91" s="268"/>
      <c r="F91" s="267"/>
    </row>
    <row r="92" spans="1:6" s="352" customFormat="1">
      <c r="A92" s="269" t="s">
        <v>371</v>
      </c>
      <c r="B92" s="266">
        <f>'Sources and Uses Budget'!$C91</f>
        <v>0</v>
      </c>
      <c r="C92" s="266">
        <f>'Sources and Uses Budget'!$C91</f>
        <v>0</v>
      </c>
      <c r="D92" s="270">
        <f t="shared" si="1"/>
        <v>0</v>
      </c>
      <c r="E92" s="268"/>
      <c r="F92" s="267"/>
    </row>
    <row r="93" spans="1:6" s="352" customFormat="1">
      <c r="A93" s="510" t="s">
        <v>1209</v>
      </c>
      <c r="B93" s="266">
        <f>'Sources and Uses Budget'!$C92</f>
        <v>10000</v>
      </c>
      <c r="C93" s="266">
        <f>'Sources and Uses Budget'!$C92</f>
        <v>10000</v>
      </c>
      <c r="D93" s="270">
        <f t="shared" si="1"/>
        <v>0</v>
      </c>
      <c r="E93" s="268"/>
      <c r="F93" s="267"/>
    </row>
    <row r="94" spans="1:6" s="352" customFormat="1">
      <c r="A94" s="272" t="s">
        <v>34</v>
      </c>
      <c r="B94" s="266">
        <f>'Sources and Uses Budget'!$C93</f>
        <v>10000</v>
      </c>
      <c r="C94" s="266">
        <f>'Sources and Uses Budget'!$C93</f>
        <v>10000</v>
      </c>
      <c r="D94" s="270">
        <f t="shared" si="1"/>
        <v>0</v>
      </c>
      <c r="E94" s="268"/>
      <c r="F94" s="267"/>
    </row>
    <row r="95" spans="1:6" s="352" customFormat="1">
      <c r="A95" s="272" t="s">
        <v>34</v>
      </c>
      <c r="B95" s="266">
        <f>'Sources and Uses Budget'!$C94</f>
        <v>100000</v>
      </c>
      <c r="C95" s="266">
        <f>'Sources and Uses Budget'!$C94</f>
        <v>100000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ht="13">
      <c r="A97" s="271" t="s">
        <v>773</v>
      </c>
      <c r="B97" s="270">
        <f>SUM(B84:B96)</f>
        <v>6167613</v>
      </c>
      <c r="C97" s="270">
        <f>SUM(C84:C96)</f>
        <v>6167613</v>
      </c>
      <c r="D97" s="270">
        <f t="shared" si="1"/>
        <v>0</v>
      </c>
      <c r="E97" s="268"/>
      <c r="F97" s="267"/>
    </row>
    <row r="98" spans="1:6" s="352" customFormat="1" ht="13">
      <c r="A98" s="271" t="s">
        <v>774</v>
      </c>
      <c r="B98" s="270">
        <f>SUM(B64+B71+B78+B82+B97)</f>
        <v>56404312</v>
      </c>
      <c r="C98" s="270">
        <f>SUM(C64+C71+C78+C82+C97)</f>
        <v>56404312</v>
      </c>
      <c r="D98" s="270">
        <f t="shared" si="1"/>
        <v>0</v>
      </c>
      <c r="E98" s="268"/>
      <c r="F98" s="267"/>
    </row>
    <row r="99" spans="1:6" s="352" customFormat="1" ht="13">
      <c r="A99" s="264" t="s">
        <v>775</v>
      </c>
      <c r="B99" s="264"/>
      <c r="C99" s="264"/>
      <c r="D99" s="264"/>
      <c r="E99" s="282"/>
      <c r="F99" s="264"/>
    </row>
    <row r="100" spans="1:6" s="352" customFormat="1">
      <c r="A100" s="145" t="s">
        <v>776</v>
      </c>
      <c r="B100" s="266">
        <f>'Sources and Uses Budget'!$C99</f>
        <v>11055127</v>
      </c>
      <c r="C100" s="266">
        <f>'Sources and Uses Budget'!$C99</f>
        <v>11055127</v>
      </c>
      <c r="D100" s="270">
        <f t="shared" si="1"/>
        <v>0</v>
      </c>
      <c r="E100" s="268"/>
      <c r="F100" s="267"/>
    </row>
    <row r="101" spans="1:6" s="352" customFormat="1">
      <c r="A101" s="283" t="s">
        <v>1633</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1634</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ht="13">
      <c r="A105" s="271" t="s">
        <v>778</v>
      </c>
      <c r="B105" s="270">
        <f>SUM(B100:B104)</f>
        <v>11055127</v>
      </c>
      <c r="C105" s="270">
        <f>SUM(C100:C104)</f>
        <v>11055127</v>
      </c>
      <c r="D105" s="270">
        <f t="shared" si="1"/>
        <v>0</v>
      </c>
      <c r="E105" s="268"/>
      <c r="F105" s="267"/>
    </row>
    <row r="106" spans="1:6" s="352" customFormat="1" ht="13">
      <c r="A106" s="271" t="s">
        <v>779</v>
      </c>
      <c r="B106" s="273">
        <f>SUM(B98+B105)</f>
        <v>67459439</v>
      </c>
      <c r="C106" s="273">
        <f>SUM(C98+C105)</f>
        <v>67459439</v>
      </c>
      <c r="D106" s="270">
        <f t="shared" si="1"/>
        <v>0</v>
      </c>
      <c r="E106" s="268"/>
      <c r="F106" s="267"/>
    </row>
    <row r="107" spans="1:6" s="352" customFormat="1" ht="13">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265625" style="402" customWidth="1"/>
    <col min="11" max="16384" width="8.81640625" style="402" hidden="1"/>
  </cols>
  <sheetData>
    <row r="1" spans="1:10" ht="15.5">
      <c r="A1" s="1280" t="s">
        <v>1841</v>
      </c>
      <c r="B1" s="1281"/>
      <c r="C1" s="1281"/>
      <c r="D1" s="1281"/>
      <c r="E1" s="1281"/>
      <c r="F1" s="1281"/>
      <c r="G1" s="1281"/>
      <c r="H1" s="1281"/>
      <c r="I1" s="1281"/>
      <c r="J1" s="1281"/>
    </row>
    <row r="2" spans="1:10" ht="15.5">
      <c r="A2" s="1284" t="s">
        <v>1266</v>
      </c>
      <c r="B2" s="1285"/>
      <c r="C2" s="1285"/>
      <c r="D2" s="1285"/>
      <c r="E2" s="1285"/>
      <c r="F2" s="1285"/>
      <c r="G2" s="1285"/>
      <c r="H2" s="1285"/>
      <c r="I2" s="1285"/>
      <c r="J2" s="1285"/>
    </row>
    <row r="3" spans="1:10" ht="12.5"/>
    <row r="4" spans="1:10" ht="12.75" customHeight="1">
      <c r="A4" s="1282" t="s">
        <v>2004</v>
      </c>
      <c r="B4" s="1282"/>
      <c r="C4" s="1282"/>
      <c r="D4" s="1282"/>
      <c r="E4" s="1282"/>
      <c r="F4" s="1282"/>
      <c r="G4" s="1282"/>
      <c r="H4" s="1282"/>
      <c r="I4" s="1282"/>
      <c r="J4" s="1282"/>
    </row>
    <row r="5" spans="1:10" ht="12.5">
      <c r="A5" s="1282"/>
      <c r="B5" s="1282"/>
      <c r="C5" s="1282"/>
      <c r="D5" s="1282"/>
      <c r="E5" s="1282"/>
      <c r="F5" s="1282"/>
      <c r="G5" s="1282"/>
      <c r="H5" s="1282"/>
      <c r="I5" s="1282"/>
      <c r="J5" s="1282"/>
    </row>
    <row r="6" spans="1:10" ht="30" customHeight="1">
      <c r="A6" s="1282"/>
      <c r="B6" s="1282"/>
      <c r="C6" s="1282"/>
      <c r="D6" s="1282"/>
      <c r="E6" s="1282"/>
      <c r="F6" s="1282"/>
      <c r="G6" s="1282"/>
      <c r="H6" s="1282"/>
      <c r="I6" s="1282"/>
      <c r="J6" s="1282"/>
    </row>
    <row r="7" spans="1:10" ht="12.5">
      <c r="A7" s="416"/>
      <c r="B7" s="416"/>
      <c r="C7" s="416"/>
      <c r="D7" s="416"/>
      <c r="E7" s="416"/>
      <c r="F7" s="416"/>
      <c r="G7" s="416"/>
      <c r="H7" s="416"/>
      <c r="I7" s="416"/>
      <c r="J7" s="416"/>
    </row>
    <row r="8" spans="1:10" ht="12.75" customHeight="1">
      <c r="A8" s="402" t="s">
        <v>1844</v>
      </c>
      <c r="B8" s="416"/>
      <c r="C8" s="416"/>
      <c r="D8" s="416"/>
      <c r="E8" s="416"/>
      <c r="F8" s="416"/>
      <c r="G8" s="416"/>
      <c r="H8" s="416"/>
      <c r="I8" s="416"/>
      <c r="J8" s="416"/>
    </row>
    <row r="9" spans="1:10" ht="12.5"/>
    <row r="10" spans="1:10" ht="12.75" customHeight="1">
      <c r="A10" s="1286" t="s">
        <v>1846</v>
      </c>
      <c r="B10" s="1286"/>
      <c r="C10" s="1286"/>
      <c r="D10" s="1286"/>
      <c r="E10" s="1286"/>
      <c r="F10" s="1286"/>
      <c r="G10" s="1286"/>
      <c r="H10" s="1286"/>
      <c r="I10" s="1286"/>
      <c r="J10" s="1286"/>
    </row>
    <row r="11" spans="1:10" ht="12.5">
      <c r="A11" s="1286"/>
      <c r="B11" s="1286"/>
      <c r="C11" s="1286"/>
      <c r="D11" s="1286"/>
      <c r="E11" s="1286"/>
      <c r="F11" s="1286"/>
      <c r="G11" s="1286"/>
      <c r="H11" s="1286"/>
      <c r="I11" s="1286"/>
      <c r="J11" s="1286"/>
    </row>
    <row r="12" spans="1:10" ht="12.5">
      <c r="A12" s="1286"/>
      <c r="B12" s="1286"/>
      <c r="C12" s="1286"/>
      <c r="D12" s="1286"/>
      <c r="E12" s="1286"/>
      <c r="F12" s="1286"/>
      <c r="G12" s="1286"/>
      <c r="H12" s="1286"/>
      <c r="I12" s="1286"/>
      <c r="J12" s="1286"/>
    </row>
    <row r="13" spans="1:10" ht="12.5">
      <c r="A13" s="1286"/>
      <c r="B13" s="1286"/>
      <c r="C13" s="1286"/>
      <c r="D13" s="1286"/>
      <c r="E13" s="1286"/>
      <c r="F13" s="1286"/>
      <c r="G13" s="1286"/>
      <c r="H13" s="1286"/>
      <c r="I13" s="1286"/>
      <c r="J13" s="1286"/>
    </row>
    <row r="14" spans="1:10" ht="12.5">
      <c r="A14" s="1286"/>
      <c r="B14" s="1286"/>
      <c r="C14" s="1286"/>
      <c r="D14" s="1286"/>
      <c r="E14" s="1286"/>
      <c r="F14" s="1286"/>
      <c r="G14" s="1286"/>
      <c r="H14" s="1286"/>
      <c r="I14" s="1286"/>
      <c r="J14" s="1286"/>
    </row>
    <row r="15" spans="1:10" ht="12.5">
      <c r="A15" s="1286"/>
      <c r="B15" s="1286"/>
      <c r="C15" s="1286"/>
      <c r="D15" s="1286"/>
      <c r="E15" s="1286"/>
      <c r="F15" s="1286"/>
      <c r="G15" s="1286"/>
      <c r="H15" s="1286"/>
      <c r="I15" s="1286"/>
      <c r="J15" s="1286"/>
    </row>
    <row r="16" spans="1:10" ht="12.5">
      <c r="A16" s="524"/>
      <c r="B16" s="524"/>
      <c r="C16" s="524"/>
      <c r="D16" s="524"/>
      <c r="E16" s="524"/>
      <c r="F16" s="524"/>
      <c r="G16" s="524"/>
      <c r="H16" s="524"/>
      <c r="I16" s="524"/>
      <c r="J16" s="524"/>
    </row>
    <row r="17" spans="1:10" ht="12.5">
      <c r="A17" s="476" t="s">
        <v>1845</v>
      </c>
      <c r="B17" s="416"/>
      <c r="C17" s="416"/>
      <c r="D17" s="416"/>
      <c r="E17" s="416"/>
      <c r="F17" s="416"/>
      <c r="G17" s="416"/>
      <c r="H17" s="416"/>
      <c r="I17" s="416"/>
      <c r="J17" s="416"/>
    </row>
    <row r="18" spans="1:10" ht="12.5">
      <c r="A18" s="416" t="s">
        <v>249</v>
      </c>
      <c r="B18" s="416"/>
      <c r="C18" s="416"/>
      <c r="D18" s="416"/>
      <c r="E18" s="416"/>
      <c r="F18" s="416"/>
      <c r="G18" s="416"/>
      <c r="H18" s="416"/>
      <c r="I18" s="416"/>
      <c r="J18" s="416"/>
    </row>
    <row r="19" spans="1:10" ht="12.5">
      <c r="A19" s="1285" t="s">
        <v>1187</v>
      </c>
      <c r="B19" s="1285"/>
      <c r="C19" s="1285"/>
      <c r="D19" s="1285"/>
      <c r="E19" s="1285"/>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row r="63" ht="12.5"/>
    <row r="64" ht="12.5"/>
    <row r="65" spans="1:10" ht="12.5"/>
    <row r="66" spans="1:10" ht="12.5"/>
    <row r="67" spans="1:10" ht="12.5"/>
    <row r="68" spans="1:10" ht="12.5"/>
    <row r="69" spans="1:10" ht="12.5"/>
    <row r="70" spans="1:10" ht="12.5"/>
    <row r="71" spans="1:10" ht="12.5"/>
    <row r="72" spans="1:10" ht="12.5"/>
    <row r="73" spans="1:10" ht="12.5"/>
    <row r="74" spans="1:10" ht="12.5"/>
    <row r="75" spans="1:10" ht="12.5"/>
    <row r="76" spans="1:10" ht="12.5">
      <c r="A76" s="1282" t="s">
        <v>1188</v>
      </c>
      <c r="B76" s="1282"/>
      <c r="C76" s="1282"/>
      <c r="D76" s="1282"/>
      <c r="E76" s="1282"/>
      <c r="F76" s="1282"/>
      <c r="G76" s="1282"/>
      <c r="H76" s="1282"/>
      <c r="I76" s="1282"/>
      <c r="J76" s="1282"/>
    </row>
    <row r="77" spans="1:10" ht="12.5">
      <c r="A77" s="1282"/>
      <c r="B77" s="1282"/>
      <c r="C77" s="1282"/>
      <c r="D77" s="1282"/>
      <c r="E77" s="1282"/>
      <c r="F77" s="1282"/>
      <c r="G77" s="1282"/>
      <c r="H77" s="1282"/>
      <c r="I77" s="1282"/>
      <c r="J77" s="1282"/>
    </row>
    <row r="78" spans="1:10" ht="12.5">
      <c r="A78" s="1282"/>
      <c r="B78" s="1282"/>
      <c r="C78" s="1282"/>
      <c r="D78" s="1282"/>
      <c r="E78" s="1282"/>
      <c r="F78" s="1282"/>
      <c r="G78" s="1282"/>
      <c r="H78" s="1282"/>
      <c r="I78" s="1282"/>
      <c r="J78" s="1282"/>
    </row>
    <row r="79" spans="1:10" ht="12.5"/>
    <row r="80" spans="1:10" ht="12.5">
      <c r="A80" s="402" t="s">
        <v>1187</v>
      </c>
    </row>
    <row r="81" spans="1:9" ht="12.5"/>
    <row r="82" spans="1:9" ht="12.5"/>
    <row r="83" spans="1:9" ht="12.5"/>
    <row r="84" spans="1:9" ht="12.5"/>
    <row r="85" spans="1:9" ht="12.5"/>
    <row r="86" spans="1:9" ht="12.5"/>
    <row r="87" spans="1:9" ht="12.5"/>
    <row r="88" spans="1:9" ht="12.5"/>
    <row r="89" spans="1:9" ht="13">
      <c r="A89" s="1283" t="s">
        <v>1842</v>
      </c>
      <c r="B89" s="1283"/>
      <c r="C89" s="1283"/>
      <c r="D89" s="1283"/>
      <c r="E89" s="1283"/>
      <c r="F89" s="1283"/>
      <c r="G89" s="1283"/>
      <c r="H89" s="1283"/>
      <c r="I89" s="1283"/>
    </row>
    <row r="90" spans="1:9" ht="12.5">
      <c r="A90" s="1273" t="s">
        <v>2002</v>
      </c>
      <c r="B90" s="1273"/>
      <c r="C90" s="1273"/>
      <c r="D90" s="1273"/>
      <c r="E90" s="1273"/>
    </row>
    <row r="91" spans="1:9" ht="12.5">
      <c r="A91" s="1273" t="s">
        <v>2003</v>
      </c>
      <c r="B91" s="1273"/>
      <c r="C91" s="1273"/>
      <c r="D91" s="1273"/>
      <c r="E91" s="1273"/>
    </row>
    <row r="92" spans="1:9" ht="12.5">
      <c r="A92" s="1273" t="s">
        <v>1843</v>
      </c>
      <c r="B92" s="1273"/>
      <c r="C92" s="1273"/>
      <c r="D92" s="1273"/>
      <c r="E92" s="1273"/>
    </row>
    <row r="93" spans="1:9" ht="12.5"/>
    <row r="94" spans="1:9" ht="12.5" hidden="1"/>
    <row r="95" spans="1:9" ht="12.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1102" workbookViewId="0">
      <selection activeCell="D1037" sqref="D1037:F1037"/>
    </sheetView>
  </sheetViews>
  <sheetFormatPr defaultColWidth="0" defaultRowHeight="13" zeroHeight="1"/>
  <cols>
    <col min="1" max="1" width="3.54296875" style="480" customWidth="1"/>
    <col min="2" max="2" width="13.54296875" style="480" customWidth="1"/>
    <col min="3" max="3" width="2.54296875" style="480" customWidth="1"/>
    <col min="4" max="5" width="3.54296875" style="402" customWidth="1"/>
    <col min="6" max="6" width="65.54296875" style="402" customWidth="1"/>
    <col min="7" max="7" width="1.54296875" style="402" customWidth="1"/>
    <col min="8" max="8" width="3.54296875" style="402" customWidth="1"/>
    <col min="9" max="9" width="9.1796875" style="404" customWidth="1"/>
    <col min="10" max="13" width="8.81640625" style="402" hidden="1" customWidth="1"/>
    <col min="14" max="16384" width="0" style="402" hidden="1"/>
  </cols>
  <sheetData>
    <row r="1" spans="1:13"/>
    <row r="2" spans="1:13">
      <c r="A2" s="1288" t="s">
        <v>2603</v>
      </c>
      <c r="B2" s="1288"/>
      <c r="C2" s="1288"/>
      <c r="D2" s="1288"/>
      <c r="E2" s="1288"/>
      <c r="F2" s="1288"/>
      <c r="G2" s="1288"/>
      <c r="H2" s="1288"/>
      <c r="I2" s="1288"/>
    </row>
    <row r="3" spans="1:13">
      <c r="A3" s="1289" t="s">
        <v>2171</v>
      </c>
      <c r="B3" s="1289"/>
      <c r="C3" s="1289"/>
      <c r="D3" s="1289"/>
      <c r="E3" s="1289"/>
      <c r="F3" s="1289"/>
      <c r="G3" s="1289"/>
      <c r="H3" s="1289"/>
      <c r="I3" s="1289"/>
    </row>
    <row r="4" spans="1:13">
      <c r="A4" s="1289"/>
      <c r="B4" s="1289"/>
      <c r="C4" s="1285"/>
      <c r="D4" s="1285"/>
      <c r="E4" s="1285"/>
      <c r="F4" s="1285"/>
      <c r="G4" s="1285"/>
    </row>
    <row r="5" spans="1:13">
      <c r="A5" s="1289"/>
      <c r="B5" s="1289"/>
      <c r="C5" s="1285"/>
      <c r="D5" s="1285"/>
      <c r="E5" s="1285"/>
      <c r="F5" s="1285"/>
      <c r="G5" s="1285"/>
    </row>
    <row r="6" spans="1:13" ht="12.75" customHeight="1">
      <c r="A6" s="1311" t="s">
        <v>2170</v>
      </c>
      <c r="B6" s="1311"/>
      <c r="C6" s="1311"/>
      <c r="D6" s="1311"/>
      <c r="E6" s="1311"/>
      <c r="F6" s="1311"/>
      <c r="G6" s="1311"/>
      <c r="I6" s="490"/>
    </row>
    <row r="7" spans="1:13">
      <c r="A7" s="1311"/>
      <c r="B7" s="1311"/>
      <c r="C7" s="1311"/>
      <c r="D7" s="1311"/>
      <c r="E7" s="1311"/>
      <c r="F7" s="1311"/>
      <c r="G7" s="1311"/>
      <c r="I7" s="490"/>
    </row>
    <row r="8" spans="1:13">
      <c r="A8" s="481"/>
      <c r="B8" s="481"/>
      <c r="C8" s="482"/>
      <c r="D8" s="482"/>
      <c r="E8" s="482"/>
      <c r="F8" s="482"/>
    </row>
    <row r="9" spans="1:13">
      <c r="A9" s="1293" t="s">
        <v>1099</v>
      </c>
      <c r="B9" s="1293"/>
      <c r="C9" s="1293"/>
      <c r="D9" s="1293"/>
      <c r="E9" s="1293"/>
      <c r="F9" s="1293"/>
      <c r="G9" s="1293"/>
      <c r="H9" s="1023"/>
      <c r="I9" s="1024"/>
    </row>
    <row r="10" spans="1:13">
      <c r="A10" s="482"/>
      <c r="B10" s="482"/>
      <c r="E10" s="404"/>
    </row>
    <row r="11" spans="1:13" ht="13.75" customHeight="1">
      <c r="C11" s="482"/>
      <c r="D11" s="1310" t="s">
        <v>1098</v>
      </c>
      <c r="E11" s="1310"/>
      <c r="F11" s="1310"/>
    </row>
    <row r="12" spans="1:13">
      <c r="C12" s="482"/>
      <c r="D12" s="1310"/>
      <c r="E12" s="1310"/>
      <c r="F12" s="1310"/>
    </row>
    <row r="13" spans="1:13">
      <c r="A13" s="483"/>
      <c r="B13" s="483"/>
      <c r="C13" s="483"/>
      <c r="D13" s="1291" t="s">
        <v>1088</v>
      </c>
      <c r="E13" s="1291"/>
      <c r="F13" s="1291"/>
      <c r="M13" s="96"/>
    </row>
    <row r="14" spans="1:13">
      <c r="A14" s="483"/>
      <c r="B14" s="483"/>
      <c r="C14" s="483"/>
      <c r="D14" s="476"/>
      <c r="L14" s="312"/>
    </row>
    <row r="15" spans="1:13">
      <c r="A15" s="484"/>
      <c r="B15" s="485" t="s">
        <v>2642</v>
      </c>
      <c r="C15" s="483"/>
      <c r="D15" s="1290" t="s">
        <v>1893</v>
      </c>
      <c r="E15" s="1290"/>
      <c r="F15" s="1290"/>
      <c r="I15" s="490"/>
    </row>
    <row r="16" spans="1:13">
      <c r="A16" s="483"/>
      <c r="B16" s="483"/>
      <c r="C16" s="483"/>
      <c r="D16" s="1290"/>
      <c r="E16" s="1290"/>
      <c r="F16" s="1290"/>
      <c r="I16" s="490"/>
    </row>
    <row r="17" spans="1:9">
      <c r="A17" s="483"/>
      <c r="B17" s="483"/>
      <c r="C17" s="483"/>
      <c r="D17" s="1290"/>
      <c r="E17" s="1290"/>
      <c r="F17" s="1290"/>
      <c r="I17" s="490"/>
    </row>
    <row r="18" spans="1:9">
      <c r="A18" s="483"/>
      <c r="B18" s="483"/>
      <c r="C18" s="483"/>
      <c r="D18" s="445"/>
      <c r="E18" s="312" t="s">
        <v>1891</v>
      </c>
      <c r="F18" s="445"/>
      <c r="I18" s="490"/>
    </row>
    <row r="19" spans="1:9">
      <c r="A19" s="483"/>
      <c r="B19" s="483"/>
      <c r="C19" s="483"/>
      <c r="I19" s="490"/>
    </row>
    <row r="20" spans="1:9">
      <c r="A20" s="484"/>
      <c r="B20" s="485" t="s">
        <v>2642</v>
      </c>
      <c r="D20" s="1290" t="s">
        <v>1894</v>
      </c>
      <c r="E20" s="1290"/>
      <c r="F20" s="1290"/>
      <c r="I20" s="490"/>
    </row>
    <row r="21" spans="1:9">
      <c r="A21" s="484"/>
      <c r="D21" s="1290"/>
      <c r="E21" s="1290"/>
      <c r="F21" s="1290"/>
      <c r="I21" s="490"/>
    </row>
    <row r="22" spans="1:9">
      <c r="A22" s="484"/>
      <c r="D22" s="392"/>
      <c r="E22" s="96" t="s">
        <v>1890</v>
      </c>
      <c r="F22" s="392"/>
      <c r="I22" s="490"/>
    </row>
    <row r="23" spans="1:9">
      <c r="A23" s="484"/>
      <c r="B23" s="484"/>
      <c r="D23" s="446"/>
      <c r="I23" s="490"/>
    </row>
    <row r="24" spans="1:9">
      <c r="A24" s="484"/>
      <c r="B24" s="485" t="s">
        <v>2643</v>
      </c>
      <c r="D24" s="1290" t="s">
        <v>1089</v>
      </c>
      <c r="E24" s="1290"/>
      <c r="F24" s="1290"/>
      <c r="I24" s="490"/>
    </row>
    <row r="25" spans="1:9">
      <c r="A25" s="484"/>
      <c r="B25" s="484"/>
      <c r="D25" s="1290"/>
      <c r="E25" s="1290"/>
      <c r="F25" s="1290"/>
      <c r="I25" s="490"/>
    </row>
    <row r="26" spans="1:9">
      <c r="I26" s="490"/>
    </row>
    <row r="27" spans="1:9">
      <c r="A27" s="484"/>
      <c r="B27" s="485" t="s">
        <v>2642</v>
      </c>
      <c r="D27" s="1290" t="s">
        <v>2005</v>
      </c>
      <c r="E27" s="1290"/>
      <c r="F27" s="1290"/>
      <c r="I27" s="490"/>
    </row>
    <row r="28" spans="1:9">
      <c r="D28" s="1290"/>
      <c r="E28" s="1290"/>
      <c r="F28" s="1290"/>
      <c r="I28" s="490"/>
    </row>
    <row r="29" spans="1:9">
      <c r="D29" s="1290"/>
      <c r="E29" s="1290"/>
      <c r="F29" s="1290"/>
      <c r="I29" s="490"/>
    </row>
    <row r="30" spans="1:9">
      <c r="D30" s="1290"/>
      <c r="E30" s="1290"/>
      <c r="F30" s="1290"/>
      <c r="I30" s="490"/>
    </row>
    <row r="31" spans="1:9">
      <c r="D31" s="1290"/>
      <c r="E31" s="1290"/>
      <c r="F31" s="1290"/>
      <c r="I31" s="490"/>
    </row>
    <row r="32" spans="1:9">
      <c r="D32" s="447"/>
      <c r="I32" s="490"/>
    </row>
    <row r="33" spans="1:9">
      <c r="B33" s="485" t="s">
        <v>2643</v>
      </c>
      <c r="D33" s="1290" t="s">
        <v>2006</v>
      </c>
      <c r="E33" s="1290"/>
      <c r="F33" s="1290"/>
      <c r="I33" s="490"/>
    </row>
    <row r="34" spans="1:9">
      <c r="D34" s="1290"/>
      <c r="E34" s="1290"/>
      <c r="F34" s="1290"/>
      <c r="I34" s="490"/>
    </row>
    <row r="35" spans="1:9">
      <c r="A35" s="484"/>
      <c r="B35" s="484"/>
      <c r="D35" s="447"/>
      <c r="I35" s="490"/>
    </row>
    <row r="36" spans="1:9" ht="14.5" customHeight="1">
      <c r="A36" s="484"/>
      <c r="B36" s="485" t="s">
        <v>2643</v>
      </c>
      <c r="D36" s="1290" t="s">
        <v>1212</v>
      </c>
      <c r="E36" s="1290"/>
      <c r="F36" s="1290"/>
      <c r="I36" s="490"/>
    </row>
    <row r="37" spans="1:9">
      <c r="A37" s="484"/>
      <c r="B37" s="484"/>
      <c r="D37" s="1290"/>
      <c r="E37" s="1290"/>
      <c r="F37" s="1290"/>
      <c r="I37" s="490"/>
    </row>
    <row r="38" spans="1:9">
      <c r="A38" s="484"/>
      <c r="B38" s="484"/>
      <c r="D38" s="1290"/>
      <c r="E38" s="1290"/>
      <c r="F38" s="1290"/>
      <c r="I38" s="490"/>
    </row>
    <row r="39" spans="1:9">
      <c r="A39" s="484"/>
      <c r="B39" s="484"/>
      <c r="D39" s="1290"/>
      <c r="E39" s="1290"/>
      <c r="F39" s="1290"/>
      <c r="I39" s="490"/>
    </row>
    <row r="40" spans="1:9">
      <c r="A40" s="484"/>
      <c r="B40" s="484"/>
      <c r="I40" s="490"/>
    </row>
    <row r="41" spans="1:9">
      <c r="A41" s="484"/>
      <c r="B41" s="485" t="s">
        <v>2643</v>
      </c>
      <c r="D41" s="1290" t="s">
        <v>1090</v>
      </c>
      <c r="E41" s="1290"/>
      <c r="F41" s="1290"/>
      <c r="I41" s="490"/>
    </row>
    <row r="42" spans="1:9">
      <c r="A42" s="484"/>
      <c r="B42" s="484"/>
      <c r="D42" s="1290"/>
      <c r="E42" s="1290"/>
      <c r="F42" s="1290"/>
      <c r="I42" s="490"/>
    </row>
    <row r="43" spans="1:9">
      <c r="A43" s="484"/>
      <c r="B43" s="484"/>
      <c r="D43" s="1290"/>
      <c r="E43" s="1290"/>
      <c r="F43" s="1290"/>
      <c r="I43" s="490"/>
    </row>
    <row r="44" spans="1:9">
      <c r="A44" s="484"/>
      <c r="B44" s="484"/>
      <c r="D44" s="1290"/>
      <c r="E44" s="1290"/>
      <c r="F44" s="1290"/>
      <c r="I44" s="490"/>
    </row>
    <row r="45" spans="1:9">
      <c r="A45" s="484"/>
      <c r="B45" s="484"/>
      <c r="D45" s="1290"/>
      <c r="E45" s="1290"/>
      <c r="F45" s="1290"/>
      <c r="I45" s="490"/>
    </row>
    <row r="46" spans="1:9">
      <c r="A46" s="484"/>
      <c r="B46" s="484"/>
      <c r="D46" s="445"/>
      <c r="E46" s="445"/>
      <c r="F46" s="445"/>
      <c r="I46" s="490"/>
    </row>
    <row r="47" spans="1:9">
      <c r="A47" s="484"/>
      <c r="B47" s="485" t="s">
        <v>2643</v>
      </c>
      <c r="D47" s="1290" t="s">
        <v>1091</v>
      </c>
      <c r="E47" s="1290"/>
      <c r="F47" s="1290"/>
      <c r="I47" s="490"/>
    </row>
    <row r="48" spans="1:9">
      <c r="A48" s="484"/>
      <c r="B48" s="484"/>
      <c r="D48" s="1290"/>
      <c r="E48" s="1290"/>
      <c r="F48" s="1290"/>
      <c r="I48" s="490"/>
    </row>
    <row r="49" spans="1:9">
      <c r="A49" s="484"/>
      <c r="B49" s="484"/>
      <c r="D49" s="1290"/>
      <c r="E49" s="1290"/>
      <c r="F49" s="1290"/>
      <c r="I49" s="490"/>
    </row>
    <row r="50" spans="1:9" ht="23.25" customHeight="1">
      <c r="A50" s="484"/>
      <c r="B50" s="484"/>
      <c r="D50" s="1290"/>
      <c r="E50" s="1290"/>
      <c r="F50" s="1290"/>
      <c r="I50" s="490"/>
    </row>
    <row r="51" spans="1:9">
      <c r="A51" s="484"/>
      <c r="B51" s="484"/>
      <c r="D51" s="446"/>
      <c r="I51" s="490"/>
    </row>
    <row r="52" spans="1:9" ht="14.5" customHeight="1">
      <c r="A52" s="484"/>
      <c r="B52" s="485" t="s">
        <v>2643</v>
      </c>
      <c r="D52" s="1290" t="s">
        <v>1092</v>
      </c>
      <c r="E52" s="1290"/>
      <c r="F52" s="1290"/>
      <c r="I52" s="490"/>
    </row>
    <row r="53" spans="1:9">
      <c r="A53" s="484"/>
      <c r="B53" s="484"/>
      <c r="D53" s="1290"/>
      <c r="E53" s="1290"/>
      <c r="F53" s="1290"/>
      <c r="I53" s="490"/>
    </row>
    <row r="54" spans="1:9">
      <c r="A54" s="484"/>
      <c r="B54" s="484"/>
      <c r="D54" s="1290"/>
      <c r="E54" s="1290"/>
      <c r="F54" s="1290"/>
      <c r="I54" s="490"/>
    </row>
    <row r="55" spans="1:9">
      <c r="A55" s="484"/>
      <c r="B55" s="484"/>
      <c r="I55" s="490"/>
    </row>
    <row r="56" spans="1:9">
      <c r="A56" s="484"/>
      <c r="B56" s="485" t="s">
        <v>2642</v>
      </c>
      <c r="D56" s="1312" t="s">
        <v>1093</v>
      </c>
      <c r="E56" s="1312"/>
      <c r="F56" s="1312"/>
      <c r="I56" s="490"/>
    </row>
    <row r="57" spans="1:9">
      <c r="A57" s="484"/>
      <c r="B57" s="484"/>
      <c r="D57" s="1312"/>
      <c r="E57" s="1312"/>
      <c r="F57" s="1312"/>
      <c r="I57" s="490"/>
    </row>
    <row r="58" spans="1:9">
      <c r="A58" s="484"/>
      <c r="B58" s="484"/>
      <c r="D58" s="392" t="s">
        <v>1892</v>
      </c>
      <c r="E58" s="445"/>
      <c r="F58" s="445"/>
      <c r="I58" s="490"/>
    </row>
    <row r="59" spans="1:9">
      <c r="A59" s="484"/>
      <c r="B59" s="484"/>
      <c r="D59" s="445"/>
      <c r="E59" s="312" t="s">
        <v>1891</v>
      </c>
      <c r="F59" s="445"/>
      <c r="I59" s="490"/>
    </row>
    <row r="60" spans="1:9">
      <c r="D60" s="447"/>
      <c r="I60" s="490"/>
    </row>
    <row r="61" spans="1:9">
      <c r="A61" s="484"/>
      <c r="B61" s="485" t="s">
        <v>2643</v>
      </c>
      <c r="D61" s="1290" t="s">
        <v>1094</v>
      </c>
      <c r="E61" s="1290"/>
      <c r="F61" s="1290"/>
      <c r="I61" s="490"/>
    </row>
    <row r="62" spans="1:9">
      <c r="D62" s="1290"/>
      <c r="E62" s="1290"/>
      <c r="F62" s="1290"/>
      <c r="I62" s="490"/>
    </row>
    <row r="63" spans="1:9">
      <c r="D63" s="1290"/>
      <c r="E63" s="1290"/>
      <c r="F63" s="1290"/>
      <c r="I63" s="490"/>
    </row>
    <row r="64" spans="1:9">
      <c r="I64" s="490"/>
    </row>
    <row r="65" spans="1:9">
      <c r="A65" s="484"/>
      <c r="B65" s="485" t="s">
        <v>2643</v>
      </c>
      <c r="D65" s="1290" t="s">
        <v>1095</v>
      </c>
      <c r="E65" s="1290"/>
      <c r="F65" s="1290"/>
      <c r="I65" s="490"/>
    </row>
    <row r="66" spans="1:9">
      <c r="D66" s="1290"/>
      <c r="E66" s="1290"/>
      <c r="F66" s="1290"/>
      <c r="I66" s="490"/>
    </row>
    <row r="67" spans="1:9">
      <c r="I67" s="490"/>
    </row>
    <row r="68" spans="1:9">
      <c r="A68" s="484"/>
      <c r="B68" s="485" t="s">
        <v>2642</v>
      </c>
      <c r="D68" s="1290" t="s">
        <v>1096</v>
      </c>
      <c r="E68" s="1290"/>
      <c r="F68" s="1290"/>
      <c r="I68" s="490"/>
    </row>
    <row r="69" spans="1:9">
      <c r="D69" s="1290"/>
      <c r="E69" s="1290"/>
      <c r="F69" s="1290"/>
      <c r="I69" s="490"/>
    </row>
    <row r="70" spans="1:9">
      <c r="D70" s="1290"/>
      <c r="E70" s="1290"/>
      <c r="F70" s="1290"/>
      <c r="I70" s="490"/>
    </row>
    <row r="71" spans="1:9">
      <c r="I71" s="490"/>
    </row>
    <row r="72" spans="1:9">
      <c r="A72" s="484"/>
      <c r="B72" s="485" t="s">
        <v>2643</v>
      </c>
      <c r="D72" s="1290" t="s">
        <v>1097</v>
      </c>
      <c r="E72" s="1290"/>
      <c r="F72" s="1290"/>
      <c r="I72" s="490"/>
    </row>
    <row r="73" spans="1:9">
      <c r="D73" s="1290"/>
      <c r="E73" s="1290"/>
      <c r="F73" s="1290"/>
      <c r="I73" s="490"/>
    </row>
    <row r="74" spans="1:9">
      <c r="A74" s="484"/>
      <c r="B74" s="484"/>
      <c r="D74" s="446"/>
      <c r="I74" s="490"/>
    </row>
    <row r="75" spans="1:9">
      <c r="A75" s="1293" t="s">
        <v>1042</v>
      </c>
      <c r="B75" s="1293"/>
      <c r="C75" s="1293"/>
      <c r="D75" s="1293"/>
      <c r="E75" s="1293"/>
      <c r="F75" s="1293"/>
      <c r="G75" s="1293"/>
      <c r="H75" s="1023"/>
      <c r="I75" s="1147"/>
    </row>
    <row r="76" spans="1:9">
      <c r="I76" s="490"/>
    </row>
    <row r="77" spans="1:9">
      <c r="C77" s="486"/>
      <c r="D77" s="1292" t="s">
        <v>1100</v>
      </c>
      <c r="E77" s="1292"/>
      <c r="F77" s="1292"/>
      <c r="I77" s="490"/>
    </row>
    <row r="78" spans="1:9">
      <c r="A78" s="446"/>
      <c r="B78" s="446"/>
      <c r="D78" s="1290" t="s">
        <v>1115</v>
      </c>
      <c r="E78" s="1290"/>
      <c r="F78" s="1290"/>
      <c r="I78" s="490"/>
    </row>
    <row r="79" spans="1:9">
      <c r="A79" s="446"/>
      <c r="B79" s="446"/>
      <c r="I79" s="490"/>
    </row>
    <row r="80" spans="1:9" ht="13.75" customHeight="1">
      <c r="A80" s="484"/>
      <c r="B80" s="485" t="s">
        <v>2642</v>
      </c>
      <c r="D80" s="1290" t="s">
        <v>1243</v>
      </c>
      <c r="E80" s="1290"/>
      <c r="F80" s="1290"/>
      <c r="I80" s="490"/>
    </row>
    <row r="81" spans="1:9">
      <c r="A81" s="484"/>
      <c r="B81" s="484"/>
      <c r="D81" s="1290"/>
      <c r="E81" s="1290"/>
      <c r="F81" s="1290"/>
      <c r="I81" s="490"/>
    </row>
    <row r="82" spans="1:9">
      <c r="A82" s="484"/>
      <c r="B82" s="484"/>
      <c r="D82" s="1290"/>
      <c r="E82" s="1290"/>
      <c r="F82" s="1290"/>
      <c r="I82" s="490"/>
    </row>
    <row r="83" spans="1:9">
      <c r="A83" s="484"/>
      <c r="B83" s="484"/>
      <c r="D83" s="1290"/>
      <c r="E83" s="1290"/>
      <c r="F83" s="1290"/>
      <c r="I83" s="490"/>
    </row>
    <row r="84" spans="1:9">
      <c r="A84" s="484"/>
      <c r="B84" s="484"/>
      <c r="D84" s="1290"/>
      <c r="E84" s="1290"/>
      <c r="F84" s="1290"/>
      <c r="I84" s="490"/>
    </row>
    <row r="85" spans="1:9">
      <c r="A85" s="484"/>
      <c r="B85" s="484"/>
      <c r="D85" s="1290"/>
      <c r="E85" s="1290"/>
      <c r="F85" s="1290"/>
      <c r="I85" s="490"/>
    </row>
    <row r="86" spans="1:9">
      <c r="A86" s="484"/>
      <c r="B86" s="484"/>
      <c r="D86" s="1290"/>
      <c r="E86" s="1290"/>
      <c r="F86" s="1290"/>
      <c r="I86" s="490"/>
    </row>
    <row r="87" spans="1:9">
      <c r="A87" s="484"/>
      <c r="B87" s="484"/>
      <c r="D87" s="1290"/>
      <c r="E87" s="1290"/>
      <c r="F87" s="1290"/>
      <c r="I87" s="490"/>
    </row>
    <row r="88" spans="1:9">
      <c r="A88" s="484"/>
      <c r="B88" s="484"/>
      <c r="D88" s="385"/>
      <c r="E88" s="385"/>
      <c r="F88" s="385"/>
      <c r="I88" s="490"/>
    </row>
    <row r="89" spans="1:9" ht="15" customHeight="1">
      <c r="A89" s="484"/>
      <c r="B89" s="485" t="s">
        <v>2642</v>
      </c>
      <c r="D89" s="1290" t="s">
        <v>1729</v>
      </c>
      <c r="E89" s="1290"/>
      <c r="F89" s="1290"/>
      <c r="I89" s="490"/>
    </row>
    <row r="90" spans="1:9">
      <c r="A90" s="484"/>
      <c r="B90" s="484"/>
      <c r="D90" s="1290"/>
      <c r="E90" s="1290"/>
      <c r="F90" s="1290"/>
      <c r="I90" s="490"/>
    </row>
    <row r="91" spans="1:9">
      <c r="A91" s="484"/>
      <c r="B91" s="484"/>
      <c r="D91" s="445"/>
      <c r="E91" s="445"/>
      <c r="F91" s="445"/>
      <c r="I91" s="490"/>
    </row>
    <row r="92" spans="1:9">
      <c r="A92" s="484"/>
      <c r="B92" s="485" t="s">
        <v>2642</v>
      </c>
      <c r="D92" s="1290" t="s">
        <v>1732</v>
      </c>
      <c r="E92" s="1290"/>
      <c r="F92" s="1290"/>
      <c r="I92" s="490"/>
    </row>
    <row r="93" spans="1:9">
      <c r="A93" s="484"/>
      <c r="B93" s="484"/>
      <c r="D93" s="1290"/>
      <c r="E93" s="1290"/>
      <c r="F93" s="1290"/>
      <c r="I93" s="490"/>
    </row>
    <row r="94" spans="1:9">
      <c r="A94" s="484"/>
      <c r="B94" s="484"/>
      <c r="D94" s="1290"/>
      <c r="E94" s="1290"/>
      <c r="F94" s="1290"/>
      <c r="I94" s="490"/>
    </row>
    <row r="95" spans="1:9">
      <c r="A95" s="484"/>
      <c r="B95" s="484"/>
      <c r="D95" s="445"/>
      <c r="E95" s="445"/>
      <c r="F95" s="445"/>
      <c r="I95" s="490"/>
    </row>
    <row r="96" spans="1:9">
      <c r="A96" s="484"/>
      <c r="B96" s="485" t="s">
        <v>2642</v>
      </c>
      <c r="D96" s="1290" t="s">
        <v>1731</v>
      </c>
      <c r="E96" s="1290"/>
      <c r="F96" s="1290"/>
      <c r="I96" s="490"/>
    </row>
    <row r="97" spans="1:9" s="982" customFormat="1">
      <c r="A97" s="980"/>
      <c r="B97" s="980"/>
      <c r="C97" s="981"/>
      <c r="D97" s="1290"/>
      <c r="E97" s="1290"/>
      <c r="F97" s="1290"/>
      <c r="I97" s="1148"/>
    </row>
    <row r="98" spans="1:9">
      <c r="A98" s="484"/>
      <c r="B98" s="484"/>
      <c r="D98" s="392"/>
      <c r="E98" s="312" t="s">
        <v>1895</v>
      </c>
      <c r="F98" s="445"/>
      <c r="I98" s="490"/>
    </row>
    <row r="99" spans="1:9">
      <c r="A99" s="484"/>
      <c r="B99" s="484"/>
      <c r="D99" s="385"/>
      <c r="E99" s="385"/>
      <c r="F99" s="385"/>
      <c r="I99" s="490"/>
    </row>
    <row r="100" spans="1:9">
      <c r="A100" s="484"/>
      <c r="B100" s="485" t="s">
        <v>2643</v>
      </c>
      <c r="D100" s="1290" t="s">
        <v>1730</v>
      </c>
      <c r="E100" s="1290"/>
      <c r="F100" s="1290"/>
      <c r="I100" s="490"/>
    </row>
    <row r="101" spans="1:9">
      <c r="A101" s="484"/>
      <c r="B101" s="484"/>
      <c r="D101" s="1290"/>
      <c r="E101" s="1290"/>
      <c r="F101" s="1290"/>
      <c r="I101" s="490"/>
    </row>
    <row r="102" spans="1:9">
      <c r="A102" s="484"/>
      <c r="B102" s="484"/>
      <c r="D102" s="445"/>
      <c r="E102" s="445"/>
      <c r="F102" s="445"/>
      <c r="I102" s="490"/>
    </row>
    <row r="103" spans="1:9" ht="14.5" customHeight="1">
      <c r="A103" s="484"/>
      <c r="B103" s="485" t="s">
        <v>2643</v>
      </c>
      <c r="D103" s="1290" t="s">
        <v>1192</v>
      </c>
      <c r="E103" s="1290"/>
      <c r="F103" s="1290"/>
      <c r="I103" s="490"/>
    </row>
    <row r="104" spans="1:9">
      <c r="A104" s="484"/>
      <c r="B104" s="484"/>
      <c r="D104" s="1290"/>
      <c r="E104" s="1290"/>
      <c r="F104" s="1290"/>
      <c r="I104" s="490"/>
    </row>
    <row r="105" spans="1:9">
      <c r="A105" s="484"/>
      <c r="B105" s="484"/>
      <c r="D105" s="1290"/>
      <c r="E105" s="1290"/>
      <c r="F105" s="1290"/>
      <c r="I105" s="490"/>
    </row>
    <row r="106" spans="1:9">
      <c r="A106" s="484"/>
      <c r="B106" s="484"/>
      <c r="D106" s="1290"/>
      <c r="E106" s="1290"/>
      <c r="F106" s="1290"/>
      <c r="I106" s="490"/>
    </row>
    <row r="107" spans="1:9">
      <c r="A107" s="484"/>
      <c r="B107" s="484"/>
      <c r="D107" s="1290"/>
      <c r="E107" s="1290"/>
      <c r="F107" s="1290"/>
      <c r="I107" s="490"/>
    </row>
    <row r="108" spans="1:9">
      <c r="A108" s="484"/>
      <c r="B108" s="484"/>
      <c r="D108" s="1290"/>
      <c r="E108" s="1290"/>
      <c r="F108" s="1290"/>
      <c r="I108" s="490"/>
    </row>
    <row r="109" spans="1:9">
      <c r="A109" s="484"/>
      <c r="B109" s="484"/>
      <c r="D109" s="1290"/>
      <c r="E109" s="1290"/>
      <c r="F109" s="1290"/>
      <c r="I109" s="490"/>
    </row>
    <row r="110" spans="1:9">
      <c r="A110" s="484"/>
      <c r="B110" s="484"/>
      <c r="D110" s="1290"/>
      <c r="E110" s="1290"/>
      <c r="F110" s="1290"/>
      <c r="I110" s="490"/>
    </row>
    <row r="111" spans="1:9">
      <c r="A111" s="484"/>
      <c r="B111" s="484"/>
      <c r="D111" s="1290"/>
      <c r="E111" s="1290"/>
      <c r="F111" s="1290"/>
      <c r="I111" s="490"/>
    </row>
    <row r="112" spans="1:9">
      <c r="A112" s="484"/>
      <c r="B112" s="484"/>
      <c r="D112" s="1290"/>
      <c r="E112" s="1290"/>
      <c r="F112" s="1290"/>
      <c r="I112" s="490"/>
    </row>
    <row r="113" spans="1:9">
      <c r="A113" s="484"/>
      <c r="B113" s="484"/>
      <c r="D113" s="1290"/>
      <c r="E113" s="1290"/>
      <c r="F113" s="1290"/>
      <c r="I113" s="490"/>
    </row>
    <row r="114" spans="1:9">
      <c r="A114" s="484"/>
      <c r="B114" s="484"/>
      <c r="D114" s="1290"/>
      <c r="E114" s="1290"/>
      <c r="F114" s="1290"/>
      <c r="I114" s="490"/>
    </row>
    <row r="115" spans="1:9">
      <c r="A115" s="484"/>
      <c r="B115" s="484"/>
      <c r="D115" s="1290"/>
      <c r="E115" s="1290"/>
      <c r="F115" s="1290"/>
      <c r="I115" s="490"/>
    </row>
    <row r="116" spans="1:9">
      <c r="A116" s="484"/>
      <c r="B116" s="484"/>
      <c r="D116" s="1290"/>
      <c r="E116" s="1290"/>
      <c r="F116" s="1290"/>
      <c r="I116" s="490"/>
    </row>
    <row r="117" spans="1:9">
      <c r="A117" s="484"/>
      <c r="B117" s="484"/>
      <c r="D117" s="1290"/>
      <c r="E117" s="1290"/>
      <c r="F117" s="1290"/>
      <c r="I117" s="490"/>
    </row>
    <row r="118" spans="1:9">
      <c r="A118" s="484"/>
      <c r="B118" s="484"/>
      <c r="D118" s="524"/>
      <c r="E118" s="524"/>
      <c r="F118" s="524"/>
      <c r="I118" s="490"/>
    </row>
    <row r="119" spans="1:9" ht="14.25" customHeight="1">
      <c r="A119" s="484"/>
      <c r="B119" s="485" t="s">
        <v>2643</v>
      </c>
      <c r="D119" s="1308" t="s">
        <v>1101</v>
      </c>
      <c r="E119" s="1308"/>
      <c r="F119" s="1308"/>
      <c r="I119" s="490"/>
    </row>
    <row r="120" spans="1:9">
      <c r="A120" s="484"/>
      <c r="B120" s="484"/>
      <c r="D120" s="1308"/>
      <c r="E120" s="1308"/>
      <c r="F120" s="1308"/>
      <c r="I120" s="490"/>
    </row>
    <row r="121" spans="1:9">
      <c r="A121" s="484"/>
      <c r="B121" s="484"/>
      <c r="D121" s="1308"/>
      <c r="E121" s="1308"/>
      <c r="F121" s="1308"/>
      <c r="I121" s="490"/>
    </row>
    <row r="122" spans="1:9">
      <c r="A122" s="484"/>
      <c r="B122" s="484"/>
      <c r="D122" s="1308"/>
      <c r="E122" s="1308"/>
      <c r="F122" s="1308"/>
      <c r="I122" s="490"/>
    </row>
    <row r="123" spans="1:9">
      <c r="A123" s="484"/>
      <c r="B123" s="484"/>
      <c r="D123" s="1308"/>
      <c r="E123" s="1308"/>
      <c r="F123" s="1308"/>
      <c r="I123" s="490"/>
    </row>
    <row r="124" spans="1:9">
      <c r="A124" s="484"/>
      <c r="B124" s="484"/>
      <c r="D124" s="1308"/>
      <c r="E124" s="1308"/>
      <c r="F124" s="1308"/>
      <c r="I124" s="490"/>
    </row>
    <row r="125" spans="1:9">
      <c r="A125" s="484"/>
      <c r="B125" s="484"/>
      <c r="D125" s="1308"/>
      <c r="E125" s="1308"/>
      <c r="F125" s="1308"/>
      <c r="I125" s="490"/>
    </row>
    <row r="126" spans="1:9">
      <c r="A126" s="484"/>
      <c r="B126" s="484"/>
      <c r="D126" s="1308"/>
      <c r="E126" s="1308"/>
      <c r="F126" s="1308"/>
      <c r="I126" s="490"/>
    </row>
    <row r="127" spans="1:9">
      <c r="C127" s="402"/>
      <c r="D127" s="525"/>
      <c r="E127" s="525"/>
      <c r="F127" s="525"/>
      <c r="I127" s="490"/>
    </row>
    <row r="128" spans="1:9">
      <c r="A128" s="484"/>
      <c r="B128" s="485" t="s">
        <v>2642</v>
      </c>
      <c r="C128" s="402"/>
      <c r="D128" s="1308" t="s">
        <v>2007</v>
      </c>
      <c r="E128" s="1308"/>
      <c r="F128" s="1308"/>
      <c r="I128" s="490"/>
    </row>
    <row r="129" spans="1:9">
      <c r="A129" s="484"/>
      <c r="B129" s="484"/>
      <c r="C129" s="402"/>
      <c r="D129" s="1308"/>
      <c r="E129" s="1308"/>
      <c r="F129" s="1308"/>
      <c r="I129" s="490"/>
    </row>
    <row r="130" spans="1:9">
      <c r="I130" s="490"/>
    </row>
    <row r="131" spans="1:9">
      <c r="A131" s="484"/>
      <c r="B131" s="485" t="s">
        <v>2643</v>
      </c>
      <c r="D131" s="1290" t="s">
        <v>1102</v>
      </c>
      <c r="E131" s="1290"/>
      <c r="F131" s="1290"/>
      <c r="I131" s="490"/>
    </row>
    <row r="132" spans="1:9">
      <c r="D132" s="1290"/>
      <c r="E132" s="1290"/>
      <c r="F132" s="1290"/>
      <c r="I132" s="490"/>
    </row>
    <row r="133" spans="1:9">
      <c r="D133" s="1290"/>
      <c r="E133" s="1290"/>
      <c r="F133" s="1290"/>
      <c r="I133" s="490"/>
    </row>
    <row r="134" spans="1:9">
      <c r="D134" s="1290"/>
      <c r="E134" s="1290"/>
      <c r="F134" s="1290"/>
      <c r="I134" s="490"/>
    </row>
    <row r="135" spans="1:9">
      <c r="D135" s="1290"/>
      <c r="E135" s="1290"/>
      <c r="F135" s="1290"/>
      <c r="I135" s="490"/>
    </row>
    <row r="136" spans="1:9">
      <c r="I136" s="490"/>
    </row>
    <row r="137" spans="1:9">
      <c r="A137" s="484"/>
      <c r="B137" s="485" t="s">
        <v>2642</v>
      </c>
      <c r="D137" s="1290" t="s">
        <v>1103</v>
      </c>
      <c r="E137" s="1290"/>
      <c r="F137" s="1290"/>
      <c r="I137" s="490"/>
    </row>
    <row r="138" spans="1:9" s="417" customFormat="1" ht="13.75" customHeight="1">
      <c r="A138" s="488"/>
      <c r="B138" s="488"/>
      <c r="C138" s="488"/>
      <c r="D138" s="1290"/>
      <c r="E138" s="1290"/>
      <c r="F138" s="1290"/>
      <c r="I138" s="1149"/>
    </row>
    <row r="139" spans="1:9" ht="13.75" customHeight="1">
      <c r="D139" s="1290"/>
      <c r="E139" s="1290"/>
      <c r="F139" s="1290"/>
      <c r="I139" s="490"/>
    </row>
    <row r="140" spans="1:9" ht="13.75" customHeight="1">
      <c r="D140" s="1290"/>
      <c r="E140" s="1290"/>
      <c r="F140" s="1290"/>
      <c r="I140" s="490"/>
    </row>
    <row r="141" spans="1:9" ht="13.75" customHeight="1">
      <c r="D141" s="1290"/>
      <c r="E141" s="1290"/>
      <c r="F141" s="1290"/>
      <c r="I141" s="490"/>
    </row>
    <row r="142" spans="1:9" ht="13.75" customHeight="1">
      <c r="A142" s="489"/>
      <c r="B142" s="489"/>
      <c r="D142" s="1290"/>
      <c r="E142" s="1290"/>
      <c r="F142" s="1290"/>
      <c r="I142" s="490"/>
    </row>
    <row r="143" spans="1:9" ht="13.75" customHeight="1">
      <c r="D143" s="1290"/>
      <c r="E143" s="1290"/>
      <c r="F143" s="1290"/>
      <c r="I143" s="490"/>
    </row>
    <row r="144" spans="1:9" ht="13.75" customHeight="1">
      <c r="D144" s="1290"/>
      <c r="E144" s="1290"/>
      <c r="F144" s="1290"/>
      <c r="I144" s="490"/>
    </row>
    <row r="145" spans="2:9" ht="13.75" customHeight="1">
      <c r="D145" s="1290"/>
      <c r="E145" s="1290"/>
      <c r="F145" s="1290"/>
      <c r="I145" s="490"/>
    </row>
    <row r="146" spans="2:9" ht="13.75" customHeight="1">
      <c r="D146" s="1290"/>
      <c r="E146" s="1290"/>
      <c r="F146" s="1290"/>
      <c r="I146" s="490"/>
    </row>
    <row r="147" spans="2:9" ht="13.75" customHeight="1">
      <c r="D147" s="1290"/>
      <c r="E147" s="1290"/>
      <c r="F147" s="1290"/>
      <c r="I147" s="490"/>
    </row>
    <row r="148" spans="2:9" ht="13.75" customHeight="1">
      <c r="D148" s="1290"/>
      <c r="E148" s="1290"/>
      <c r="F148" s="1290"/>
      <c r="I148" s="490"/>
    </row>
    <row r="149" spans="2:9" ht="13.75" customHeight="1">
      <c r="D149" s="1290"/>
      <c r="E149" s="1290"/>
      <c r="F149" s="1290"/>
      <c r="I149" s="490"/>
    </row>
    <row r="150" spans="2:9" ht="13.75" customHeight="1">
      <c r="D150" s="476"/>
      <c r="E150" s="446"/>
      <c r="F150" s="446"/>
      <c r="I150" s="490"/>
    </row>
    <row r="151" spans="2:9" ht="13.75" customHeight="1">
      <c r="B151" s="485" t="s">
        <v>2643</v>
      </c>
      <c r="D151" s="1290" t="s">
        <v>1175</v>
      </c>
      <c r="E151" s="1290"/>
      <c r="F151" s="1290"/>
      <c r="I151" s="490"/>
    </row>
    <row r="152" spans="2:9" ht="13.75" customHeight="1">
      <c r="D152" s="1290"/>
      <c r="E152" s="1290"/>
      <c r="F152" s="1290"/>
      <c r="I152" s="490"/>
    </row>
    <row r="153" spans="2:9" ht="13.75" customHeight="1">
      <c r="D153" s="1290"/>
      <c r="E153" s="1290"/>
      <c r="F153" s="1290"/>
      <c r="I153" s="490"/>
    </row>
    <row r="154" spans="2:9" ht="13.75" customHeight="1">
      <c r="D154" s="1290"/>
      <c r="E154" s="1290"/>
      <c r="F154" s="1290"/>
      <c r="I154" s="490"/>
    </row>
    <row r="155" spans="2:9" ht="13.75" customHeight="1">
      <c r="D155" s="1290"/>
      <c r="E155" s="1290"/>
      <c r="F155" s="1290"/>
      <c r="I155" s="490"/>
    </row>
    <row r="156" spans="2:9" ht="13.75" customHeight="1">
      <c r="D156" s="1290"/>
      <c r="E156" s="1290"/>
      <c r="F156" s="1290"/>
      <c r="I156" s="490"/>
    </row>
    <row r="157" spans="2:9" ht="13.75" customHeight="1">
      <c r="D157" s="1290"/>
      <c r="E157" s="1290"/>
      <c r="F157" s="1290"/>
      <c r="I157" s="490"/>
    </row>
    <row r="158" spans="2:9" ht="13.75" customHeight="1">
      <c r="D158" s="1290"/>
      <c r="E158" s="1290"/>
      <c r="F158" s="1290"/>
      <c r="I158" s="490"/>
    </row>
    <row r="159" spans="2:9" ht="13.75" customHeight="1">
      <c r="D159" s="1290"/>
      <c r="E159" s="1290"/>
      <c r="F159" s="1290"/>
      <c r="I159" s="490"/>
    </row>
    <row r="160" spans="2:9" ht="13.75" customHeight="1">
      <c r="D160" s="1290"/>
      <c r="E160" s="1290"/>
      <c r="F160" s="1290"/>
      <c r="I160" s="490"/>
    </row>
    <row r="161" spans="1:9" ht="13.75" customHeight="1">
      <c r="D161" s="1290"/>
      <c r="E161" s="1290"/>
      <c r="F161" s="1290"/>
      <c r="I161" s="490"/>
    </row>
    <row r="162" spans="1:9" ht="13.75" customHeight="1">
      <c r="D162" s="1290"/>
      <c r="E162" s="1290"/>
      <c r="F162" s="1290"/>
      <c r="I162" s="490"/>
    </row>
    <row r="163" spans="1:9" ht="13.75" customHeight="1">
      <c r="D163" s="1290"/>
      <c r="E163" s="1290"/>
      <c r="F163" s="1290"/>
      <c r="I163" s="490"/>
    </row>
    <row r="164" spans="1:9" ht="13.75" customHeight="1">
      <c r="D164" s="1290"/>
      <c r="E164" s="1290"/>
      <c r="F164" s="1290"/>
      <c r="I164" s="490"/>
    </row>
    <row r="165" spans="1:9" ht="13.75" customHeight="1">
      <c r="D165" s="1290"/>
      <c r="E165" s="1290"/>
      <c r="F165" s="1290"/>
      <c r="I165" s="490"/>
    </row>
    <row r="166" spans="1:9" ht="13.75" customHeight="1">
      <c r="D166" s="1290"/>
      <c r="E166" s="1290"/>
      <c r="F166" s="1290"/>
      <c r="I166" s="490"/>
    </row>
    <row r="167" spans="1:9" ht="13.75" customHeight="1">
      <c r="D167" s="1290"/>
      <c r="E167" s="1290"/>
      <c r="F167" s="1290"/>
      <c r="I167" s="490"/>
    </row>
    <row r="168" spans="1:9" ht="13.75" customHeight="1">
      <c r="D168" s="1290"/>
      <c r="E168" s="1290"/>
      <c r="F168" s="1290"/>
      <c r="I168" s="490"/>
    </row>
    <row r="169" spans="1:9" ht="13.75" customHeight="1">
      <c r="D169" s="1309" t="s">
        <v>2029</v>
      </c>
      <c r="E169" s="1309"/>
      <c r="F169" s="1309"/>
      <c r="G169" s="507"/>
      <c r="I169" s="490"/>
    </row>
    <row r="170" spans="1:9" ht="13.75" customHeight="1">
      <c r="D170" s="1304"/>
      <c r="E170" s="1304"/>
      <c r="F170" s="1304"/>
      <c r="G170" s="1304"/>
      <c r="I170" s="490"/>
    </row>
    <row r="171" spans="1:9" ht="14.5" customHeight="1">
      <c r="A171" s="489"/>
      <c r="B171" s="485" t="s">
        <v>2643</v>
      </c>
      <c r="C171" s="476"/>
      <c r="D171" s="1269" t="s">
        <v>2165</v>
      </c>
      <c r="E171" s="1269"/>
      <c r="F171" s="1269"/>
      <c r="G171" s="476"/>
      <c r="I171" s="490"/>
    </row>
    <row r="172" spans="1:9" ht="14.5" customHeight="1">
      <c r="A172" s="489"/>
      <c r="B172" s="489"/>
      <c r="C172" s="476"/>
      <c r="D172" s="1269"/>
      <c r="E172" s="1269"/>
      <c r="F172" s="1269"/>
      <c r="G172" s="476"/>
      <c r="I172" s="490"/>
    </row>
    <row r="173" spans="1:9" ht="14.5" customHeight="1">
      <c r="A173" s="489"/>
      <c r="B173" s="489"/>
      <c r="C173" s="476"/>
      <c r="D173" s="1269"/>
      <c r="E173" s="1269"/>
      <c r="F173" s="1269"/>
      <c r="G173" s="476"/>
      <c r="I173" s="490"/>
    </row>
    <row r="174" spans="1:9" ht="14.5" customHeight="1">
      <c r="A174" s="489"/>
      <c r="B174" s="489"/>
      <c r="C174" s="476"/>
      <c r="D174" s="1269"/>
      <c r="E174" s="1269"/>
      <c r="F174" s="1269"/>
      <c r="G174" s="476"/>
      <c r="I174" s="490"/>
    </row>
    <row r="175" spans="1:9" ht="13.75" customHeight="1">
      <c r="A175" s="489"/>
      <c r="B175" s="489"/>
      <c r="C175" s="476"/>
      <c r="D175" s="1269"/>
      <c r="E175" s="1269"/>
      <c r="F175" s="1269"/>
      <c r="G175" s="476"/>
      <c r="I175" s="490"/>
    </row>
    <row r="176" spans="1:9" ht="13.75" customHeight="1">
      <c r="A176" s="489"/>
      <c r="B176" s="489"/>
      <c r="C176" s="476"/>
      <c r="D176" s="476"/>
      <c r="E176" s="476"/>
      <c r="F176" s="476"/>
      <c r="G176" s="476"/>
      <c r="I176" s="490"/>
    </row>
    <row r="177" spans="1:9" ht="13.75" customHeight="1">
      <c r="A177" s="489"/>
      <c r="B177" s="485" t="s">
        <v>2643</v>
      </c>
      <c r="C177" s="476"/>
      <c r="D177" s="1269" t="s">
        <v>1104</v>
      </c>
      <c r="E177" s="1269"/>
      <c r="F177" s="1269"/>
      <c r="G177" s="476"/>
      <c r="I177" s="490"/>
    </row>
    <row r="178" spans="1:9" ht="13.75" customHeight="1">
      <c r="A178" s="489"/>
      <c r="B178" s="489"/>
      <c r="C178" s="476"/>
      <c r="D178" s="1269"/>
      <c r="E178" s="1269"/>
      <c r="F178" s="1269"/>
      <c r="G178" s="476"/>
      <c r="I178" s="490"/>
    </row>
    <row r="179" spans="1:9" ht="13.75" customHeight="1">
      <c r="A179" s="489"/>
      <c r="B179" s="489"/>
      <c r="C179" s="476"/>
      <c r="D179" s="1269"/>
      <c r="E179" s="1269"/>
      <c r="F179" s="1269"/>
      <c r="G179" s="476"/>
      <c r="I179" s="490"/>
    </row>
    <row r="180" spans="1:9" ht="13.75" customHeight="1">
      <c r="A180" s="489"/>
      <c r="B180" s="489"/>
      <c r="C180" s="476"/>
      <c r="D180" s="1269"/>
      <c r="E180" s="1269"/>
      <c r="F180" s="1269"/>
      <c r="G180" s="476"/>
      <c r="I180" s="490"/>
    </row>
    <row r="181" spans="1:9" ht="13.75" customHeight="1">
      <c r="D181" s="446"/>
      <c r="E181" s="446"/>
      <c r="F181" s="446"/>
      <c r="I181" s="490"/>
    </row>
    <row r="182" spans="1:9" ht="13.75" hidden="1" customHeight="1">
      <c r="B182" s="485" t="s">
        <v>306</v>
      </c>
      <c r="D182" s="1294" t="s">
        <v>2008</v>
      </c>
      <c r="E182" s="1294"/>
      <c r="F182" s="1294"/>
      <c r="I182" s="490"/>
    </row>
    <row r="183" spans="1:9" ht="13.75" hidden="1" customHeight="1">
      <c r="D183" s="1294"/>
      <c r="E183" s="1294"/>
      <c r="F183" s="1294"/>
      <c r="I183" s="490"/>
    </row>
    <row r="184" spans="1:9" ht="13.75" hidden="1" customHeight="1">
      <c r="D184" s="1294"/>
      <c r="E184" s="1294"/>
      <c r="F184" s="1294"/>
      <c r="I184" s="490"/>
    </row>
    <row r="185" spans="1:9" ht="13.75" customHeight="1">
      <c r="A185" s="490"/>
      <c r="B185" s="490"/>
      <c r="E185" s="446"/>
      <c r="F185" s="446"/>
      <c r="I185" s="490"/>
    </row>
    <row r="186" spans="1:9">
      <c r="A186" s="1293" t="s">
        <v>2009</v>
      </c>
      <c r="B186" s="1293"/>
      <c r="C186" s="1293"/>
      <c r="D186" s="1293"/>
      <c r="E186" s="1293"/>
      <c r="F186" s="1293"/>
      <c r="G186" s="1293"/>
      <c r="H186" s="1023"/>
      <c r="I186" s="1147"/>
    </row>
    <row r="187" spans="1:9" ht="12" customHeight="1">
      <c r="D187" s="446"/>
      <c r="E187" s="446"/>
      <c r="F187" s="446"/>
      <c r="I187" s="490"/>
    </row>
    <row r="188" spans="1:9">
      <c r="B188" s="1297" t="s">
        <v>445</v>
      </c>
      <c r="C188" s="1297"/>
      <c r="D188" s="1297"/>
      <c r="E188" s="1297"/>
      <c r="F188" s="1297"/>
      <c r="I188" s="490"/>
    </row>
    <row r="189" spans="1:9">
      <c r="B189" s="392" t="s">
        <v>1847</v>
      </c>
      <c r="C189" s="392"/>
      <c r="D189" s="392"/>
      <c r="E189" s="392"/>
      <c r="F189" s="392"/>
      <c r="I189" s="490"/>
    </row>
    <row r="190" spans="1:9" ht="12" customHeight="1">
      <c r="A190" s="482"/>
      <c r="B190" s="482"/>
      <c r="C190" s="482"/>
      <c r="I190" s="490"/>
    </row>
    <row r="191" spans="1:9">
      <c r="A191" s="1293" t="s">
        <v>1043</v>
      </c>
      <c r="B191" s="1293"/>
      <c r="C191" s="1293"/>
      <c r="D191" s="1293"/>
      <c r="E191" s="1293"/>
      <c r="F191" s="1293"/>
      <c r="G191" s="1293"/>
      <c r="H191" s="1023"/>
      <c r="I191" s="1147"/>
    </row>
    <row r="192" spans="1:9" ht="12" customHeight="1">
      <c r="A192" s="404"/>
      <c r="B192" s="404"/>
      <c r="E192" s="404"/>
      <c r="I192" s="490"/>
    </row>
    <row r="193" spans="1:9" ht="13.75" customHeight="1">
      <c r="A193" s="404"/>
      <c r="B193" s="404"/>
      <c r="D193" s="1292" t="s">
        <v>1733</v>
      </c>
      <c r="E193" s="1292"/>
      <c r="F193" s="1292"/>
      <c r="I193" s="490"/>
    </row>
    <row r="194" spans="1:9">
      <c r="A194" s="404"/>
      <c r="B194" s="404"/>
      <c r="D194" s="1292"/>
      <c r="E194" s="1292"/>
      <c r="F194" s="1292"/>
      <c r="I194" s="490"/>
    </row>
    <row r="195" spans="1:9">
      <c r="A195" s="404"/>
      <c r="B195" s="404"/>
      <c r="D195" s="1297" t="s">
        <v>1193</v>
      </c>
      <c r="E195" s="1297"/>
      <c r="F195" s="1297"/>
      <c r="I195" s="490"/>
    </row>
    <row r="196" spans="1:9">
      <c r="A196" s="404"/>
      <c r="B196" s="404"/>
      <c r="D196" s="392"/>
      <c r="E196" s="392"/>
      <c r="F196" s="392"/>
      <c r="I196" s="490"/>
    </row>
    <row r="197" spans="1:9">
      <c r="A197" s="404"/>
      <c r="B197" s="485" t="s">
        <v>2642</v>
      </c>
      <c r="D197" s="1305" t="s">
        <v>1734</v>
      </c>
      <c r="E197" s="1305"/>
      <c r="F197" s="1305"/>
      <c r="I197" s="490"/>
    </row>
    <row r="198" spans="1:9">
      <c r="A198" s="404"/>
      <c r="B198" s="404"/>
      <c r="D198" s="1306" t="s">
        <v>1873</v>
      </c>
      <c r="E198" s="1306"/>
      <c r="F198" s="1306"/>
      <c r="I198" s="490"/>
    </row>
    <row r="199" spans="1:9">
      <c r="A199" s="404"/>
      <c r="B199" s="404"/>
      <c r="D199" s="96" t="s">
        <v>1735</v>
      </c>
      <c r="E199" s="1307" t="s">
        <v>1896</v>
      </c>
      <c r="F199" s="1307"/>
      <c r="I199" s="490"/>
    </row>
    <row r="200" spans="1:9">
      <c r="A200" s="404"/>
      <c r="B200" s="404"/>
      <c r="D200" s="3"/>
      <c r="E200" s="3"/>
      <c r="F200" s="3"/>
      <c r="I200" s="490"/>
    </row>
    <row r="201" spans="1:9">
      <c r="A201" s="404"/>
      <c r="B201" s="485" t="s">
        <v>2643</v>
      </c>
      <c r="D201" s="1306" t="s">
        <v>1736</v>
      </c>
      <c r="E201" s="1306"/>
      <c r="F201" s="1306"/>
      <c r="I201" s="490"/>
    </row>
    <row r="202" spans="1:9">
      <c r="A202" s="404"/>
      <c r="B202" s="404"/>
      <c r="D202" s="1305" t="s">
        <v>1873</v>
      </c>
      <c r="E202" s="1305"/>
      <c r="F202" s="1305"/>
      <c r="I202" s="490"/>
    </row>
    <row r="203" spans="1:9">
      <c r="A203" s="404"/>
      <c r="B203" s="404"/>
      <c r="D203" s="57" t="s">
        <v>1737</v>
      </c>
      <c r="E203" s="1307" t="s">
        <v>1897</v>
      </c>
      <c r="F203" s="1307"/>
      <c r="I203" s="490"/>
    </row>
    <row r="204" spans="1:9">
      <c r="A204" s="404"/>
      <c r="B204" s="404"/>
      <c r="D204" s="3"/>
      <c r="E204" s="3"/>
      <c r="F204" s="3"/>
      <c r="I204" s="490"/>
    </row>
    <row r="205" spans="1:9">
      <c r="A205" s="404"/>
      <c r="B205" s="485" t="s">
        <v>2643</v>
      </c>
      <c r="D205" s="1306" t="s">
        <v>1738</v>
      </c>
      <c r="E205" s="1306"/>
      <c r="F205" s="1306"/>
      <c r="I205" s="490"/>
    </row>
    <row r="206" spans="1:9">
      <c r="A206" s="404"/>
      <c r="B206" s="404"/>
      <c r="D206" s="1305" t="s">
        <v>1873</v>
      </c>
      <c r="E206" s="1305"/>
      <c r="F206" s="1305"/>
      <c r="I206" s="490"/>
    </row>
    <row r="207" spans="1:9">
      <c r="A207" s="404"/>
      <c r="B207" s="404"/>
      <c r="D207" s="57" t="s">
        <v>1735</v>
      </c>
      <c r="E207" s="1307" t="s">
        <v>1898</v>
      </c>
      <c r="F207" s="1307"/>
      <c r="I207" s="490"/>
    </row>
    <row r="208" spans="1:9">
      <c r="A208" s="404"/>
      <c r="B208" s="404"/>
      <c r="D208" s="392"/>
      <c r="E208" s="392"/>
      <c r="F208" s="392"/>
      <c r="I208" s="490"/>
    </row>
    <row r="209" spans="1:9" ht="14.25" customHeight="1">
      <c r="A209" s="484"/>
      <c r="B209" s="485" t="s">
        <v>2643</v>
      </c>
      <c r="D209" s="386" t="s">
        <v>1866</v>
      </c>
      <c r="E209" s="385"/>
      <c r="F209" s="385"/>
      <c r="I209" s="490"/>
    </row>
    <row r="210" spans="1:9">
      <c r="A210" s="484"/>
      <c r="B210" s="484"/>
      <c r="D210" s="1305" t="s">
        <v>1873</v>
      </c>
      <c r="E210" s="1305"/>
      <c r="F210" s="1305"/>
      <c r="I210" s="490"/>
    </row>
    <row r="211" spans="1:9">
      <c r="D211" s="385"/>
      <c r="E211" s="1307" t="s">
        <v>1899</v>
      </c>
      <c r="F211" s="1307"/>
      <c r="I211" s="490"/>
    </row>
    <row r="212" spans="1:9">
      <c r="D212" s="447"/>
      <c r="I212" s="490"/>
    </row>
    <row r="213" spans="1:9">
      <c r="B213" s="485" t="s">
        <v>2643</v>
      </c>
      <c r="D213" s="1306" t="s">
        <v>1739</v>
      </c>
      <c r="E213" s="1306"/>
      <c r="F213" s="1306"/>
      <c r="I213" s="490"/>
    </row>
    <row r="214" spans="1:9">
      <c r="D214" s="1305" t="s">
        <v>1873</v>
      </c>
      <c r="E214" s="1305"/>
      <c r="F214" s="1305"/>
      <c r="I214" s="490"/>
    </row>
    <row r="215" spans="1:9">
      <c r="D215" s="57" t="s">
        <v>1735</v>
      </c>
      <c r="E215" s="1307" t="s">
        <v>1900</v>
      </c>
      <c r="F215" s="1307"/>
      <c r="I215" s="490"/>
    </row>
    <row r="216" spans="1:9">
      <c r="D216" s="451"/>
      <c r="E216" s="451"/>
      <c r="F216" s="451"/>
      <c r="I216" s="490"/>
    </row>
    <row r="217" spans="1:9">
      <c r="A217" s="484"/>
      <c r="B217" s="485" t="s">
        <v>2643</v>
      </c>
      <c r="D217" s="1290" t="s">
        <v>1214</v>
      </c>
      <c r="E217" s="1290"/>
      <c r="F217" s="1290"/>
      <c r="I217" s="490"/>
    </row>
    <row r="218" spans="1:9" ht="14.5" customHeight="1">
      <c r="A218" s="484"/>
      <c r="B218" s="402"/>
      <c r="D218" s="1290"/>
      <c r="E218" s="1290"/>
      <c r="F218" s="1290"/>
      <c r="I218" s="490"/>
    </row>
    <row r="219" spans="1:9">
      <c r="A219" s="484"/>
      <c r="D219" s="1290"/>
      <c r="E219" s="1290"/>
      <c r="F219" s="1290"/>
      <c r="I219" s="490"/>
    </row>
    <row r="220" spans="1:9">
      <c r="A220" s="484"/>
      <c r="D220" s="1290"/>
      <c r="E220" s="1290"/>
      <c r="F220" s="1290"/>
      <c r="I220" s="490"/>
    </row>
    <row r="221" spans="1:9">
      <c r="D221" s="451"/>
      <c r="E221" s="451"/>
      <c r="F221" s="451"/>
      <c r="I221" s="490"/>
    </row>
    <row r="222" spans="1:9">
      <c r="A222" s="1293" t="s">
        <v>1044</v>
      </c>
      <c r="B222" s="1293"/>
      <c r="C222" s="1293"/>
      <c r="D222" s="1293"/>
      <c r="E222" s="1293"/>
      <c r="F222" s="1293"/>
      <c r="G222" s="1293"/>
      <c r="H222" s="1023"/>
      <c r="I222" s="1147"/>
    </row>
    <row r="223" spans="1:9" ht="12" customHeight="1">
      <c r="D223" s="446"/>
      <c r="E223" s="446"/>
      <c r="F223" s="446"/>
      <c r="I223" s="490"/>
    </row>
    <row r="224" spans="1:9">
      <c r="C224" s="486"/>
      <c r="D224" s="1299" t="s">
        <v>207</v>
      </c>
      <c r="E224" s="1299"/>
      <c r="F224" s="1299"/>
      <c r="I224" s="490"/>
    </row>
    <row r="225" spans="1:9">
      <c r="A225" s="482"/>
      <c r="B225" s="482"/>
      <c r="C225" s="482"/>
      <c r="D225" s="1291" t="s">
        <v>1118</v>
      </c>
      <c r="E225" s="1291"/>
      <c r="F225" s="1291"/>
      <c r="I225" s="490"/>
    </row>
    <row r="226" spans="1:9" ht="12" customHeight="1">
      <c r="A226" s="490"/>
      <c r="B226" s="490"/>
      <c r="C226" s="490"/>
      <c r="I226" s="490"/>
    </row>
    <row r="227" spans="1:9" ht="13.75" customHeight="1">
      <c r="A227" s="490"/>
      <c r="C227" s="490"/>
      <c r="D227" s="1299" t="s">
        <v>545</v>
      </c>
      <c r="E227" s="1299"/>
      <c r="F227" s="1299"/>
      <c r="I227" s="490"/>
    </row>
    <row r="228" spans="1:9">
      <c r="A228" s="484"/>
      <c r="B228" s="485" t="s">
        <v>2642</v>
      </c>
      <c r="D228" s="1290" t="s">
        <v>1740</v>
      </c>
      <c r="E228" s="1290"/>
      <c r="F228" s="1290"/>
      <c r="I228" s="490"/>
    </row>
    <row r="229" spans="1:9" ht="14.25" customHeight="1">
      <c r="A229" s="484"/>
      <c r="B229" s="484"/>
      <c r="D229" s="1290"/>
      <c r="E229" s="1290"/>
      <c r="F229" s="1290"/>
      <c r="I229" s="490"/>
    </row>
    <row r="230" spans="1:9" ht="14.25" customHeight="1">
      <c r="A230" s="484"/>
      <c r="B230" s="484"/>
      <c r="D230" s="1290"/>
      <c r="E230" s="1290"/>
      <c r="F230" s="1290"/>
      <c r="I230" s="490"/>
    </row>
    <row r="231" spans="1:9">
      <c r="A231" s="484"/>
      <c r="B231" s="484"/>
      <c r="D231" s="1290"/>
      <c r="E231" s="1290"/>
      <c r="F231" s="1290"/>
      <c r="I231" s="490"/>
    </row>
    <row r="232" spans="1:9">
      <c r="A232" s="484"/>
      <c r="B232" s="484"/>
      <c r="D232" s="445"/>
      <c r="E232" s="445"/>
      <c r="F232" s="445"/>
      <c r="I232" s="490"/>
    </row>
    <row r="233" spans="1:9">
      <c r="A233" s="484"/>
      <c r="B233" s="485" t="s">
        <v>2642</v>
      </c>
      <c r="D233" s="1290" t="s">
        <v>1741</v>
      </c>
      <c r="E233" s="1290"/>
      <c r="F233" s="1290"/>
      <c r="I233" s="490"/>
    </row>
    <row r="234" spans="1:9">
      <c r="A234" s="484"/>
      <c r="B234" s="484"/>
      <c r="D234" s="1290"/>
      <c r="E234" s="1290"/>
      <c r="F234" s="1290"/>
      <c r="I234" s="490"/>
    </row>
    <row r="235" spans="1:9">
      <c r="A235" s="484"/>
      <c r="B235" s="484"/>
      <c r="D235" s="1290"/>
      <c r="E235" s="1290"/>
      <c r="F235" s="1290"/>
      <c r="I235" s="490"/>
    </row>
    <row r="236" spans="1:9">
      <c r="A236" s="484"/>
      <c r="B236" s="484"/>
      <c r="D236" s="1290"/>
      <c r="E236" s="1290"/>
      <c r="F236" s="1290"/>
      <c r="I236" s="490"/>
    </row>
    <row r="237" spans="1:9" ht="14.25" customHeight="1">
      <c r="A237" s="484"/>
      <c r="B237" s="484"/>
      <c r="D237" s="1290"/>
      <c r="E237" s="1290"/>
      <c r="F237" s="1290"/>
      <c r="I237" s="490"/>
    </row>
    <row r="238" spans="1:9" ht="14.25" customHeight="1">
      <c r="A238" s="484"/>
      <c r="B238" s="484"/>
      <c r="D238" s="445"/>
      <c r="E238" s="445"/>
      <c r="F238" s="445"/>
      <c r="I238" s="490"/>
    </row>
    <row r="239" spans="1:9">
      <c r="A239" s="484"/>
      <c r="B239" s="484"/>
      <c r="D239" s="1290" t="s">
        <v>1116</v>
      </c>
      <c r="E239" s="1290"/>
      <c r="F239" s="1290"/>
      <c r="I239" s="490"/>
    </row>
    <row r="240" spans="1:9">
      <c r="A240" s="484"/>
      <c r="B240" s="484"/>
      <c r="D240" s="1290"/>
      <c r="E240" s="1290"/>
      <c r="F240" s="1290"/>
      <c r="I240" s="490"/>
    </row>
    <row r="241" spans="1:9">
      <c r="A241" s="484"/>
      <c r="B241" s="484"/>
      <c r="D241" s="1290"/>
      <c r="E241" s="1290"/>
      <c r="F241" s="1290"/>
      <c r="I241" s="490"/>
    </row>
    <row r="242" spans="1:9">
      <c r="A242" s="484"/>
      <c r="B242" s="484"/>
      <c r="D242" s="1290"/>
      <c r="E242" s="1290"/>
      <c r="F242" s="1290"/>
      <c r="I242" s="490"/>
    </row>
    <row r="243" spans="1:9">
      <c r="A243" s="484"/>
      <c r="B243" s="484"/>
      <c r="D243" s="1290"/>
      <c r="E243" s="1290"/>
      <c r="F243" s="1290"/>
      <c r="I243" s="490"/>
    </row>
    <row r="244" spans="1:9">
      <c r="A244" s="484"/>
      <c r="B244" s="484"/>
      <c r="D244" s="446"/>
      <c r="E244" s="446"/>
      <c r="F244" s="446"/>
      <c r="I244" s="490"/>
    </row>
    <row r="245" spans="1:9">
      <c r="A245" s="484"/>
      <c r="B245" s="485" t="s">
        <v>2642</v>
      </c>
      <c r="D245" s="1290" t="s">
        <v>2010</v>
      </c>
      <c r="E245" s="1290"/>
      <c r="F245" s="1290"/>
      <c r="I245" s="490"/>
    </row>
    <row r="246" spans="1:9">
      <c r="A246" s="484"/>
      <c r="B246" s="484"/>
      <c r="D246" s="1290"/>
      <c r="E246" s="1290"/>
      <c r="F246" s="1290"/>
      <c r="I246" s="490"/>
    </row>
    <row r="247" spans="1:9">
      <c r="A247" s="484"/>
      <c r="B247" s="484"/>
      <c r="D247" s="1290"/>
      <c r="E247" s="1290"/>
      <c r="F247" s="1290"/>
      <c r="I247" s="490"/>
    </row>
    <row r="248" spans="1:9">
      <c r="A248" s="484"/>
      <c r="B248" s="484"/>
      <c r="E248" s="1031" t="s">
        <v>1867</v>
      </c>
      <c r="I248" s="490"/>
    </row>
    <row r="249" spans="1:9">
      <c r="A249" s="484"/>
      <c r="B249" s="484"/>
      <c r="D249" s="446"/>
      <c r="E249" s="446"/>
      <c r="F249" s="446"/>
      <c r="I249" s="490"/>
    </row>
    <row r="250" spans="1:9" ht="14.5" customHeight="1">
      <c r="A250" s="484"/>
      <c r="B250" s="485" t="s">
        <v>2643</v>
      </c>
      <c r="D250" s="1290" t="s">
        <v>2011</v>
      </c>
      <c r="E250" s="1290"/>
      <c r="F250" s="1290"/>
      <c r="I250" s="490"/>
    </row>
    <row r="251" spans="1:9">
      <c r="A251" s="484"/>
      <c r="B251" s="484"/>
      <c r="D251" s="1290"/>
      <c r="E251" s="1290"/>
      <c r="F251" s="1290"/>
      <c r="I251" s="490"/>
    </row>
    <row r="252" spans="1:9">
      <c r="A252" s="484"/>
      <c r="B252" s="484"/>
      <c r="D252" s="1290"/>
      <c r="E252" s="1290"/>
      <c r="F252" s="1290"/>
      <c r="I252" s="490"/>
    </row>
    <row r="253" spans="1:9">
      <c r="A253" s="484"/>
      <c r="B253" s="484"/>
      <c r="D253" s="1290"/>
      <c r="E253" s="1290"/>
      <c r="F253" s="1290"/>
      <c r="I253" s="490"/>
    </row>
    <row r="254" spans="1:9">
      <c r="A254" s="484"/>
      <c r="B254" s="484"/>
      <c r="D254" s="1290"/>
      <c r="E254" s="1290"/>
      <c r="F254" s="1290"/>
      <c r="I254" s="490"/>
    </row>
    <row r="255" spans="1:9">
      <c r="A255" s="484"/>
      <c r="B255" s="484"/>
      <c r="D255" s="445"/>
      <c r="E255" s="445"/>
      <c r="F255" s="445"/>
      <c r="I255" s="490"/>
    </row>
    <row r="256" spans="1:9">
      <c r="A256" s="484"/>
      <c r="B256" s="485" t="s">
        <v>2642</v>
      </c>
      <c r="D256" s="392" t="s">
        <v>2012</v>
      </c>
      <c r="E256" s="445"/>
      <c r="F256" s="445"/>
      <c r="I256" s="490"/>
    </row>
    <row r="257" spans="1:9">
      <c r="A257" s="484"/>
      <c r="B257" s="484"/>
      <c r="E257" s="1031" t="s">
        <v>1868</v>
      </c>
      <c r="I257" s="490"/>
    </row>
    <row r="258" spans="1:9">
      <c r="D258" s="446"/>
      <c r="E258" s="446"/>
      <c r="F258" s="446"/>
      <c r="I258" s="490"/>
    </row>
    <row r="259" spans="1:9">
      <c r="A259" s="484"/>
      <c r="B259" s="485" t="s">
        <v>2642</v>
      </c>
      <c r="D259" s="1290" t="s">
        <v>1117</v>
      </c>
      <c r="E259" s="1290"/>
      <c r="F259" s="1290"/>
      <c r="I259" s="490"/>
    </row>
    <row r="260" spans="1:9">
      <c r="A260" s="484"/>
      <c r="B260" s="484"/>
      <c r="D260" s="1290"/>
      <c r="E260" s="1290"/>
      <c r="F260" s="1290"/>
      <c r="I260" s="490"/>
    </row>
    <row r="261" spans="1:9">
      <c r="D261" s="491"/>
      <c r="I261" s="490"/>
    </row>
    <row r="262" spans="1:9">
      <c r="A262" s="1293" t="s">
        <v>1045</v>
      </c>
      <c r="B262" s="1293"/>
      <c r="C262" s="1293"/>
      <c r="D262" s="1293"/>
      <c r="E262" s="1293"/>
      <c r="F262" s="1293"/>
      <c r="G262" s="1293"/>
      <c r="H262" s="1023"/>
      <c r="I262" s="1147"/>
    </row>
    <row r="263" spans="1:9">
      <c r="D263" s="491"/>
      <c r="I263" s="490"/>
    </row>
    <row r="264" spans="1:9">
      <c r="C264" s="486"/>
      <c r="D264" s="1299" t="s">
        <v>1119</v>
      </c>
      <c r="E264" s="1299"/>
      <c r="F264" s="1299"/>
      <c r="I264" s="490"/>
    </row>
    <row r="265" spans="1:9">
      <c r="A265" s="482"/>
      <c r="B265" s="482"/>
      <c r="C265" s="482"/>
      <c r="D265" s="446"/>
      <c r="E265" s="446"/>
      <c r="F265" s="446"/>
      <c r="I265" s="490"/>
    </row>
    <row r="266" spans="1:9">
      <c r="A266" s="483"/>
      <c r="B266" s="483"/>
      <c r="C266" s="483"/>
      <c r="D266" s="1299" t="s">
        <v>268</v>
      </c>
      <c r="E266" s="1299"/>
      <c r="F266" s="1299"/>
      <c r="I266" s="490"/>
    </row>
    <row r="267" spans="1:9" ht="14.5" customHeight="1">
      <c r="A267" s="484"/>
      <c r="B267" s="485" t="s">
        <v>2642</v>
      </c>
      <c r="D267" s="1290" t="s">
        <v>1194</v>
      </c>
      <c r="E267" s="1290"/>
      <c r="F267" s="1290"/>
      <c r="I267" s="490"/>
    </row>
    <row r="268" spans="1:9">
      <c r="D268" s="1290"/>
      <c r="E268" s="1290"/>
      <c r="F268" s="1290"/>
      <c r="I268" s="490"/>
    </row>
    <row r="269" spans="1:9">
      <c r="E269" s="1031" t="s">
        <v>1869</v>
      </c>
      <c r="I269" s="490"/>
    </row>
    <row r="270" spans="1:9">
      <c r="D270" s="446"/>
      <c r="E270" s="446"/>
      <c r="F270" s="446"/>
      <c r="I270" s="490"/>
    </row>
    <row r="271" spans="1:9" ht="14.5" customHeight="1">
      <c r="A271" s="484"/>
      <c r="B271" s="485" t="s">
        <v>2643</v>
      </c>
      <c r="D271" s="1290" t="s">
        <v>2013</v>
      </c>
      <c r="E271" s="1290"/>
      <c r="F271" s="1290"/>
      <c r="I271" s="490"/>
    </row>
    <row r="272" spans="1:9">
      <c r="D272" s="1290"/>
      <c r="E272" s="1290"/>
      <c r="F272" s="1290"/>
      <c r="I272" s="490"/>
    </row>
    <row r="273" spans="1:9">
      <c r="D273" s="1290"/>
      <c r="E273" s="1290"/>
      <c r="F273" s="1290"/>
      <c r="I273" s="490"/>
    </row>
    <row r="274" spans="1:9">
      <c r="D274" s="1290"/>
      <c r="E274" s="1290"/>
      <c r="F274" s="1290"/>
      <c r="I274" s="490"/>
    </row>
    <row r="275" spans="1:9">
      <c r="D275" s="1290"/>
      <c r="E275" s="1290"/>
      <c r="F275" s="1290"/>
      <c r="I275" s="490"/>
    </row>
    <row r="276" spans="1:9">
      <c r="D276" s="1290"/>
      <c r="E276" s="1290"/>
      <c r="F276" s="1290"/>
      <c r="I276" s="490"/>
    </row>
    <row r="277" spans="1:9">
      <c r="D277" s="446"/>
      <c r="E277" s="446"/>
      <c r="F277" s="446"/>
      <c r="I277" s="490"/>
    </row>
    <row r="278" spans="1:9">
      <c r="A278" s="484"/>
      <c r="B278" s="485" t="s">
        <v>2643</v>
      </c>
      <c r="D278" s="1290" t="s">
        <v>1120</v>
      </c>
      <c r="E278" s="1290"/>
      <c r="F278" s="1290"/>
      <c r="I278" s="490"/>
    </row>
    <row r="279" spans="1:9">
      <c r="D279" s="1290"/>
      <c r="E279" s="1290"/>
      <c r="F279" s="1290"/>
      <c r="I279" s="490"/>
    </row>
    <row r="280" spans="1:9">
      <c r="D280" s="1290"/>
      <c r="E280" s="1290"/>
      <c r="F280" s="1290"/>
      <c r="I280" s="490"/>
    </row>
    <row r="281" spans="1:9">
      <c r="D281" s="492"/>
      <c r="E281" s="446"/>
      <c r="F281" s="446"/>
      <c r="I281" s="490"/>
    </row>
    <row r="282" spans="1:9">
      <c r="A282" s="1293" t="s">
        <v>1046</v>
      </c>
      <c r="B282" s="1293"/>
      <c r="C282" s="1293"/>
      <c r="D282" s="1293"/>
      <c r="E282" s="1293"/>
      <c r="F282" s="1293"/>
      <c r="G282" s="1293"/>
      <c r="H282" s="1023"/>
      <c r="I282" s="1147"/>
    </row>
    <row r="283" spans="1:9">
      <c r="D283" s="492"/>
      <c r="E283" s="446"/>
      <c r="F283" s="446"/>
      <c r="I283" s="490"/>
    </row>
    <row r="284" spans="1:9">
      <c r="C284" s="482"/>
      <c r="D284" s="1292" t="s">
        <v>1121</v>
      </c>
      <c r="E284" s="1292"/>
      <c r="F284" s="1292"/>
      <c r="I284" s="490"/>
    </row>
    <row r="285" spans="1:9">
      <c r="C285" s="482"/>
      <c r="D285" s="1292"/>
      <c r="E285" s="1292"/>
      <c r="F285" s="1292"/>
      <c r="I285" s="490"/>
    </row>
    <row r="286" spans="1:9">
      <c r="A286" s="483"/>
      <c r="B286" s="483"/>
      <c r="C286" s="483"/>
      <c r="D286" s="404"/>
      <c r="I286" s="490"/>
    </row>
    <row r="287" spans="1:9">
      <c r="C287" s="483"/>
      <c r="D287" s="1299" t="s">
        <v>208</v>
      </c>
      <c r="E287" s="1299"/>
      <c r="F287" s="1299"/>
      <c r="I287" s="490"/>
    </row>
    <row r="288" spans="1:9" ht="15.75" customHeight="1">
      <c r="A288" s="484"/>
      <c r="B288" s="484"/>
      <c r="D288" s="1302" t="s">
        <v>1122</v>
      </c>
      <c r="E288" s="1302"/>
      <c r="F288" s="1302"/>
      <c r="I288" s="490"/>
    </row>
    <row r="289" spans="1:9">
      <c r="E289" s="446"/>
      <c r="F289" s="446"/>
      <c r="I289" s="490"/>
    </row>
    <row r="290" spans="1:9">
      <c r="A290" s="484"/>
      <c r="B290" s="485" t="s">
        <v>2643</v>
      </c>
      <c r="D290" s="1290" t="s">
        <v>1123</v>
      </c>
      <c r="E290" s="1290"/>
      <c r="F290" s="1290"/>
      <c r="I290" s="490"/>
    </row>
    <row r="291" spans="1:9">
      <c r="A291" s="484"/>
      <c r="B291" s="484"/>
      <c r="D291" s="1290"/>
      <c r="E291" s="1290"/>
      <c r="F291" s="1290"/>
      <c r="I291" s="490"/>
    </row>
    <row r="292" spans="1:9">
      <c r="D292" s="446"/>
      <c r="E292" s="446"/>
      <c r="F292" s="446"/>
      <c r="I292" s="490"/>
    </row>
    <row r="293" spans="1:9">
      <c r="A293" s="484"/>
      <c r="B293" s="485" t="s">
        <v>2643</v>
      </c>
      <c r="D293" s="1290" t="s">
        <v>1124</v>
      </c>
      <c r="E293" s="1290"/>
      <c r="F293" s="1290"/>
      <c r="I293" s="490"/>
    </row>
    <row r="294" spans="1:9">
      <c r="A294" s="484"/>
      <c r="B294" s="484"/>
      <c r="D294" s="1290"/>
      <c r="E294" s="1290"/>
      <c r="F294" s="1290"/>
      <c r="I294" s="490"/>
    </row>
    <row r="295" spans="1:9">
      <c r="A295" s="484"/>
      <c r="B295" s="484"/>
      <c r="D295" s="1290"/>
      <c r="E295" s="1290"/>
      <c r="F295" s="1290"/>
      <c r="I295" s="490"/>
    </row>
    <row r="296" spans="1:9">
      <c r="D296" s="446"/>
      <c r="E296" s="446"/>
      <c r="F296" s="446"/>
      <c r="I296" s="490"/>
    </row>
    <row r="297" spans="1:9">
      <c r="A297" s="484"/>
      <c r="B297" s="485" t="s">
        <v>2643</v>
      </c>
      <c r="D297" s="1290" t="s">
        <v>1125</v>
      </c>
      <c r="E297" s="1290"/>
      <c r="F297" s="1290"/>
      <c r="I297" s="490"/>
    </row>
    <row r="298" spans="1:9">
      <c r="A298" s="484"/>
      <c r="B298" s="484"/>
      <c r="D298" s="1290"/>
      <c r="E298" s="1290"/>
      <c r="F298" s="1290"/>
      <c r="I298" s="490"/>
    </row>
    <row r="299" spans="1:9">
      <c r="A299" s="490"/>
      <c r="B299" s="490"/>
      <c r="E299" s="446"/>
      <c r="F299" s="446"/>
      <c r="I299" s="490"/>
    </row>
    <row r="300" spans="1:9">
      <c r="A300" s="1293" t="s">
        <v>1047</v>
      </c>
      <c r="B300" s="1293"/>
      <c r="C300" s="1293"/>
      <c r="D300" s="1293"/>
      <c r="E300" s="1293"/>
      <c r="F300" s="1293"/>
      <c r="G300" s="1293"/>
      <c r="H300" s="1023"/>
      <c r="I300" s="1147"/>
    </row>
    <row r="301" spans="1:9">
      <c r="A301" s="490"/>
      <c r="B301" s="490"/>
      <c r="D301" s="446"/>
      <c r="E301" s="446"/>
      <c r="F301" s="446"/>
      <c r="I301" s="490"/>
    </row>
    <row r="302" spans="1:9">
      <c r="C302" s="490"/>
      <c r="D302" s="1299" t="s">
        <v>681</v>
      </c>
      <c r="E302" s="1299"/>
      <c r="F302" s="1299"/>
      <c r="I302" s="490"/>
    </row>
    <row r="303" spans="1:9">
      <c r="C303" s="490"/>
      <c r="D303" s="1291" t="s">
        <v>1126</v>
      </c>
      <c r="E303" s="1291"/>
      <c r="F303" s="1291"/>
      <c r="I303" s="490"/>
    </row>
    <row r="304" spans="1:9">
      <c r="C304" s="490"/>
      <c r="D304" s="493"/>
      <c r="I304" s="490"/>
    </row>
    <row r="305" spans="1:9">
      <c r="B305" s="485" t="s">
        <v>2643</v>
      </c>
      <c r="D305" s="1291" t="s">
        <v>1127</v>
      </c>
      <c r="E305" s="1291"/>
      <c r="F305" s="1291"/>
      <c r="I305" s="490"/>
    </row>
    <row r="306" spans="1:9">
      <c r="A306" s="484"/>
      <c r="B306" s="484"/>
      <c r="D306" s="494"/>
      <c r="E306" s="495"/>
      <c r="F306" s="495"/>
      <c r="I306" s="490"/>
    </row>
    <row r="307" spans="1:9" ht="13.75" customHeight="1">
      <c r="B307" s="485" t="s">
        <v>2643</v>
      </c>
      <c r="D307" s="1314" t="s">
        <v>1217</v>
      </c>
      <c r="E307" s="1314"/>
      <c r="F307" s="1314"/>
      <c r="I307" s="490"/>
    </row>
    <row r="308" spans="1:9">
      <c r="A308" s="484"/>
      <c r="B308" s="484"/>
      <c r="D308" s="1314"/>
      <c r="E308" s="1314"/>
      <c r="F308" s="1314"/>
      <c r="I308" s="490"/>
    </row>
    <row r="309" spans="1:9">
      <c r="A309" s="484"/>
      <c r="B309" s="484"/>
      <c r="D309" s="1314"/>
      <c r="E309" s="1314"/>
      <c r="F309" s="1314"/>
      <c r="I309" s="490"/>
    </row>
    <row r="310" spans="1:9">
      <c r="A310" s="484"/>
      <c r="B310" s="484"/>
      <c r="D310" s="1314"/>
      <c r="E310" s="1314"/>
      <c r="F310" s="1314"/>
      <c r="I310" s="490"/>
    </row>
    <row r="311" spans="1:9">
      <c r="A311" s="484"/>
      <c r="B311" s="484"/>
      <c r="D311" s="1314"/>
      <c r="E311" s="1314"/>
      <c r="F311" s="1314"/>
      <c r="I311" s="490"/>
    </row>
    <row r="312" spans="1:9">
      <c r="A312" s="484"/>
      <c r="B312" s="484"/>
      <c r="D312" s="494"/>
      <c r="E312" s="495"/>
      <c r="F312" s="495"/>
      <c r="I312" s="490"/>
    </row>
    <row r="313" spans="1:9" ht="13.75" customHeight="1">
      <c r="B313" s="485" t="s">
        <v>2643</v>
      </c>
      <c r="D313" s="1314" t="s">
        <v>1128</v>
      </c>
      <c r="E313" s="1314"/>
      <c r="F313" s="1314"/>
      <c r="I313" s="490"/>
    </row>
    <row r="314" spans="1:9">
      <c r="D314" s="1314"/>
      <c r="E314" s="1314"/>
      <c r="F314" s="1314"/>
      <c r="I314" s="490"/>
    </row>
    <row r="315" spans="1:9">
      <c r="A315" s="484"/>
      <c r="B315" s="484"/>
      <c r="D315" s="494"/>
      <c r="E315" s="495"/>
      <c r="F315" s="495"/>
      <c r="I315" s="490"/>
    </row>
    <row r="316" spans="1:9">
      <c r="B316" s="485" t="s">
        <v>2643</v>
      </c>
      <c r="D316" s="1291" t="s">
        <v>1129</v>
      </c>
      <c r="E316" s="1291"/>
      <c r="F316" s="1291"/>
      <c r="I316" s="490"/>
    </row>
    <row r="317" spans="1:9">
      <c r="E317" s="446"/>
      <c r="F317" s="446"/>
      <c r="I317" s="490"/>
    </row>
    <row r="318" spans="1:9">
      <c r="A318" s="484"/>
      <c r="B318" s="485" t="s">
        <v>2643</v>
      </c>
      <c r="D318" s="1290" t="s">
        <v>2196</v>
      </c>
      <c r="E318" s="1290"/>
      <c r="F318" s="1290"/>
      <c r="I318" s="490"/>
    </row>
    <row r="319" spans="1:9">
      <c r="A319" s="484"/>
      <c r="B319" s="484"/>
      <c r="D319" s="1290"/>
      <c r="E319" s="1290"/>
      <c r="F319" s="1290"/>
      <c r="I319" s="490"/>
    </row>
    <row r="320" spans="1:9">
      <c r="A320" s="484"/>
      <c r="B320" s="484"/>
      <c r="D320" s="1290"/>
      <c r="E320" s="1290"/>
      <c r="F320" s="1290"/>
      <c r="I320" s="490"/>
    </row>
    <row r="321" spans="1:9">
      <c r="A321" s="484"/>
      <c r="B321" s="484"/>
      <c r="D321" s="1290"/>
      <c r="E321" s="1290"/>
      <c r="F321" s="1290"/>
      <c r="I321" s="490"/>
    </row>
    <row r="322" spans="1:9">
      <c r="A322" s="484"/>
      <c r="B322" s="484"/>
      <c r="D322" s="1290"/>
      <c r="E322" s="1290"/>
      <c r="F322" s="1290"/>
      <c r="I322" s="490"/>
    </row>
    <row r="323" spans="1:9">
      <c r="A323" s="484"/>
      <c r="B323" s="484"/>
      <c r="D323" s="1290"/>
      <c r="E323" s="1290"/>
      <c r="F323" s="1290"/>
      <c r="I323" s="490"/>
    </row>
    <row r="324" spans="1:9">
      <c r="A324" s="484"/>
      <c r="B324" s="484"/>
      <c r="D324" s="1290"/>
      <c r="E324" s="1290"/>
      <c r="F324" s="1290"/>
      <c r="I324" s="490"/>
    </row>
    <row r="325" spans="1:9">
      <c r="A325" s="484"/>
      <c r="B325" s="484"/>
      <c r="D325" s="1290"/>
      <c r="E325" s="1290"/>
      <c r="F325" s="1290"/>
      <c r="I325" s="490"/>
    </row>
    <row r="326" spans="1:9">
      <c r="A326" s="484"/>
      <c r="B326" s="484"/>
      <c r="D326" s="1290"/>
      <c r="E326" s="1290"/>
      <c r="F326" s="1290"/>
      <c r="I326" s="490"/>
    </row>
    <row r="327" spans="1:9">
      <c r="A327" s="484"/>
      <c r="B327" s="484"/>
      <c r="D327" s="1290"/>
      <c r="E327" s="1290"/>
      <c r="F327" s="1290"/>
      <c r="I327" s="490"/>
    </row>
    <row r="328" spans="1:9">
      <c r="A328" s="484"/>
      <c r="B328" s="484"/>
      <c r="D328" s="1290"/>
      <c r="E328" s="1290"/>
      <c r="F328" s="1290"/>
      <c r="I328" s="490"/>
    </row>
    <row r="329" spans="1:9">
      <c r="A329" s="484"/>
      <c r="B329" s="484"/>
      <c r="D329" s="1290"/>
      <c r="E329" s="1290"/>
      <c r="F329" s="1290"/>
      <c r="I329" s="490"/>
    </row>
    <row r="330" spans="1:9">
      <c r="A330" s="484"/>
      <c r="B330" s="484"/>
      <c r="D330" s="1290"/>
      <c r="E330" s="1290"/>
      <c r="F330" s="1290"/>
      <c r="I330" s="490"/>
    </row>
    <row r="331" spans="1:9">
      <c r="A331" s="484"/>
      <c r="B331" s="484"/>
      <c r="D331" s="1290"/>
      <c r="E331" s="1290"/>
      <c r="F331" s="1290"/>
      <c r="I331" s="490"/>
    </row>
    <row r="332" spans="1:9">
      <c r="A332" s="484"/>
      <c r="B332" s="484"/>
      <c r="D332" s="1290"/>
      <c r="E332" s="1290"/>
      <c r="F332" s="1290"/>
      <c r="I332" s="490"/>
    </row>
    <row r="333" spans="1:9">
      <c r="D333" s="446"/>
      <c r="E333" s="446"/>
      <c r="F333" s="446"/>
      <c r="I333" s="490"/>
    </row>
    <row r="334" spans="1:9">
      <c r="A334" s="484"/>
      <c r="B334" s="485" t="s">
        <v>2643</v>
      </c>
      <c r="D334" s="1290" t="s">
        <v>1130</v>
      </c>
      <c r="E334" s="1290"/>
      <c r="F334" s="1290"/>
      <c r="I334" s="490"/>
    </row>
    <row r="335" spans="1:9">
      <c r="D335" s="1290"/>
      <c r="E335" s="1290"/>
      <c r="F335" s="1290"/>
      <c r="I335" s="490"/>
    </row>
    <row r="336" spans="1:9">
      <c r="D336" s="1290"/>
      <c r="E336" s="1290"/>
      <c r="F336" s="1290"/>
      <c r="I336" s="490"/>
    </row>
    <row r="337" spans="1:9">
      <c r="D337" s="1290"/>
      <c r="E337" s="1290"/>
      <c r="F337" s="1290"/>
      <c r="I337" s="490"/>
    </row>
    <row r="338" spans="1:9">
      <c r="D338" s="1290"/>
      <c r="E338" s="1290"/>
      <c r="F338" s="1290"/>
      <c r="I338" s="490"/>
    </row>
    <row r="339" spans="1:9">
      <c r="D339" s="1290"/>
      <c r="E339" s="1290"/>
      <c r="F339" s="1290"/>
      <c r="I339" s="490"/>
    </row>
    <row r="340" spans="1:9">
      <c r="D340" s="1290"/>
      <c r="E340" s="1290"/>
      <c r="F340" s="1290"/>
      <c r="I340" s="490"/>
    </row>
    <row r="341" spans="1:9">
      <c r="D341" s="1290"/>
      <c r="E341" s="1290"/>
      <c r="F341" s="1290"/>
      <c r="I341" s="490"/>
    </row>
    <row r="342" spans="1:9">
      <c r="D342" s="1290"/>
      <c r="E342" s="1290"/>
      <c r="F342" s="1290"/>
      <c r="I342" s="490"/>
    </row>
    <row r="343" spans="1:9">
      <c r="D343" s="446"/>
      <c r="E343" s="446"/>
      <c r="F343" s="446"/>
      <c r="I343" s="490"/>
    </row>
    <row r="344" spans="1:9" ht="14.25" customHeight="1">
      <c r="A344" s="484"/>
      <c r="B344" s="485" t="s">
        <v>2643</v>
      </c>
      <c r="D344" s="1290" t="s">
        <v>1874</v>
      </c>
      <c r="E344" s="1290"/>
      <c r="F344" s="1290"/>
      <c r="I344" s="490"/>
    </row>
    <row r="345" spans="1:9">
      <c r="D345" s="1290"/>
      <c r="E345" s="1290"/>
      <c r="F345" s="1290"/>
      <c r="I345" s="490"/>
    </row>
    <row r="346" spans="1:9">
      <c r="D346" s="1290"/>
      <c r="E346" s="1290"/>
      <c r="F346" s="1290"/>
      <c r="I346" s="490"/>
    </row>
    <row r="347" spans="1:9">
      <c r="D347" s="1290"/>
      <c r="E347" s="1290"/>
      <c r="F347" s="1290"/>
      <c r="I347" s="490"/>
    </row>
    <row r="348" spans="1:9">
      <c r="D348" s="386" t="s">
        <v>1873</v>
      </c>
      <c r="E348" s="385"/>
      <c r="F348" s="385"/>
      <c r="I348" s="490"/>
    </row>
    <row r="349" spans="1:9">
      <c r="D349" s="385"/>
      <c r="E349" s="96" t="s">
        <v>1870</v>
      </c>
      <c r="G349" s="96"/>
      <c r="I349" s="490"/>
    </row>
    <row r="350" spans="1:9">
      <c r="D350" s="445"/>
      <c r="E350" s="445"/>
      <c r="F350" s="445"/>
      <c r="I350" s="490"/>
    </row>
    <row r="351" spans="1:9" ht="13.5" thickBot="1">
      <c r="A351" s="1017"/>
      <c r="B351" s="1017"/>
      <c r="C351" s="1017"/>
      <c r="D351" s="1323" t="s">
        <v>977</v>
      </c>
      <c r="E351" s="1323"/>
      <c r="F351" s="1323"/>
      <c r="G351" s="1022"/>
      <c r="H351" s="1022"/>
      <c r="I351" s="1150"/>
    </row>
    <row r="352" spans="1:9" ht="13.5" thickTop="1">
      <c r="D352" s="1322" t="s">
        <v>2197</v>
      </c>
      <c r="E352" s="1322"/>
      <c r="F352" s="1322"/>
      <c r="I352" s="490"/>
    </row>
    <row r="353" spans="1:9">
      <c r="D353" s="446"/>
      <c r="E353" s="446"/>
      <c r="F353" s="446"/>
      <c r="I353" s="490"/>
    </row>
    <row r="354" spans="1:9">
      <c r="A354" s="476"/>
      <c r="B354" s="476"/>
      <c r="C354" s="476"/>
      <c r="D354" s="447"/>
      <c r="E354" s="447"/>
      <c r="F354" s="446"/>
      <c r="I354" s="490"/>
    </row>
    <row r="355" spans="1:9">
      <c r="A355" s="484"/>
      <c r="B355" s="485" t="s">
        <v>2643</v>
      </c>
      <c r="C355" s="487"/>
      <c r="D355" s="1291" t="s">
        <v>1872</v>
      </c>
      <c r="E355" s="1291"/>
      <c r="F355" s="1291"/>
      <c r="I355" s="490"/>
    </row>
    <row r="356" spans="1:9" ht="12.75" customHeight="1">
      <c r="D356" s="1032"/>
      <c r="E356" s="96" t="s">
        <v>1871</v>
      </c>
      <c r="F356" s="1032"/>
      <c r="I356" s="490"/>
    </row>
    <row r="357" spans="1:9">
      <c r="D357" s="1290" t="s">
        <v>1237</v>
      </c>
      <c r="E357" s="1290"/>
      <c r="F357" s="1290"/>
      <c r="I357" s="490"/>
    </row>
    <row r="358" spans="1:9">
      <c r="D358" s="1290"/>
      <c r="E358" s="1290"/>
      <c r="F358" s="1290"/>
      <c r="I358" s="490"/>
    </row>
    <row r="359" spans="1:9">
      <c r="D359" s="1290"/>
      <c r="E359" s="1290"/>
      <c r="F359" s="1290"/>
      <c r="I359" s="490"/>
    </row>
    <row r="360" spans="1:9">
      <c r="A360" s="484"/>
      <c r="B360" s="485" t="s">
        <v>2643</v>
      </c>
      <c r="C360" s="476"/>
      <c r="D360" s="1304" t="s">
        <v>2014</v>
      </c>
      <c r="E360" s="1304"/>
      <c r="F360" s="1304"/>
      <c r="I360" s="480"/>
    </row>
    <row r="361" spans="1:9">
      <c r="A361" s="476"/>
      <c r="B361" s="476"/>
      <c r="C361" s="476"/>
      <c r="D361" s="447"/>
      <c r="E361" s="447"/>
      <c r="F361" s="446"/>
      <c r="I361" s="490"/>
    </row>
    <row r="362" spans="1:9">
      <c r="A362" s="476"/>
      <c r="B362" s="485" t="s">
        <v>2643</v>
      </c>
      <c r="C362" s="476"/>
      <c r="D362" s="1269" t="s">
        <v>2015</v>
      </c>
      <c r="E362" s="1269"/>
      <c r="F362" s="1269"/>
      <c r="I362" s="490"/>
    </row>
    <row r="363" spans="1:9">
      <c r="A363" s="476"/>
      <c r="B363" s="476"/>
      <c r="C363" s="476"/>
      <c r="D363" s="1269"/>
      <c r="E363" s="1269"/>
      <c r="F363" s="1269"/>
      <c r="I363" s="490"/>
    </row>
    <row r="364" spans="1:9">
      <c r="A364" s="476"/>
      <c r="B364" s="476"/>
      <c r="C364" s="476"/>
      <c r="D364" s="1269"/>
      <c r="E364" s="1269"/>
      <c r="F364" s="1269"/>
      <c r="I364" s="490"/>
    </row>
    <row r="365" spans="1:9">
      <c r="A365" s="476"/>
      <c r="B365" s="476"/>
      <c r="C365" s="476"/>
      <c r="D365" s="1269"/>
      <c r="E365" s="1269"/>
      <c r="F365" s="1269"/>
      <c r="I365" s="490"/>
    </row>
    <row r="366" spans="1:9">
      <c r="A366" s="476"/>
      <c r="B366" s="476"/>
      <c r="C366" s="476"/>
      <c r="D366" s="1269"/>
      <c r="E366" s="1269"/>
      <c r="F366" s="1269"/>
      <c r="I366" s="490"/>
    </row>
    <row r="367" spans="1:9">
      <c r="A367" s="476"/>
      <c r="B367" s="476"/>
      <c r="C367" s="476"/>
      <c r="D367" s="1269"/>
      <c r="E367" s="1269"/>
      <c r="F367" s="1269"/>
      <c r="I367" s="490"/>
    </row>
    <row r="368" spans="1:9">
      <c r="A368" s="476"/>
      <c r="B368" s="476"/>
      <c r="C368" s="476"/>
      <c r="D368" s="1269"/>
      <c r="E368" s="1269"/>
      <c r="F368" s="1269"/>
      <c r="I368" s="490"/>
    </row>
    <row r="369" spans="1:9">
      <c r="A369" s="476"/>
      <c r="B369" s="476"/>
      <c r="C369" s="476"/>
      <c r="D369" s="1269"/>
      <c r="E369" s="1269"/>
      <c r="F369" s="1269"/>
      <c r="I369" s="490"/>
    </row>
    <row r="370" spans="1:9">
      <c r="A370" s="476"/>
      <c r="B370" s="476"/>
      <c r="C370" s="476"/>
      <c r="D370" s="1269"/>
      <c r="E370" s="1269"/>
      <c r="F370" s="1269"/>
      <c r="I370" s="490"/>
    </row>
    <row r="371" spans="1:9">
      <c r="A371" s="476"/>
      <c r="B371" s="476"/>
      <c r="C371" s="476"/>
      <c r="D371" s="1269"/>
      <c r="E371" s="1269"/>
      <c r="F371" s="1269"/>
      <c r="I371" s="490"/>
    </row>
    <row r="372" spans="1:9">
      <c r="A372" s="476"/>
      <c r="B372" s="476"/>
      <c r="C372" s="476"/>
      <c r="D372" s="1269"/>
      <c r="E372" s="1269"/>
      <c r="F372" s="1269"/>
      <c r="I372" s="490"/>
    </row>
    <row r="373" spans="1:9">
      <c r="A373" s="476"/>
      <c r="B373" s="476"/>
      <c r="C373" s="476"/>
      <c r="D373" s="1269"/>
      <c r="E373" s="1269"/>
      <c r="F373" s="1269"/>
      <c r="I373" s="490"/>
    </row>
    <row r="374" spans="1:9">
      <c r="A374" s="476"/>
      <c r="B374" s="476"/>
      <c r="C374" s="476"/>
      <c r="D374" s="451"/>
      <c r="E374" s="451"/>
      <c r="F374" s="451"/>
      <c r="I374" s="490"/>
    </row>
    <row r="375" spans="1:9" ht="12.4" customHeight="1">
      <c r="A375" s="476"/>
      <c r="B375" s="485" t="s">
        <v>2643</v>
      </c>
      <c r="C375" s="476"/>
      <c r="D375" s="1286" t="s">
        <v>1219</v>
      </c>
      <c r="E375" s="1286"/>
      <c r="F375" s="1286"/>
      <c r="I375" s="490"/>
    </row>
    <row r="376" spans="1:9">
      <c r="A376" s="476"/>
      <c r="B376" s="476"/>
      <c r="C376" s="476"/>
      <c r="D376" s="1286"/>
      <c r="E376" s="1286"/>
      <c r="F376" s="1286"/>
      <c r="I376" s="490"/>
    </row>
    <row r="377" spans="1:9">
      <c r="A377" s="476"/>
      <c r="B377" s="476"/>
      <c r="C377" s="476"/>
      <c r="D377" s="1286"/>
      <c r="E377" s="1286"/>
      <c r="F377" s="1286"/>
      <c r="I377" s="490"/>
    </row>
    <row r="378" spans="1:9">
      <c r="A378" s="476"/>
      <c r="B378" s="476"/>
      <c r="C378" s="476"/>
      <c r="D378" s="1286"/>
      <c r="E378" s="1286"/>
      <c r="F378" s="1286"/>
      <c r="I378" s="490"/>
    </row>
    <row r="379" spans="1:9">
      <c r="A379" s="476"/>
      <c r="B379" s="476"/>
      <c r="C379" s="476"/>
      <c r="D379" s="524"/>
      <c r="E379" s="524"/>
      <c r="F379" s="524"/>
      <c r="I379" s="490"/>
    </row>
    <row r="380" spans="1:9">
      <c r="A380" s="476"/>
      <c r="B380" s="485" t="s">
        <v>2643</v>
      </c>
      <c r="C380" s="476"/>
      <c r="D380" s="402" t="s">
        <v>1809</v>
      </c>
      <c r="E380" s="524"/>
      <c r="F380" s="524"/>
      <c r="I380" s="490"/>
    </row>
    <row r="381" spans="1:9">
      <c r="A381" s="476"/>
      <c r="B381" s="476"/>
      <c r="C381" s="476"/>
      <c r="D381" s="402" t="s">
        <v>1810</v>
      </c>
      <c r="E381" s="524"/>
      <c r="F381" s="524"/>
      <c r="I381" s="490"/>
    </row>
    <row r="382" spans="1:9">
      <c r="A382" s="476"/>
      <c r="B382" s="476"/>
      <c r="C382" s="476"/>
      <c r="D382" s="402" t="s">
        <v>1811</v>
      </c>
      <c r="E382" s="524"/>
      <c r="F382" s="524"/>
      <c r="I382" s="490"/>
    </row>
    <row r="383" spans="1:9">
      <c r="A383" s="476"/>
      <c r="B383" s="476"/>
      <c r="C383" s="476"/>
      <c r="D383" s="402" t="s">
        <v>1812</v>
      </c>
      <c r="E383" s="524"/>
      <c r="F383" s="524"/>
      <c r="I383" s="490"/>
    </row>
    <row r="384" spans="1:9">
      <c r="A384" s="476"/>
      <c r="B384" s="476"/>
      <c r="C384" s="476"/>
      <c r="D384" s="402" t="s">
        <v>1813</v>
      </c>
      <c r="E384" s="524"/>
      <c r="F384" s="524"/>
      <c r="I384" s="490"/>
    </row>
    <row r="385" spans="1:9">
      <c r="A385" s="476"/>
      <c r="B385" s="476"/>
      <c r="C385" s="476"/>
      <c r="D385" s="402" t="s">
        <v>1814</v>
      </c>
      <c r="E385" s="524"/>
      <c r="F385" s="524"/>
      <c r="I385" s="490"/>
    </row>
    <row r="386" spans="1:9">
      <c r="A386" s="476"/>
      <c r="B386" s="476"/>
      <c r="C386" s="476"/>
      <c r="E386" s="447"/>
      <c r="F386" s="446"/>
      <c r="I386" s="490"/>
    </row>
    <row r="387" spans="1:9">
      <c r="A387" s="484"/>
      <c r="B387" s="485" t="s">
        <v>2643</v>
      </c>
      <c r="C387" s="476"/>
      <c r="D387" s="1269" t="s">
        <v>1131</v>
      </c>
      <c r="E387" s="1269"/>
      <c r="F387" s="1269"/>
      <c r="I387" s="490"/>
    </row>
    <row r="388" spans="1:9">
      <c r="A388" s="476"/>
      <c r="B388" s="476"/>
      <c r="C388" s="476"/>
      <c r="D388" s="1269"/>
      <c r="E388" s="1269"/>
      <c r="F388" s="1269"/>
      <c r="I388" s="490"/>
    </row>
    <row r="389" spans="1:9">
      <c r="A389" s="476"/>
      <c r="B389" s="476"/>
      <c r="C389" s="476"/>
      <c r="D389" s="1269"/>
      <c r="E389" s="1269"/>
      <c r="F389" s="1269"/>
      <c r="I389" s="490"/>
    </row>
    <row r="390" spans="1:9">
      <c r="A390" s="476"/>
      <c r="B390" s="476"/>
      <c r="C390" s="476"/>
      <c r="D390" s="1269"/>
      <c r="E390" s="1269"/>
      <c r="F390" s="1269"/>
      <c r="I390" s="490"/>
    </row>
    <row r="391" spans="1:9">
      <c r="A391" s="476"/>
      <c r="B391" s="476"/>
      <c r="C391" s="476"/>
      <c r="D391" s="447"/>
      <c r="E391" s="447"/>
      <c r="F391" s="446"/>
      <c r="I391" s="490"/>
    </row>
    <row r="392" spans="1:9">
      <c r="A392" s="476"/>
      <c r="B392" s="476"/>
      <c r="C392" s="476"/>
      <c r="D392" s="1269" t="s">
        <v>1132</v>
      </c>
      <c r="E392" s="1269"/>
      <c r="F392" s="1269"/>
      <c r="I392" s="490"/>
    </row>
    <row r="393" spans="1:9">
      <c r="A393" s="476"/>
      <c r="B393" s="476"/>
      <c r="C393" s="476"/>
      <c r="D393" s="1269"/>
      <c r="E393" s="1269"/>
      <c r="F393" s="1269"/>
      <c r="I393" s="490"/>
    </row>
    <row r="394" spans="1:9">
      <c r="A394" s="476"/>
      <c r="B394" s="476"/>
      <c r="C394" s="476"/>
      <c r="D394" s="1269"/>
      <c r="E394" s="1269"/>
      <c r="F394" s="1269"/>
      <c r="I394" s="490"/>
    </row>
    <row r="395" spans="1:9">
      <c r="A395" s="476"/>
      <c r="B395" s="476"/>
      <c r="C395" s="476"/>
      <c r="D395" s="1269"/>
      <c r="E395" s="1269"/>
      <c r="F395" s="1269"/>
      <c r="I395" s="490"/>
    </row>
    <row r="396" spans="1:9" ht="18" customHeight="1">
      <c r="A396" s="476"/>
      <c r="B396" s="476"/>
      <c r="C396" s="476"/>
      <c r="D396" s="1269"/>
      <c r="E396" s="1269"/>
      <c r="F396" s="1269"/>
      <c r="I396" s="490"/>
    </row>
    <row r="397" spans="1:9">
      <c r="A397" s="476"/>
      <c r="B397" s="476"/>
      <c r="C397" s="476"/>
      <c r="D397" s="1269"/>
      <c r="E397" s="1269"/>
      <c r="F397" s="1269"/>
      <c r="I397" s="490"/>
    </row>
    <row r="398" spans="1:9">
      <c r="A398" s="476"/>
      <c r="B398" s="476"/>
      <c r="C398" s="476"/>
      <c r="D398" s="1269"/>
      <c r="E398" s="1269"/>
      <c r="F398" s="1269"/>
      <c r="I398" s="490"/>
    </row>
    <row r="399" spans="1:9">
      <c r="A399" s="476"/>
      <c r="B399" s="476"/>
      <c r="C399" s="476"/>
      <c r="D399" s="1269"/>
      <c r="E399" s="1269"/>
      <c r="F399" s="1269"/>
      <c r="I399" s="490"/>
    </row>
    <row r="400" spans="1:9" ht="8.25" customHeight="1">
      <c r="A400" s="476"/>
      <c r="B400" s="476"/>
      <c r="C400" s="476"/>
      <c r="D400" s="1269"/>
      <c r="E400" s="1269"/>
      <c r="F400" s="1269"/>
      <c r="I400" s="490"/>
    </row>
    <row r="401" spans="1:9" ht="13.75" customHeight="1">
      <c r="A401" s="476"/>
      <c r="B401" s="476"/>
      <c r="C401" s="476"/>
      <c r="D401" s="1269" t="s">
        <v>1133</v>
      </c>
      <c r="E401" s="1269"/>
      <c r="F401" s="1269"/>
      <c r="I401" s="490"/>
    </row>
    <row r="402" spans="1:9">
      <c r="A402" s="476"/>
      <c r="B402" s="476"/>
      <c r="C402" s="476"/>
      <c r="D402" s="1269"/>
      <c r="E402" s="1269"/>
      <c r="F402" s="1269"/>
      <c r="I402" s="490"/>
    </row>
    <row r="403" spans="1:9">
      <c r="A403" s="476"/>
      <c r="B403" s="476"/>
      <c r="C403" s="476"/>
      <c r="D403" s="1269"/>
      <c r="E403" s="1269"/>
      <c r="F403" s="1269"/>
      <c r="I403" s="490"/>
    </row>
    <row r="404" spans="1:9">
      <c r="A404" s="476"/>
      <c r="B404" s="476"/>
      <c r="C404" s="476"/>
      <c r="D404" s="1269"/>
      <c r="E404" s="1269"/>
      <c r="F404" s="1269"/>
      <c r="I404" s="490"/>
    </row>
    <row r="405" spans="1:9">
      <c r="A405" s="476"/>
      <c r="B405" s="476"/>
      <c r="C405" s="476"/>
      <c r="D405" s="1269"/>
      <c r="E405" s="1269"/>
      <c r="F405" s="1269"/>
      <c r="I405" s="490"/>
    </row>
    <row r="406" spans="1:9">
      <c r="A406" s="476"/>
      <c r="B406" s="476"/>
      <c r="C406" s="476"/>
      <c r="D406" s="1269"/>
      <c r="E406" s="1269"/>
      <c r="F406" s="1269"/>
      <c r="I406" s="490"/>
    </row>
    <row r="407" spans="1:9">
      <c r="A407" s="476"/>
      <c r="B407" s="476"/>
      <c r="C407" s="476"/>
      <c r="D407" s="1269"/>
      <c r="E407" s="1269"/>
      <c r="F407" s="1269"/>
      <c r="I407" s="490"/>
    </row>
    <row r="408" spans="1:9">
      <c r="A408" s="476"/>
      <c r="B408" s="476"/>
      <c r="C408" s="476"/>
      <c r="D408" s="1269"/>
      <c r="E408" s="1269"/>
      <c r="F408" s="1269"/>
      <c r="I408" s="490"/>
    </row>
    <row r="409" spans="1:9">
      <c r="A409" s="476"/>
      <c r="B409" s="476"/>
      <c r="C409" s="476"/>
      <c r="D409" s="1269"/>
      <c r="E409" s="1269"/>
      <c r="F409" s="1269"/>
      <c r="I409" s="490"/>
    </row>
    <row r="410" spans="1:9">
      <c r="A410" s="476"/>
      <c r="B410" s="476"/>
      <c r="C410" s="476"/>
      <c r="D410" s="1269"/>
      <c r="E410" s="1269"/>
      <c r="F410" s="1269"/>
      <c r="I410" s="490"/>
    </row>
    <row r="411" spans="1:9">
      <c r="A411" s="476"/>
      <c r="B411" s="476"/>
      <c r="C411" s="476"/>
      <c r="D411" s="1269"/>
      <c r="E411" s="1269"/>
      <c r="F411" s="1269"/>
      <c r="I411" s="490"/>
    </row>
    <row r="412" spans="1:9">
      <c r="A412" s="476"/>
      <c r="B412" s="476"/>
      <c r="C412" s="476"/>
      <c r="D412" s="1269"/>
      <c r="E412" s="1269"/>
      <c r="F412" s="1269"/>
      <c r="I412" s="490"/>
    </row>
    <row r="413" spans="1:9">
      <c r="A413" s="476"/>
      <c r="B413" s="476"/>
      <c r="C413" s="496"/>
      <c r="D413" s="1269"/>
      <c r="E413" s="1269"/>
      <c r="F413" s="1269"/>
      <c r="I413" s="490"/>
    </row>
    <row r="414" spans="1:9">
      <c r="A414" s="476"/>
      <c r="B414" s="476"/>
      <c r="C414" s="496"/>
      <c r="D414" s="1269"/>
      <c r="E414" s="1269"/>
      <c r="F414" s="1269"/>
      <c r="I414" s="490"/>
    </row>
    <row r="415" spans="1:9">
      <c r="A415" s="476"/>
      <c r="B415" s="476"/>
      <c r="C415" s="476"/>
      <c r="D415" s="1269"/>
      <c r="E415" s="1269"/>
      <c r="F415" s="1269"/>
      <c r="I415" s="490"/>
    </row>
    <row r="416" spans="1:9">
      <c r="A416" s="476"/>
      <c r="B416" s="476"/>
      <c r="C416" s="496"/>
      <c r="D416" s="1269"/>
      <c r="E416" s="1269"/>
      <c r="F416" s="1269"/>
      <c r="I416" s="490"/>
    </row>
    <row r="417" spans="1:9">
      <c r="A417" s="476"/>
      <c r="B417" s="476"/>
      <c r="C417" s="496"/>
      <c r="D417" s="1269"/>
      <c r="E417" s="1269"/>
      <c r="F417" s="1269"/>
      <c r="I417" s="490"/>
    </row>
    <row r="418" spans="1:9">
      <c r="A418" s="476"/>
      <c r="B418" s="476"/>
      <c r="C418" s="496"/>
      <c r="D418" s="1269"/>
      <c r="E418" s="1269"/>
      <c r="F418" s="1269"/>
      <c r="I418" s="490"/>
    </row>
    <row r="419" spans="1:9">
      <c r="A419" s="476"/>
      <c r="B419" s="476"/>
      <c r="C419" s="476"/>
      <c r="D419" s="447"/>
      <c r="E419" s="447"/>
      <c r="F419" s="446"/>
      <c r="I419" s="490"/>
    </row>
    <row r="420" spans="1:9">
      <c r="A420" s="476"/>
      <c r="B420" s="485" t="s">
        <v>2643</v>
      </c>
      <c r="C420" s="476"/>
      <c r="D420" s="1269" t="s">
        <v>1134</v>
      </c>
      <c r="E420" s="1269"/>
      <c r="F420" s="1269"/>
      <c r="I420" s="490"/>
    </row>
    <row r="421" spans="1:9">
      <c r="A421" s="476"/>
      <c r="B421" s="476"/>
      <c r="C421" s="476"/>
      <c r="D421" s="1269"/>
      <c r="E421" s="1269"/>
      <c r="F421" s="1269"/>
      <c r="I421" s="490"/>
    </row>
    <row r="422" spans="1:9">
      <c r="A422" s="476"/>
      <c r="B422" s="476"/>
      <c r="C422" s="476"/>
      <c r="D422" s="451"/>
      <c r="E422" s="451"/>
      <c r="F422" s="451"/>
      <c r="I422" s="490"/>
    </row>
    <row r="423" spans="1:9" ht="14.5" customHeight="1">
      <c r="A423" s="484"/>
      <c r="B423" s="485" t="s">
        <v>2643</v>
      </c>
      <c r="D423" s="1269" t="s">
        <v>1854</v>
      </c>
      <c r="E423" s="1269"/>
      <c r="F423" s="1269"/>
      <c r="I423" s="490"/>
    </row>
    <row r="424" spans="1:9" ht="14.5" customHeight="1">
      <c r="A424" s="484"/>
      <c r="D424" s="1269"/>
      <c r="E424" s="1269"/>
      <c r="F424" s="1269"/>
      <c r="I424" s="490"/>
    </row>
    <row r="425" spans="1:9" ht="14.5" customHeight="1">
      <c r="A425" s="484"/>
      <c r="D425" s="1269"/>
      <c r="E425" s="1269"/>
      <c r="F425" s="1269"/>
      <c r="I425" s="490"/>
    </row>
    <row r="426" spans="1:9" ht="14.5" customHeight="1">
      <c r="A426" s="484"/>
      <c r="D426" s="1269"/>
      <c r="E426" s="1269"/>
      <c r="F426" s="1269"/>
      <c r="I426" s="490"/>
    </row>
    <row r="427" spans="1:9" ht="14.5" customHeight="1">
      <c r="A427" s="484"/>
      <c r="D427" s="1269"/>
      <c r="E427" s="1269"/>
      <c r="F427" s="1269"/>
      <c r="I427" s="490"/>
    </row>
    <row r="428" spans="1:9" ht="14.5" customHeight="1">
      <c r="A428" s="484"/>
      <c r="D428" s="385"/>
      <c r="E428" s="385"/>
      <c r="F428" s="385"/>
      <c r="I428" s="490"/>
    </row>
    <row r="429" spans="1:9" ht="13.75" customHeight="1">
      <c r="A429" s="484"/>
      <c r="B429" s="485" t="s">
        <v>2643</v>
      </c>
      <c r="C429" s="476"/>
      <c r="D429" s="1269" t="s">
        <v>1238</v>
      </c>
      <c r="E429" s="1269"/>
      <c r="F429" s="1269"/>
      <c r="I429" s="490"/>
    </row>
    <row r="430" spans="1:9">
      <c r="A430" s="497"/>
      <c r="B430" s="497"/>
      <c r="C430" s="476"/>
      <c r="D430" s="1269"/>
      <c r="E430" s="1269"/>
      <c r="F430" s="1269"/>
      <c r="I430" s="490"/>
    </row>
    <row r="431" spans="1:9">
      <c r="A431" s="497"/>
      <c r="B431" s="497"/>
      <c r="C431" s="476"/>
      <c r="D431" s="1269"/>
      <c r="E431" s="1269"/>
      <c r="F431" s="1269"/>
      <c r="I431" s="490"/>
    </row>
    <row r="432" spans="1:9">
      <c r="A432" s="497"/>
      <c r="B432" s="497"/>
      <c r="C432" s="476"/>
      <c r="D432" s="1269"/>
      <c r="E432" s="1269"/>
      <c r="F432" s="1269"/>
      <c r="I432" s="490"/>
    </row>
    <row r="433" spans="1:9" ht="15.75" customHeight="1">
      <c r="A433" s="497"/>
      <c r="B433" s="497"/>
      <c r="C433" s="476"/>
      <c r="D433" s="1296" t="s">
        <v>2610</v>
      </c>
      <c r="E433" s="1269"/>
      <c r="F433" s="1269"/>
      <c r="I433" s="490"/>
    </row>
    <row r="434" spans="1:9">
      <c r="D434" s="446"/>
      <c r="E434" s="446"/>
      <c r="F434" s="446"/>
      <c r="I434" s="490"/>
    </row>
    <row r="435" spans="1:9">
      <c r="A435" s="484"/>
      <c r="B435" s="485" t="s">
        <v>2643</v>
      </c>
      <c r="C435" s="487"/>
      <c r="D435" s="1290" t="s">
        <v>2016</v>
      </c>
      <c r="E435" s="1290"/>
      <c r="F435" s="1290"/>
      <c r="I435" s="490"/>
    </row>
    <row r="436" spans="1:9">
      <c r="A436" s="484"/>
      <c r="B436" s="484"/>
      <c r="D436" s="1290"/>
      <c r="E436" s="1290"/>
      <c r="F436" s="1290"/>
      <c r="I436" s="490"/>
    </row>
    <row r="437" spans="1:9">
      <c r="D437" s="1290"/>
      <c r="E437" s="1290"/>
      <c r="F437" s="1290"/>
      <c r="I437" s="490"/>
    </row>
    <row r="438" spans="1:9">
      <c r="D438" s="1290"/>
      <c r="E438" s="1290"/>
      <c r="F438" s="1290"/>
      <c r="I438" s="490"/>
    </row>
    <row r="439" spans="1:9">
      <c r="D439" s="1290"/>
      <c r="E439" s="1290"/>
      <c r="F439" s="1290"/>
      <c r="I439" s="490"/>
    </row>
    <row r="440" spans="1:9">
      <c r="D440" s="1290"/>
      <c r="E440" s="1290"/>
      <c r="F440" s="1290"/>
      <c r="I440" s="490"/>
    </row>
    <row r="441" spans="1:9">
      <c r="D441" s="1290"/>
      <c r="E441" s="1290"/>
      <c r="F441" s="1290"/>
      <c r="I441" s="490"/>
    </row>
    <row r="442" spans="1:9">
      <c r="D442" s="1290"/>
      <c r="E442" s="1290"/>
      <c r="F442" s="1290"/>
      <c r="I442" s="490"/>
    </row>
    <row r="443" spans="1:9">
      <c r="D443" s="1290"/>
      <c r="E443" s="1290"/>
      <c r="F443" s="1290"/>
      <c r="I443" s="490"/>
    </row>
    <row r="444" spans="1:9">
      <c r="D444" s="1290"/>
      <c r="E444" s="1290"/>
      <c r="F444" s="1290"/>
      <c r="I444" s="490"/>
    </row>
    <row r="445" spans="1:9">
      <c r="D445" s="1290"/>
      <c r="E445" s="1290"/>
      <c r="F445" s="1290"/>
      <c r="I445" s="490"/>
    </row>
    <row r="446" spans="1:9">
      <c r="D446" s="1290"/>
      <c r="E446" s="1290"/>
      <c r="F446" s="1290"/>
      <c r="I446" s="490"/>
    </row>
    <row r="447" spans="1:9">
      <c r="D447" s="1290"/>
      <c r="E447" s="1290"/>
      <c r="F447" s="1290"/>
      <c r="I447" s="490"/>
    </row>
    <row r="448" spans="1:9">
      <c r="A448" s="402"/>
      <c r="B448" s="402"/>
      <c r="C448" s="402"/>
      <c r="D448" s="1290"/>
      <c r="E448" s="1290"/>
      <c r="F448" s="1290"/>
      <c r="I448" s="490"/>
    </row>
    <row r="449" spans="1:9">
      <c r="A449" s="402"/>
      <c r="B449" s="402"/>
      <c r="C449" s="402"/>
      <c r="D449" s="1290"/>
      <c r="E449" s="1290"/>
      <c r="F449" s="1290"/>
      <c r="I449" s="490"/>
    </row>
    <row r="450" spans="1:9">
      <c r="A450" s="402"/>
      <c r="B450" s="402"/>
      <c r="C450" s="402"/>
      <c r="D450" s="1290"/>
      <c r="E450" s="1290"/>
      <c r="F450" s="1290"/>
      <c r="I450" s="490"/>
    </row>
    <row r="451" spans="1:9">
      <c r="A451" s="402"/>
      <c r="B451" s="402"/>
      <c r="C451" s="402"/>
      <c r="D451" s="1290"/>
      <c r="E451" s="1290"/>
      <c r="F451" s="1290"/>
      <c r="I451" s="490"/>
    </row>
    <row r="452" spans="1:9">
      <c r="A452" s="402"/>
      <c r="B452" s="402"/>
      <c r="C452" s="402"/>
      <c r="D452" s="1290"/>
      <c r="E452" s="1290"/>
      <c r="F452" s="1290"/>
      <c r="I452" s="490"/>
    </row>
    <row r="453" spans="1:9">
      <c r="A453" s="402"/>
      <c r="B453" s="402"/>
      <c r="C453" s="402"/>
      <c r="D453" s="1290"/>
      <c r="E453" s="1290"/>
      <c r="F453" s="1290"/>
      <c r="I453" s="490"/>
    </row>
    <row r="454" spans="1:9">
      <c r="A454" s="402"/>
      <c r="B454" s="402"/>
      <c r="C454" s="402"/>
      <c r="D454" s="1290"/>
      <c r="E454" s="1290"/>
      <c r="F454" s="1290"/>
      <c r="I454" s="490"/>
    </row>
    <row r="455" spans="1:9">
      <c r="A455" s="402"/>
      <c r="B455" s="402"/>
      <c r="C455" s="402"/>
      <c r="D455" s="1290"/>
      <c r="E455" s="1290"/>
      <c r="F455" s="1290"/>
      <c r="I455" s="490"/>
    </row>
    <row r="456" spans="1:9">
      <c r="A456" s="402"/>
      <c r="B456" s="402"/>
      <c r="C456" s="402"/>
      <c r="D456" s="1290"/>
      <c r="E456" s="1290"/>
      <c r="F456" s="1290"/>
      <c r="I456" s="490"/>
    </row>
    <row r="457" spans="1:9">
      <c r="A457" s="402"/>
      <c r="B457" s="402"/>
      <c r="C457" s="402"/>
      <c r="D457" s="1290"/>
      <c r="E457" s="1290"/>
      <c r="F457" s="1290"/>
      <c r="I457" s="490"/>
    </row>
    <row r="458" spans="1:9">
      <c r="A458" s="402"/>
      <c r="B458" s="402"/>
      <c r="C458" s="402"/>
      <c r="D458" s="1290"/>
      <c r="E458" s="1290"/>
      <c r="F458" s="1290"/>
      <c r="I458" s="490"/>
    </row>
    <row r="459" spans="1:9">
      <c r="A459" s="402"/>
      <c r="B459" s="402"/>
      <c r="C459" s="402"/>
      <c r="D459" s="1290"/>
      <c r="E459" s="1290"/>
      <c r="F459" s="1290"/>
      <c r="I459" s="490"/>
    </row>
    <row r="460" spans="1:9">
      <c r="A460" s="402"/>
      <c r="B460" s="402"/>
      <c r="C460" s="402"/>
      <c r="D460" s="1290"/>
      <c r="E460" s="1290"/>
      <c r="F460" s="1290"/>
      <c r="I460" s="490"/>
    </row>
    <row r="461" spans="1:9">
      <c r="A461" s="402"/>
      <c r="B461" s="402"/>
      <c r="C461" s="402"/>
      <c r="D461" s="1290"/>
      <c r="E461" s="1290"/>
      <c r="F461" s="1290"/>
      <c r="I461" s="490"/>
    </row>
    <row r="462" spans="1:9">
      <c r="A462" s="402"/>
      <c r="B462" s="402"/>
      <c r="C462" s="402"/>
      <c r="D462" s="1290"/>
      <c r="E462" s="1290"/>
      <c r="F462" s="1290"/>
      <c r="I462" s="490"/>
    </row>
    <row r="463" spans="1:9">
      <c r="A463" s="402"/>
      <c r="B463" s="402"/>
      <c r="C463" s="402"/>
      <c r="D463" s="1290"/>
      <c r="E463" s="1290"/>
      <c r="F463" s="1290"/>
      <c r="I463" s="490"/>
    </row>
    <row r="464" spans="1:9">
      <c r="D464" s="1290"/>
      <c r="E464" s="1290"/>
      <c r="F464" s="1290"/>
      <c r="I464" s="490"/>
    </row>
    <row r="465" spans="1:9" ht="40.75" customHeight="1">
      <c r="D465" s="1290"/>
      <c r="E465" s="1290"/>
      <c r="F465" s="1290"/>
      <c r="I465" s="490"/>
    </row>
    <row r="466" spans="1:9">
      <c r="D466" s="446"/>
      <c r="E466" s="446"/>
      <c r="F466" s="446"/>
      <c r="I466" s="490"/>
    </row>
    <row r="467" spans="1:9">
      <c r="A467" s="484"/>
      <c r="B467" s="485" t="s">
        <v>2643</v>
      </c>
      <c r="C467" s="487"/>
      <c r="D467" s="1290" t="s">
        <v>1135</v>
      </c>
      <c r="E467" s="1290"/>
      <c r="F467" s="1290"/>
      <c r="I467" s="490"/>
    </row>
    <row r="468" spans="1:9">
      <c r="D468" s="1290"/>
      <c r="E468" s="1290"/>
      <c r="F468" s="1290"/>
      <c r="I468" s="490"/>
    </row>
    <row r="469" spans="1:9">
      <c r="D469" s="1290"/>
      <c r="E469" s="1290"/>
      <c r="F469" s="1290"/>
      <c r="I469" s="490"/>
    </row>
    <row r="470" spans="1:9">
      <c r="D470" s="445"/>
      <c r="E470" s="445"/>
      <c r="F470" s="445"/>
      <c r="I470" s="490"/>
    </row>
    <row r="471" spans="1:9">
      <c r="B471" s="485" t="s">
        <v>2643</v>
      </c>
      <c r="C471" s="484"/>
      <c r="D471" s="1290" t="s">
        <v>1195</v>
      </c>
      <c r="E471" s="1290"/>
      <c r="F471" s="1290"/>
      <c r="I471" s="490"/>
    </row>
    <row r="472" spans="1:9">
      <c r="D472" s="1290"/>
      <c r="E472" s="1290"/>
      <c r="F472" s="1290"/>
      <c r="I472" s="490"/>
    </row>
    <row r="473" spans="1:9">
      <c r="D473" s="446"/>
      <c r="E473" s="446"/>
      <c r="F473" s="446"/>
      <c r="I473" s="490"/>
    </row>
    <row r="474" spans="1:9">
      <c r="B474" s="485" t="s">
        <v>2643</v>
      </c>
      <c r="C474" s="484"/>
      <c r="D474" s="1290" t="s">
        <v>1136</v>
      </c>
      <c r="E474" s="1290"/>
      <c r="F474" s="1290"/>
      <c r="I474" s="490"/>
    </row>
    <row r="475" spans="1:9">
      <c r="D475" s="1290"/>
      <c r="E475" s="1290"/>
      <c r="F475" s="1290"/>
      <c r="I475" s="490"/>
    </row>
    <row r="476" spans="1:9">
      <c r="D476" s="1290"/>
      <c r="E476" s="1290"/>
      <c r="F476" s="1290"/>
      <c r="I476" s="490"/>
    </row>
    <row r="477" spans="1:9">
      <c r="D477" s="1290"/>
      <c r="E477" s="1290"/>
      <c r="F477" s="1290"/>
      <c r="I477" s="490"/>
    </row>
    <row r="478" spans="1:9">
      <c r="B478" s="485" t="s">
        <v>2643</v>
      </c>
      <c r="D478" s="1290"/>
      <c r="E478" s="1290"/>
      <c r="F478" s="1290"/>
      <c r="I478" s="490"/>
    </row>
    <row r="479" spans="1:9">
      <c r="A479" s="402"/>
      <c r="B479" s="402"/>
      <c r="C479" s="402"/>
      <c r="D479" s="1290"/>
      <c r="E479" s="1290"/>
      <c r="F479" s="1290"/>
      <c r="I479" s="490"/>
    </row>
    <row r="480" spans="1:9">
      <c r="A480" s="402"/>
      <c r="C480" s="402"/>
      <c r="D480" s="1290"/>
      <c r="E480" s="1290"/>
      <c r="F480" s="1290"/>
      <c r="I480" s="490"/>
    </row>
    <row r="481" spans="1:9">
      <c r="A481" s="402"/>
      <c r="B481" s="485" t="s">
        <v>2643</v>
      </c>
      <c r="C481" s="402"/>
      <c r="D481" s="1290"/>
      <c r="E481" s="1290"/>
      <c r="F481" s="1290"/>
      <c r="I481" s="490"/>
    </row>
    <row r="482" spans="1:9">
      <c r="A482" s="402"/>
      <c r="B482" s="402"/>
      <c r="C482" s="402"/>
      <c r="D482" s="1290"/>
      <c r="E482" s="1290"/>
      <c r="F482" s="1290"/>
      <c r="I482" s="490"/>
    </row>
    <row r="483" spans="1:9">
      <c r="A483" s="402"/>
      <c r="C483" s="402"/>
      <c r="D483" s="1290"/>
      <c r="E483" s="1290"/>
      <c r="F483" s="1290"/>
      <c r="I483" s="490"/>
    </row>
    <row r="484" spans="1:9">
      <c r="A484" s="402"/>
      <c r="C484" s="402"/>
      <c r="D484" s="1290"/>
      <c r="E484" s="1290"/>
      <c r="F484" s="1290"/>
      <c r="I484" s="490"/>
    </row>
    <row r="485" spans="1:9">
      <c r="A485" s="402"/>
      <c r="C485" s="402"/>
      <c r="D485" s="1290"/>
      <c r="E485" s="1290"/>
      <c r="F485" s="1290"/>
      <c r="I485" s="490"/>
    </row>
    <row r="486" spans="1:9">
      <c r="A486" s="402"/>
      <c r="B486" s="485" t="s">
        <v>2643</v>
      </c>
      <c r="C486" s="402"/>
      <c r="D486" s="1290"/>
      <c r="E486" s="1290"/>
      <c r="F486" s="1290"/>
      <c r="I486" s="490"/>
    </row>
    <row r="487" spans="1:9">
      <c r="A487" s="402"/>
      <c r="C487" s="402"/>
      <c r="D487" s="1290"/>
      <c r="E487" s="1290"/>
      <c r="F487" s="1290"/>
      <c r="I487" s="490"/>
    </row>
    <row r="488" spans="1:9">
      <c r="A488" s="402"/>
      <c r="B488" s="485" t="s">
        <v>2643</v>
      </c>
      <c r="C488" s="402"/>
      <c r="D488" s="1290" t="s">
        <v>1137</v>
      </c>
      <c r="E488" s="1290"/>
      <c r="F488" s="1290"/>
      <c r="I488" s="490"/>
    </row>
    <row r="489" spans="1:9">
      <c r="A489" s="402"/>
      <c r="B489" s="402"/>
      <c r="C489" s="402"/>
      <c r="D489" s="1290"/>
      <c r="E489" s="1290"/>
      <c r="F489" s="1290"/>
      <c r="I489" s="490"/>
    </row>
    <row r="490" spans="1:9">
      <c r="A490" s="402"/>
      <c r="B490" s="402"/>
      <c r="C490" s="402"/>
      <c r="D490" s="1290"/>
      <c r="E490" s="1290"/>
      <c r="F490" s="1290"/>
      <c r="I490" s="490"/>
    </row>
    <row r="491" spans="1:9">
      <c r="A491" s="402"/>
      <c r="B491" s="402"/>
      <c r="C491" s="402"/>
      <c r="D491" s="1290"/>
      <c r="E491" s="1290"/>
      <c r="F491" s="1290"/>
      <c r="I491" s="490"/>
    </row>
    <row r="492" spans="1:9">
      <c r="D492" s="1290"/>
      <c r="E492" s="1290"/>
      <c r="F492" s="1290"/>
      <c r="I492" s="490"/>
    </row>
    <row r="493" spans="1:9">
      <c r="D493" s="446"/>
      <c r="E493" s="446"/>
      <c r="F493" s="446"/>
      <c r="I493" s="490"/>
    </row>
    <row r="494" spans="1:9">
      <c r="B494" s="485" t="s">
        <v>2643</v>
      </c>
      <c r="D494" s="1291" t="s">
        <v>1138</v>
      </c>
      <c r="E494" s="1291"/>
      <c r="F494" s="1291"/>
      <c r="I494" s="490"/>
    </row>
    <row r="495" spans="1:9">
      <c r="A495" s="446"/>
      <c r="B495" s="446"/>
      <c r="I495" s="490"/>
    </row>
    <row r="496" spans="1:9">
      <c r="A496" s="1293" t="s">
        <v>1048</v>
      </c>
      <c r="B496" s="1293"/>
      <c r="C496" s="1293"/>
      <c r="D496" s="1293"/>
      <c r="E496" s="1293"/>
      <c r="F496" s="1293"/>
      <c r="G496" s="1293"/>
      <c r="H496" s="1023"/>
      <c r="I496" s="1147"/>
    </row>
    <row r="497" spans="1:9">
      <c r="A497" s="446"/>
      <c r="B497" s="446"/>
      <c r="I497" s="490"/>
    </row>
    <row r="498" spans="1:9">
      <c r="D498" s="1303" t="s">
        <v>882</v>
      </c>
      <c r="E498" s="1303"/>
      <c r="F498" s="1303"/>
      <c r="I498" s="490"/>
    </row>
    <row r="499" spans="1:9">
      <c r="A499" s="484"/>
      <c r="B499" s="484"/>
      <c r="D499" s="1304" t="s">
        <v>1139</v>
      </c>
      <c r="E499" s="1304"/>
      <c r="F499" s="1304"/>
      <c r="I499" s="490"/>
    </row>
    <row r="500" spans="1:9">
      <c r="A500" s="484"/>
      <c r="B500" s="484"/>
      <c r="D500" s="447"/>
      <c r="I500" s="490"/>
    </row>
    <row r="501" spans="1:9">
      <c r="A501" s="484"/>
      <c r="B501" s="485" t="s">
        <v>2643</v>
      </c>
      <c r="D501" s="1269" t="s">
        <v>1140</v>
      </c>
      <c r="E501" s="1269"/>
      <c r="F501" s="1269"/>
      <c r="I501" s="490"/>
    </row>
    <row r="502" spans="1:9">
      <c r="A502" s="484"/>
      <c r="B502" s="484"/>
      <c r="D502" s="1269"/>
      <c r="E502" s="1269"/>
      <c r="F502" s="1269"/>
      <c r="I502" s="490"/>
    </row>
    <row r="503" spans="1:9">
      <c r="A503" s="484"/>
      <c r="B503" s="484"/>
      <c r="D503" s="446"/>
      <c r="I503" s="490"/>
    </row>
    <row r="504" spans="1:9" ht="12.75" customHeight="1">
      <c r="B504" s="485" t="s">
        <v>2643</v>
      </c>
      <c r="D504" s="1294" t="s">
        <v>1271</v>
      </c>
      <c r="E504" s="1294"/>
      <c r="F504" s="1294"/>
      <c r="I504" s="490"/>
    </row>
    <row r="505" spans="1:9">
      <c r="A505" s="484"/>
      <c r="D505" s="1294"/>
      <c r="E505" s="1294"/>
      <c r="F505" s="1294"/>
      <c r="I505" s="490"/>
    </row>
    <row r="506" spans="1:9">
      <c r="A506" s="484"/>
      <c r="B506" s="484"/>
      <c r="D506" s="1294"/>
      <c r="E506" s="1294"/>
      <c r="F506" s="1294"/>
      <c r="I506" s="490"/>
    </row>
    <row r="507" spans="1:9">
      <c r="A507" s="484"/>
      <c r="B507" s="484"/>
      <c r="D507" s="1294"/>
      <c r="E507" s="1294"/>
      <c r="F507" s="1294"/>
      <c r="I507" s="490"/>
    </row>
    <row r="508" spans="1:9">
      <c r="A508" s="484"/>
      <c r="D508" s="520"/>
      <c r="E508" s="520"/>
      <c r="F508" s="520"/>
      <c r="I508" s="490"/>
    </row>
    <row r="509" spans="1:9">
      <c r="A509" s="484"/>
      <c r="B509" s="485" t="s">
        <v>2643</v>
      </c>
      <c r="D509" s="1291" t="s">
        <v>1141</v>
      </c>
      <c r="E509" s="1291"/>
      <c r="F509" s="1291"/>
      <c r="I509" s="490"/>
    </row>
    <row r="510" spans="1:9">
      <c r="A510" s="484"/>
      <c r="B510" s="484"/>
      <c r="D510" s="446"/>
      <c r="I510" s="490"/>
    </row>
    <row r="511" spans="1:9">
      <c r="A511" s="484"/>
      <c r="B511" s="485" t="s">
        <v>2643</v>
      </c>
      <c r="D511" s="1290" t="s">
        <v>1142</v>
      </c>
      <c r="E511" s="1290"/>
      <c r="F511" s="1290"/>
      <c r="I511" s="490"/>
    </row>
    <row r="512" spans="1:9">
      <c r="A512" s="484"/>
      <c r="D512" s="1290"/>
      <c r="E512" s="1290"/>
      <c r="F512" s="1290"/>
      <c r="I512" s="490"/>
    </row>
    <row r="513" spans="1:9">
      <c r="A513" s="490"/>
      <c r="B513" s="490"/>
      <c r="D513" s="447"/>
      <c r="I513" s="490"/>
    </row>
    <row r="514" spans="1:9">
      <c r="A514" s="490"/>
      <c r="B514" s="485" t="s">
        <v>2643</v>
      </c>
      <c r="D514" s="1291" t="s">
        <v>1143</v>
      </c>
      <c r="E514" s="1291"/>
      <c r="F514" s="1291"/>
      <c r="I514" s="490"/>
    </row>
    <row r="515" spans="1:9">
      <c r="D515" s="446"/>
      <c r="E515" s="446"/>
      <c r="F515" s="446"/>
      <c r="I515" s="490"/>
    </row>
    <row r="516" spans="1:9">
      <c r="B516" s="485" t="s">
        <v>2643</v>
      </c>
      <c r="D516" s="1290" t="s">
        <v>2219</v>
      </c>
      <c r="E516" s="1290"/>
      <c r="F516" s="1290"/>
      <c r="I516" s="490"/>
    </row>
    <row r="517" spans="1:9">
      <c r="D517" s="1290"/>
      <c r="E517" s="1290"/>
      <c r="F517" s="1290"/>
      <c r="I517" s="490"/>
    </row>
    <row r="518" spans="1:9">
      <c r="D518" s="1290"/>
      <c r="E518" s="1290"/>
      <c r="F518" s="1290"/>
      <c r="I518" s="490"/>
    </row>
    <row r="519" spans="1:9">
      <c r="D519" s="446"/>
      <c r="E519" s="446"/>
      <c r="F519" s="446"/>
      <c r="I519" s="490"/>
    </row>
    <row r="520" spans="1:9">
      <c r="A520" s="484"/>
      <c r="B520" s="484"/>
      <c r="D520" s="446"/>
      <c r="I520" s="490"/>
    </row>
    <row r="521" spans="1:9">
      <c r="A521" s="1293" t="s">
        <v>1049</v>
      </c>
      <c r="B521" s="1293"/>
      <c r="C521" s="1293"/>
      <c r="D521" s="1293"/>
      <c r="E521" s="1293"/>
      <c r="F521" s="1293"/>
      <c r="G521" s="1293"/>
      <c r="H521" s="1023"/>
      <c r="I521" s="1147"/>
    </row>
    <row r="522" spans="1:9" ht="12" customHeight="1">
      <c r="A522" s="484"/>
      <c r="B522" s="484"/>
      <c r="D522" s="446"/>
      <c r="I522" s="490"/>
    </row>
    <row r="523" spans="1:9">
      <c r="C523" s="482"/>
      <c r="D523" s="1299" t="s">
        <v>792</v>
      </c>
      <c r="E523" s="1299"/>
      <c r="F523" s="1299"/>
      <c r="I523" s="490"/>
    </row>
    <row r="524" spans="1:9">
      <c r="C524" s="482"/>
      <c r="D524" s="506" t="s">
        <v>1197</v>
      </c>
      <c r="E524" s="506"/>
      <c r="F524" s="506"/>
      <c r="I524" s="490"/>
    </row>
    <row r="525" spans="1:9">
      <c r="C525" s="482"/>
      <c r="D525" s="506" t="s">
        <v>1198</v>
      </c>
      <c r="E525" s="506"/>
      <c r="F525" s="506"/>
      <c r="I525" s="490"/>
    </row>
    <row r="526" spans="1:9">
      <c r="C526" s="482"/>
      <c r="D526" s="481"/>
      <c r="E526" s="481"/>
      <c r="F526" s="481"/>
      <c r="I526" s="490"/>
    </row>
    <row r="527" spans="1:9" ht="13.75" customHeight="1">
      <c r="A527" s="483"/>
      <c r="B527" s="485" t="s">
        <v>2642</v>
      </c>
      <c r="C527" s="483"/>
      <c r="D527" s="1269" t="s">
        <v>2017</v>
      </c>
      <c r="E527" s="1269"/>
      <c r="F527" s="1269"/>
      <c r="I527" s="490"/>
    </row>
    <row r="528" spans="1:9">
      <c r="A528" s="483"/>
      <c r="B528" s="483"/>
      <c r="C528" s="483"/>
      <c r="D528" s="1269"/>
      <c r="E528" s="1269"/>
      <c r="F528" s="1269"/>
      <c r="I528" s="490"/>
    </row>
    <row r="529" spans="1:9">
      <c r="A529" s="483"/>
      <c r="B529" s="483"/>
      <c r="C529" s="483"/>
      <c r="D529" s="451"/>
      <c r="E529" s="451"/>
      <c r="F529" s="451"/>
      <c r="I529" s="480"/>
    </row>
    <row r="530" spans="1:9" ht="12.75" customHeight="1">
      <c r="A530" s="483"/>
      <c r="B530" s="485" t="s">
        <v>2642</v>
      </c>
      <c r="D530" s="386" t="s">
        <v>1875</v>
      </c>
      <c r="E530" s="385"/>
      <c r="F530" s="385"/>
      <c r="I530" s="490"/>
    </row>
    <row r="531" spans="1:9">
      <c r="A531" s="483"/>
      <c r="B531" s="483"/>
      <c r="C531" s="483"/>
      <c r="D531" s="385"/>
      <c r="E531" s="96" t="s">
        <v>1876</v>
      </c>
      <c r="I531" s="490"/>
    </row>
    <row r="532" spans="1:9">
      <c r="A532" s="483"/>
      <c r="B532" s="483"/>
      <c r="D532" s="1286" t="s">
        <v>2018</v>
      </c>
      <c r="E532" s="1286"/>
      <c r="F532" s="1286"/>
      <c r="I532" s="490"/>
    </row>
    <row r="533" spans="1:9">
      <c r="A533" s="483"/>
      <c r="B533" s="483"/>
      <c r="D533" s="1286"/>
      <c r="E533" s="1286"/>
      <c r="F533" s="1286"/>
      <c r="I533" s="490"/>
    </row>
    <row r="534" spans="1:9">
      <c r="A534" s="483"/>
      <c r="B534" s="483"/>
      <c r="C534" s="483"/>
      <c r="D534" s="1286"/>
      <c r="E534" s="1286"/>
      <c r="F534" s="1286"/>
      <c r="I534" s="490"/>
    </row>
    <row r="535" spans="1:9">
      <c r="A535" s="483"/>
      <c r="B535" s="483"/>
      <c r="C535" s="483"/>
      <c r="D535" s="498"/>
      <c r="F535" s="446"/>
      <c r="I535" s="490"/>
    </row>
    <row r="536" spans="1:9" ht="13.15" customHeight="1">
      <c r="A536" s="483"/>
      <c r="B536" s="485" t="s">
        <v>2643</v>
      </c>
      <c r="C536" s="483"/>
      <c r="D536" s="1290" t="s">
        <v>2634</v>
      </c>
      <c r="E536" s="1290"/>
      <c r="F536" s="1290"/>
      <c r="I536" s="490"/>
    </row>
    <row r="537" spans="1:9" ht="13.15" customHeight="1">
      <c r="A537" s="483"/>
      <c r="B537" s="483"/>
      <c r="C537" s="483"/>
      <c r="D537" s="1290"/>
      <c r="E537" s="1290"/>
      <c r="F537" s="1290"/>
      <c r="I537" s="490"/>
    </row>
    <row r="538" spans="1:9">
      <c r="A538" s="483"/>
      <c r="B538" s="483"/>
      <c r="C538" s="483"/>
      <c r="D538" s="1290"/>
      <c r="E538" s="1290"/>
      <c r="F538" s="1290"/>
      <c r="I538" s="490"/>
    </row>
    <row r="539" spans="1:9" ht="12" customHeight="1">
      <c r="A539" s="446"/>
      <c r="B539" s="446"/>
      <c r="C539" s="487"/>
      <c r="D539" s="446"/>
      <c r="F539" s="448"/>
      <c r="I539" s="490"/>
    </row>
    <row r="540" spans="1:9">
      <c r="A540" s="1293" t="s">
        <v>1050</v>
      </c>
      <c r="B540" s="1293"/>
      <c r="C540" s="1293"/>
      <c r="D540" s="1293"/>
      <c r="E540" s="1293"/>
      <c r="F540" s="1293"/>
      <c r="G540" s="1293"/>
      <c r="H540" s="1023"/>
      <c r="I540" s="1147"/>
    </row>
    <row r="541" spans="1:9">
      <c r="A541" s="446"/>
      <c r="B541" s="446"/>
      <c r="C541" s="487"/>
      <c r="F541" s="448"/>
      <c r="I541" s="490"/>
    </row>
    <row r="542" spans="1:9">
      <c r="B542" s="1297" t="s">
        <v>445</v>
      </c>
      <c r="C542" s="1297"/>
      <c r="D542" s="1297"/>
      <c r="E542" s="1297"/>
      <c r="F542" s="1297"/>
      <c r="I542" s="490"/>
    </row>
    <row r="543" spans="1:9">
      <c r="A543" s="446"/>
      <c r="B543" s="446"/>
      <c r="C543" s="487"/>
      <c r="D543" s="446"/>
      <c r="F543" s="446"/>
      <c r="I543" s="490"/>
    </row>
    <row r="544" spans="1:9">
      <c r="A544" s="1298" t="s">
        <v>1051</v>
      </c>
      <c r="B544" s="1298"/>
      <c r="C544" s="1298"/>
      <c r="D544" s="1298"/>
      <c r="E544" s="1298"/>
      <c r="F544" s="1298"/>
      <c r="G544" s="1298"/>
      <c r="H544" s="1023"/>
      <c r="I544" s="1147"/>
    </row>
    <row r="545" spans="1:9">
      <c r="A545" s="446"/>
      <c r="B545" s="446"/>
      <c r="C545" s="487"/>
      <c r="D545" s="446"/>
      <c r="F545" s="446"/>
      <c r="I545" s="490"/>
    </row>
    <row r="546" spans="1:9">
      <c r="C546" s="487"/>
      <c r="D546" s="1299" t="s">
        <v>682</v>
      </c>
      <c r="E546" s="1299"/>
      <c r="F546" s="1299"/>
      <c r="I546" s="490"/>
    </row>
    <row r="547" spans="1:9">
      <c r="C547" s="487"/>
      <c r="D547" s="1291" t="s">
        <v>1079</v>
      </c>
      <c r="E547" s="1291"/>
      <c r="F547" s="1291"/>
      <c r="I547" s="490"/>
    </row>
    <row r="548" spans="1:9">
      <c r="C548" s="487"/>
      <c r="D548" s="446"/>
      <c r="E548" s="446"/>
      <c r="F548" s="446"/>
      <c r="I548" s="490"/>
    </row>
    <row r="549" spans="1:9" ht="13.75" customHeight="1">
      <c r="A549" s="484"/>
      <c r="B549" s="485" t="s">
        <v>2642</v>
      </c>
      <c r="C549" s="487"/>
      <c r="D549" s="1291" t="s">
        <v>883</v>
      </c>
      <c r="E549" s="1291"/>
      <c r="F549" s="1291"/>
      <c r="I549" s="490"/>
    </row>
    <row r="550" spans="1:9" ht="13.75" customHeight="1">
      <c r="A550" s="487"/>
      <c r="B550" s="487"/>
      <c r="C550" s="487"/>
      <c r="D550" s="446"/>
      <c r="I550" s="490"/>
    </row>
    <row r="551" spans="1:9">
      <c r="A551" s="484"/>
      <c r="B551" s="485" t="s">
        <v>2642</v>
      </c>
      <c r="C551" s="487"/>
      <c r="D551" s="1290" t="s">
        <v>1080</v>
      </c>
      <c r="E551" s="1290"/>
      <c r="F551" s="1290"/>
      <c r="I551" s="490"/>
    </row>
    <row r="552" spans="1:9">
      <c r="A552" s="487"/>
      <c r="B552" s="487"/>
      <c r="C552" s="487"/>
      <c r="D552" s="1290"/>
      <c r="E552" s="1290"/>
      <c r="F552" s="1290"/>
      <c r="I552" s="490"/>
    </row>
    <row r="553" spans="1:9">
      <c r="A553" s="487"/>
      <c r="B553" s="487"/>
      <c r="C553" s="487"/>
      <c r="D553" s="446"/>
      <c r="E553" s="446"/>
      <c r="F553" s="446"/>
      <c r="I553" s="490"/>
    </row>
    <row r="554" spans="1:9">
      <c r="A554" s="484"/>
      <c r="B554" s="485" t="s">
        <v>2642</v>
      </c>
      <c r="C554" s="487"/>
      <c r="D554" s="1290" t="s">
        <v>1081</v>
      </c>
      <c r="E554" s="1290"/>
      <c r="F554" s="1290"/>
      <c r="I554" s="490"/>
    </row>
    <row r="555" spans="1:9">
      <c r="A555" s="487"/>
      <c r="B555" s="487"/>
      <c r="C555" s="487"/>
      <c r="D555" s="1290"/>
      <c r="E555" s="1290"/>
      <c r="F555" s="1290"/>
      <c r="I555" s="490"/>
    </row>
    <row r="556" spans="1:9">
      <c r="A556" s="487"/>
      <c r="B556" s="487"/>
      <c r="C556" s="487"/>
      <c r="D556" s="446"/>
      <c r="E556" s="446"/>
      <c r="F556" s="446"/>
      <c r="I556" s="490"/>
    </row>
    <row r="557" spans="1:9">
      <c r="A557" s="484"/>
      <c r="B557" s="485" t="s">
        <v>2642</v>
      </c>
      <c r="C557" s="487"/>
      <c r="D557" s="1290" t="s">
        <v>1082</v>
      </c>
      <c r="E557" s="1290"/>
      <c r="F557" s="1290"/>
      <c r="I557" s="490"/>
    </row>
    <row r="558" spans="1:9">
      <c r="A558" s="487"/>
      <c r="B558" s="487"/>
      <c r="C558" s="487"/>
      <c r="D558" s="1290"/>
      <c r="E558" s="1290"/>
      <c r="F558" s="1290"/>
      <c r="I558" s="490"/>
    </row>
    <row r="559" spans="1:9">
      <c r="A559" s="487"/>
      <c r="B559" s="487"/>
      <c r="C559" s="487"/>
      <c r="D559" s="446"/>
      <c r="E559" s="446"/>
      <c r="F559" s="446"/>
      <c r="I559" s="490"/>
    </row>
    <row r="560" spans="1:9">
      <c r="A560" s="484"/>
      <c r="B560" s="485" t="s">
        <v>2642</v>
      </c>
      <c r="C560" s="487"/>
      <c r="D560" s="1290" t="s">
        <v>1083</v>
      </c>
      <c r="E560" s="1290"/>
      <c r="F560" s="1290"/>
      <c r="I560" s="490"/>
    </row>
    <row r="561" spans="1:9">
      <c r="A561" s="487"/>
      <c r="B561" s="487"/>
      <c r="C561" s="487"/>
      <c r="D561" s="1290"/>
      <c r="E561" s="1290"/>
      <c r="F561" s="1290"/>
      <c r="I561" s="490"/>
    </row>
    <row r="562" spans="1:9">
      <c r="A562" s="487"/>
      <c r="B562" s="487"/>
      <c r="C562" s="487"/>
      <c r="D562" s="1290"/>
      <c r="E562" s="1290"/>
      <c r="F562" s="1290"/>
      <c r="I562" s="490"/>
    </row>
    <row r="563" spans="1:9">
      <c r="A563" s="487"/>
      <c r="B563" s="487"/>
      <c r="C563" s="487"/>
      <c r="D563" s="446"/>
      <c r="E563" s="446"/>
      <c r="F563" s="446"/>
      <c r="I563" s="490"/>
    </row>
    <row r="564" spans="1:9">
      <c r="A564" s="484"/>
      <c r="B564" s="485" t="s">
        <v>2643</v>
      </c>
      <c r="C564" s="487"/>
      <c r="D564" s="1290" t="s">
        <v>2198</v>
      </c>
      <c r="E564" s="1290"/>
      <c r="F564" s="1290"/>
      <c r="I564" s="490"/>
    </row>
    <row r="565" spans="1:9">
      <c r="A565" s="487"/>
      <c r="B565" s="487"/>
      <c r="C565" s="487"/>
      <c r="D565" s="1290"/>
      <c r="E565" s="1290"/>
      <c r="F565" s="1290"/>
      <c r="I565" s="490"/>
    </row>
    <row r="566" spans="1:9">
      <c r="A566" s="487"/>
      <c r="B566" s="487"/>
      <c r="C566" s="487"/>
      <c r="D566" s="446"/>
      <c r="E566" s="446"/>
      <c r="F566" s="446"/>
      <c r="I566" s="490"/>
    </row>
    <row r="567" spans="1:9">
      <c r="A567" s="484"/>
      <c r="B567" s="485" t="s">
        <v>2642</v>
      </c>
      <c r="C567" s="487"/>
      <c r="D567" s="1290" t="s">
        <v>1084</v>
      </c>
      <c r="E567" s="1290"/>
      <c r="F567" s="1290"/>
      <c r="I567" s="490"/>
    </row>
    <row r="568" spans="1:9">
      <c r="A568" s="487"/>
      <c r="B568" s="487"/>
      <c r="C568" s="487"/>
      <c r="D568" s="1290"/>
      <c r="E568" s="1290"/>
      <c r="F568" s="1290"/>
      <c r="I568" s="490"/>
    </row>
    <row r="569" spans="1:9">
      <c r="A569" s="487"/>
      <c r="B569" s="487"/>
      <c r="C569" s="487"/>
      <c r="D569" s="446"/>
      <c r="E569" s="446"/>
      <c r="F569" s="446"/>
      <c r="I569" s="490"/>
    </row>
    <row r="570" spans="1:9">
      <c r="A570" s="484"/>
      <c r="B570" s="485" t="s">
        <v>2642</v>
      </c>
      <c r="C570" s="487"/>
      <c r="D570" s="1291" t="s">
        <v>1085</v>
      </c>
      <c r="E570" s="1291"/>
      <c r="F570" s="1291"/>
      <c r="I570" s="490"/>
    </row>
    <row r="571" spans="1:9">
      <c r="A571" s="490"/>
      <c r="B571" s="490"/>
      <c r="C571" s="487"/>
      <c r="D571" s="1291" t="s">
        <v>1878</v>
      </c>
      <c r="E571" s="1291"/>
      <c r="F571" s="1291"/>
      <c r="I571" s="490"/>
    </row>
    <row r="572" spans="1:9">
      <c r="A572" s="490"/>
      <c r="B572" s="490"/>
      <c r="C572" s="487"/>
      <c r="E572" s="96" t="s">
        <v>1877</v>
      </c>
      <c r="F572" s="404"/>
      <c r="I572" s="490"/>
    </row>
    <row r="573" spans="1:9">
      <c r="A573" s="484"/>
      <c r="B573" s="484"/>
      <c r="C573" s="487"/>
      <c r="E573" s="446"/>
      <c r="F573" s="446"/>
      <c r="I573" s="490"/>
    </row>
    <row r="574" spans="1:9">
      <c r="A574" s="484"/>
      <c r="B574" s="485" t="s">
        <v>2642</v>
      </c>
      <c r="C574" s="487"/>
      <c r="D574" s="1291" t="s">
        <v>1086</v>
      </c>
      <c r="E574" s="1291"/>
      <c r="F574" s="1291"/>
      <c r="I574" s="490"/>
    </row>
    <row r="575" spans="1:9">
      <c r="C575" s="487"/>
      <c r="D575" s="1290" t="s">
        <v>1087</v>
      </c>
      <c r="E575" s="1290"/>
      <c r="F575" s="1290"/>
      <c r="I575" s="490"/>
    </row>
    <row r="576" spans="1:9">
      <c r="A576" s="487"/>
      <c r="B576" s="487"/>
      <c r="C576" s="487"/>
      <c r="D576" s="1290"/>
      <c r="E576" s="1290"/>
      <c r="F576" s="1290"/>
      <c r="I576" s="490"/>
    </row>
    <row r="577" spans="1:9">
      <c r="A577" s="487"/>
      <c r="B577" s="487"/>
      <c r="C577" s="487"/>
      <c r="D577" s="1290"/>
      <c r="E577" s="1290"/>
      <c r="F577" s="1290"/>
      <c r="I577" s="490"/>
    </row>
    <row r="578" spans="1:9">
      <c r="A578" s="487"/>
      <c r="B578" s="487"/>
      <c r="C578" s="487"/>
      <c r="D578" s="446"/>
      <c r="E578" s="446"/>
      <c r="F578" s="446"/>
      <c r="I578" s="490"/>
    </row>
    <row r="579" spans="1:9">
      <c r="A579" s="484"/>
      <c r="B579" s="485" t="s">
        <v>2642</v>
      </c>
      <c r="C579" s="487"/>
      <c r="D579" s="1290" t="s">
        <v>2019</v>
      </c>
      <c r="E579" s="1290"/>
      <c r="F579" s="1290"/>
      <c r="I579" s="490"/>
    </row>
    <row r="580" spans="1:9">
      <c r="A580" s="484"/>
      <c r="B580" s="484"/>
      <c r="C580" s="487"/>
      <c r="D580" s="1290"/>
      <c r="E580" s="1290"/>
      <c r="F580" s="1290"/>
      <c r="I580" s="490"/>
    </row>
    <row r="581" spans="1:9">
      <c r="A581" s="484"/>
      <c r="B581" s="484"/>
      <c r="C581" s="487"/>
      <c r="D581" s="1290"/>
      <c r="E581" s="1290"/>
      <c r="F581" s="1290"/>
      <c r="I581" s="490"/>
    </row>
    <row r="582" spans="1:9">
      <c r="A582" s="484"/>
      <c r="B582" s="484"/>
      <c r="C582" s="487"/>
      <c r="D582" s="1290"/>
      <c r="E582" s="1290"/>
      <c r="F582" s="1290"/>
      <c r="I582" s="490"/>
    </row>
    <row r="583" spans="1:9">
      <c r="A583" s="484"/>
      <c r="B583" s="484"/>
      <c r="C583" s="487"/>
      <c r="D583" s="446"/>
      <c r="E583" s="446"/>
      <c r="F583" s="446"/>
      <c r="I583" s="490"/>
    </row>
    <row r="584" spans="1:9">
      <c r="A584" s="1293" t="s">
        <v>1052</v>
      </c>
      <c r="B584" s="1293"/>
      <c r="C584" s="1293"/>
      <c r="D584" s="1293"/>
      <c r="E584" s="1293"/>
      <c r="F584" s="1293"/>
      <c r="G584" s="1293"/>
      <c r="H584" s="1023"/>
      <c r="I584" s="1147"/>
    </row>
    <row r="585" spans="1:9">
      <c r="A585" s="487"/>
      <c r="B585" s="487"/>
      <c r="C585" s="487"/>
      <c r="E585" s="446"/>
      <c r="F585" s="446"/>
      <c r="I585" s="490"/>
    </row>
    <row r="586" spans="1:9" ht="12.75" customHeight="1">
      <c r="C586" s="482"/>
      <c r="D586" s="1292" t="s">
        <v>209</v>
      </c>
      <c r="E586" s="1292"/>
      <c r="F586" s="1292"/>
      <c r="I586" s="490"/>
    </row>
    <row r="587" spans="1:9">
      <c r="A587" s="483"/>
      <c r="B587" s="483"/>
      <c r="C587" s="483"/>
      <c r="D587" s="1294" t="s">
        <v>1065</v>
      </c>
      <c r="E587" s="1294"/>
      <c r="F587" s="1294"/>
      <c r="I587" s="490"/>
    </row>
    <row r="588" spans="1:9">
      <c r="A588" s="402"/>
      <c r="B588" s="402"/>
      <c r="C588" s="483"/>
      <c r="D588" s="499"/>
      <c r="I588" s="490"/>
    </row>
    <row r="589" spans="1:9">
      <c r="A589" s="483"/>
      <c r="B589" s="485" t="s">
        <v>2642</v>
      </c>
      <c r="D589" s="1294" t="s">
        <v>887</v>
      </c>
      <c r="E589" s="1294"/>
      <c r="F589" s="1294"/>
      <c r="I589" s="490"/>
    </row>
    <row r="590" spans="1:9">
      <c r="A590" s="490"/>
      <c r="B590" s="490"/>
      <c r="D590" s="476"/>
      <c r="I590" s="490"/>
    </row>
    <row r="591" spans="1:9">
      <c r="A591" s="490"/>
      <c r="B591" s="485" t="s">
        <v>2642</v>
      </c>
      <c r="D591" s="1294" t="s">
        <v>2020</v>
      </c>
      <c r="E591" s="1294"/>
      <c r="F591" s="1294"/>
      <c r="I591" s="490"/>
    </row>
    <row r="592" spans="1:9">
      <c r="A592" s="490"/>
      <c r="B592" s="490"/>
      <c r="D592" s="1294"/>
      <c r="E592" s="1294"/>
      <c r="F592" s="1294"/>
      <c r="I592" s="490"/>
    </row>
    <row r="593" spans="1:9">
      <c r="A593" s="490"/>
      <c r="B593" s="490"/>
      <c r="D593" s="1294"/>
      <c r="E593" s="1294"/>
      <c r="F593" s="1294"/>
      <c r="I593" s="490"/>
    </row>
    <row r="594" spans="1:9">
      <c r="A594" s="490"/>
      <c r="B594" s="490"/>
      <c r="D594" s="1294"/>
      <c r="E594" s="1294"/>
      <c r="F594" s="1294"/>
      <c r="I594" s="490"/>
    </row>
    <row r="595" spans="1:9">
      <c r="A595" s="490"/>
      <c r="B595" s="485" t="s">
        <v>2643</v>
      </c>
      <c r="D595" s="1294" t="s">
        <v>1066</v>
      </c>
      <c r="E595" s="1294"/>
      <c r="F595" s="1294"/>
      <c r="I595" s="490"/>
    </row>
    <row r="596" spans="1:9">
      <c r="A596" s="490"/>
      <c r="B596" s="490"/>
      <c r="D596" s="1294"/>
      <c r="E596" s="1294"/>
      <c r="F596" s="1294"/>
      <c r="I596" s="490"/>
    </row>
    <row r="597" spans="1:9">
      <c r="A597" s="490"/>
      <c r="B597" s="490"/>
      <c r="D597" s="1294"/>
      <c r="E597" s="1294"/>
      <c r="F597" s="1294"/>
      <c r="I597" s="490"/>
    </row>
    <row r="598" spans="1:9">
      <c r="A598" s="490"/>
      <c r="B598" s="490"/>
      <c r="D598" s="1294"/>
      <c r="E598" s="1294"/>
      <c r="F598" s="1294"/>
      <c r="I598" s="490"/>
    </row>
    <row r="599" spans="1:9">
      <c r="A599" s="490"/>
      <c r="B599" s="490"/>
      <c r="D599" s="440"/>
      <c r="E599" s="440"/>
      <c r="F599" s="440"/>
      <c r="I599" s="490"/>
    </row>
    <row r="600" spans="1:9">
      <c r="A600" s="490"/>
      <c r="B600" s="485" t="s">
        <v>2642</v>
      </c>
      <c r="D600" s="1294" t="s">
        <v>2021</v>
      </c>
      <c r="E600" s="1294"/>
      <c r="F600" s="1294"/>
      <c r="I600" s="490"/>
    </row>
    <row r="601" spans="1:9">
      <c r="A601" s="490"/>
      <c r="B601" s="490"/>
      <c r="D601" s="1294"/>
      <c r="E601" s="1294"/>
      <c r="F601" s="1294"/>
      <c r="I601" s="490"/>
    </row>
    <row r="602" spans="1:9">
      <c r="A602" s="490"/>
      <c r="B602" s="490"/>
      <c r="D602" s="499"/>
      <c r="I602" s="490"/>
    </row>
    <row r="603" spans="1:9">
      <c r="A603" s="490"/>
      <c r="B603" s="485" t="s">
        <v>2643</v>
      </c>
      <c r="D603" s="1294" t="s">
        <v>1067</v>
      </c>
      <c r="E603" s="1294"/>
      <c r="F603" s="1294"/>
      <c r="I603" s="490"/>
    </row>
    <row r="604" spans="1:9">
      <c r="A604" s="490"/>
      <c r="B604" s="490"/>
      <c r="D604" s="1294"/>
      <c r="E604" s="1294"/>
      <c r="F604" s="1294"/>
      <c r="I604" s="490"/>
    </row>
    <row r="605" spans="1:9">
      <c r="A605" s="484"/>
      <c r="B605" s="484"/>
      <c r="D605" s="499"/>
      <c r="I605" s="490"/>
    </row>
    <row r="606" spans="1:9">
      <c r="A606" s="1293" t="s">
        <v>1053</v>
      </c>
      <c r="B606" s="1293"/>
      <c r="C606" s="1293"/>
      <c r="D606" s="1293"/>
      <c r="E606" s="1293"/>
      <c r="F606" s="1293"/>
      <c r="G606" s="1293"/>
      <c r="H606" s="1023"/>
      <c r="I606" s="1147"/>
    </row>
    <row r="607" spans="1:9">
      <c r="I607" s="490"/>
    </row>
    <row r="608" spans="1:9">
      <c r="D608" s="1299" t="s">
        <v>1105</v>
      </c>
      <c r="E608" s="1299"/>
      <c r="F608" s="1299"/>
      <c r="I608" s="490"/>
    </row>
    <row r="609" spans="1:9">
      <c r="D609" s="1300" t="s">
        <v>1106</v>
      </c>
      <c r="E609" s="1300"/>
      <c r="F609" s="1300"/>
      <c r="I609" s="490"/>
    </row>
    <row r="610" spans="1:9">
      <c r="D610" s="444"/>
      <c r="I610" s="490"/>
    </row>
    <row r="611" spans="1:9" ht="14.25" customHeight="1">
      <c r="A611" s="484"/>
      <c r="B611" s="485" t="s">
        <v>2642</v>
      </c>
      <c r="D611" s="1317" t="s">
        <v>1879</v>
      </c>
      <c r="E611" s="1317"/>
      <c r="F611" s="1317"/>
      <c r="I611" s="490"/>
    </row>
    <row r="612" spans="1:9">
      <c r="D612" s="1317"/>
      <c r="E612" s="1317"/>
      <c r="F612" s="1317"/>
      <c r="I612" s="490"/>
    </row>
    <row r="613" spans="1:9">
      <c r="D613" s="385"/>
      <c r="E613" s="1031" t="s">
        <v>1880</v>
      </c>
      <c r="F613" s="385"/>
      <c r="I613" s="490"/>
    </row>
    <row r="614" spans="1:9">
      <c r="I614" s="490"/>
    </row>
    <row r="615" spans="1:9">
      <c r="A615" s="1293" t="s">
        <v>1054</v>
      </c>
      <c r="B615" s="1293"/>
      <c r="C615" s="1293"/>
      <c r="D615" s="1293"/>
      <c r="E615" s="1293"/>
      <c r="F615" s="1293"/>
      <c r="G615" s="1293"/>
      <c r="H615" s="1023"/>
      <c r="I615" s="1147"/>
    </row>
    <row r="616" spans="1:9">
      <c r="A616" s="446"/>
      <c r="B616" s="446"/>
      <c r="I616" s="490"/>
    </row>
    <row r="617" spans="1:9">
      <c r="A617" s="482"/>
      <c r="B617" s="482"/>
      <c r="C617" s="482"/>
      <c r="D617" s="1324" t="s">
        <v>1107</v>
      </c>
      <c r="E617" s="1324"/>
      <c r="F617" s="1324"/>
      <c r="I617" s="490"/>
    </row>
    <row r="618" spans="1:9">
      <c r="A618" s="482"/>
      <c r="B618" s="482"/>
      <c r="C618" s="482"/>
      <c r="D618" s="1324"/>
      <c r="E618" s="1324"/>
      <c r="F618" s="1324"/>
      <c r="I618" s="490"/>
    </row>
    <row r="619" spans="1:9">
      <c r="C619" s="483"/>
      <c r="D619" s="1300" t="s">
        <v>1108</v>
      </c>
      <c r="E619" s="1300"/>
      <c r="F619" s="1300"/>
      <c r="I619" s="490"/>
    </row>
    <row r="620" spans="1:9">
      <c r="C620" s="483"/>
      <c r="D620" s="444"/>
      <c r="E620" s="444"/>
      <c r="F620" s="444"/>
      <c r="I620" s="490"/>
    </row>
    <row r="621" spans="1:9">
      <c r="B621" s="485" t="s">
        <v>2642</v>
      </c>
      <c r="C621" s="483"/>
      <c r="D621" s="1306" t="s">
        <v>2601</v>
      </c>
      <c r="E621" s="1306"/>
      <c r="F621" s="1306"/>
      <c r="I621" s="490"/>
    </row>
    <row r="622" spans="1:9">
      <c r="C622" s="483"/>
      <c r="D622" s="444"/>
      <c r="E622" s="444"/>
      <c r="F622" s="444"/>
      <c r="I622" s="490"/>
    </row>
    <row r="623" spans="1:9" ht="12.75" customHeight="1">
      <c r="A623" s="490"/>
      <c r="B623" s="485" t="s">
        <v>2642</v>
      </c>
      <c r="D623" s="1301" t="s">
        <v>1109</v>
      </c>
      <c r="E623" s="1301"/>
      <c r="F623" s="1301"/>
      <c r="I623" s="490"/>
    </row>
    <row r="624" spans="1:9">
      <c r="D624" s="1301"/>
      <c r="E624" s="1301"/>
      <c r="F624" s="1301"/>
      <c r="I624" s="490"/>
    </row>
    <row r="625" spans="1:9">
      <c r="I625" s="490"/>
    </row>
    <row r="626" spans="1:9">
      <c r="B626" s="485" t="s">
        <v>2642</v>
      </c>
      <c r="D626" s="1301" t="s">
        <v>1110</v>
      </c>
      <c r="E626" s="1301"/>
      <c r="F626" s="1301"/>
      <c r="I626" s="490"/>
    </row>
    <row r="627" spans="1:9">
      <c r="C627" s="500"/>
      <c r="D627" s="1301"/>
      <c r="E627" s="1301"/>
      <c r="F627" s="1301"/>
      <c r="I627" s="490"/>
    </row>
    <row r="628" spans="1:9">
      <c r="C628" s="500"/>
      <c r="I628" s="490"/>
    </row>
    <row r="629" spans="1:9">
      <c r="B629" s="485" t="s">
        <v>2643</v>
      </c>
      <c r="C629" s="500"/>
      <c r="D629" s="1301" t="s">
        <v>1111</v>
      </c>
      <c r="E629" s="1301"/>
      <c r="F629" s="1301"/>
      <c r="I629" s="490"/>
    </row>
    <row r="630" spans="1:9">
      <c r="C630" s="500"/>
      <c r="D630" s="1301"/>
      <c r="E630" s="1301"/>
      <c r="F630" s="1301"/>
      <c r="I630" s="500"/>
    </row>
    <row r="631" spans="1:9">
      <c r="C631" s="500"/>
      <c r="I631" s="490"/>
    </row>
    <row r="632" spans="1:9">
      <c r="B632" s="485" t="s">
        <v>2643</v>
      </c>
      <c r="C632" s="500"/>
      <c r="D632" s="1306" t="s">
        <v>2546</v>
      </c>
      <c r="E632" s="1306"/>
      <c r="F632" s="1306"/>
      <c r="I632" s="490"/>
    </row>
    <row r="633" spans="1:9">
      <c r="C633" s="500"/>
      <c r="I633" s="490"/>
    </row>
    <row r="634" spans="1:9">
      <c r="A634" s="1293" t="s">
        <v>1055</v>
      </c>
      <c r="B634" s="1293"/>
      <c r="C634" s="1293"/>
      <c r="D634" s="1293"/>
      <c r="E634" s="1293"/>
      <c r="F634" s="1293"/>
      <c r="G634" s="1293"/>
      <c r="H634" s="1023"/>
      <c r="I634" s="1147"/>
    </row>
    <row r="635" spans="1:9">
      <c r="A635" s="482"/>
      <c r="B635" s="482"/>
      <c r="C635" s="482"/>
      <c r="I635" s="490"/>
    </row>
    <row r="636" spans="1:9">
      <c r="C636" s="490"/>
      <c r="D636" s="1299" t="s">
        <v>1112</v>
      </c>
      <c r="E636" s="1299"/>
      <c r="F636" s="1299"/>
      <c r="I636" s="490"/>
    </row>
    <row r="637" spans="1:9">
      <c r="A637" s="490"/>
      <c r="B637" s="490"/>
      <c r="D637" s="404"/>
      <c r="I637" s="490"/>
    </row>
    <row r="638" spans="1:9" ht="14.25" customHeight="1">
      <c r="A638" s="484"/>
      <c r="B638" s="485" t="s">
        <v>2642</v>
      </c>
      <c r="D638" s="1317" t="s">
        <v>2022</v>
      </c>
      <c r="E638" s="1317"/>
      <c r="F638" s="1317"/>
      <c r="I638" s="490"/>
    </row>
    <row r="639" spans="1:9">
      <c r="D639" s="1317"/>
      <c r="E639" s="1317"/>
      <c r="F639" s="1317"/>
      <c r="I639" s="490"/>
    </row>
    <row r="640" spans="1:9">
      <c r="D640" s="385"/>
      <c r="E640" s="1031" t="s">
        <v>1882</v>
      </c>
      <c r="F640" s="385"/>
      <c r="I640" s="490"/>
    </row>
    <row r="641" spans="1:9">
      <c r="D641" s="1290" t="s">
        <v>1881</v>
      </c>
      <c r="E641" s="1290"/>
      <c r="F641" s="1290"/>
      <c r="I641" s="490"/>
    </row>
    <row r="642" spans="1:9">
      <c r="D642" s="1290"/>
      <c r="E642" s="1290"/>
      <c r="F642" s="1290"/>
      <c r="I642" s="490"/>
    </row>
    <row r="643" spans="1:9">
      <c r="D643" s="1290"/>
      <c r="E643" s="1290"/>
      <c r="F643" s="1290"/>
      <c r="I643" s="490"/>
    </row>
    <row r="644" spans="1:9">
      <c r="D644" s="445"/>
      <c r="E644" s="445"/>
      <c r="F644" s="445"/>
      <c r="I644" s="490"/>
    </row>
    <row r="645" spans="1:9">
      <c r="A645" s="484"/>
      <c r="B645" s="485" t="s">
        <v>2642</v>
      </c>
      <c r="D645" s="1290" t="s">
        <v>1113</v>
      </c>
      <c r="E645" s="1290"/>
      <c r="F645" s="1290"/>
      <c r="I645" s="490"/>
    </row>
    <row r="646" spans="1:9">
      <c r="A646" s="487"/>
      <c r="B646" s="487"/>
      <c r="C646" s="487"/>
      <c r="D646" s="1290"/>
      <c r="E646" s="1290"/>
      <c r="F646" s="1290"/>
      <c r="I646" s="490"/>
    </row>
    <row r="647" spans="1:9">
      <c r="A647" s="487"/>
      <c r="B647" s="487"/>
      <c r="C647" s="487"/>
      <c r="D647" s="446"/>
      <c r="E647" s="446"/>
      <c r="F647" s="446"/>
      <c r="I647" s="490"/>
    </row>
    <row r="648" spans="1:9">
      <c r="A648" s="484"/>
      <c r="B648" s="485" t="s">
        <v>2643</v>
      </c>
      <c r="C648" s="487"/>
      <c r="D648" s="1290" t="s">
        <v>1223</v>
      </c>
      <c r="E648" s="1290"/>
      <c r="F648" s="1290"/>
      <c r="I648" s="490"/>
    </row>
    <row r="649" spans="1:9">
      <c r="A649" s="484"/>
      <c r="B649" s="484"/>
      <c r="C649" s="487"/>
      <c r="D649" s="1290"/>
      <c r="E649" s="1290"/>
      <c r="F649" s="1290"/>
      <c r="I649" s="490"/>
    </row>
    <row r="650" spans="1:9">
      <c r="A650" s="484"/>
      <c r="B650" s="484"/>
      <c r="C650" s="487"/>
      <c r="D650" s="1290"/>
      <c r="E650" s="1290"/>
      <c r="F650" s="1290"/>
      <c r="I650" s="490"/>
    </row>
    <row r="651" spans="1:9">
      <c r="A651" s="487"/>
      <c r="B651" s="485" t="s">
        <v>2643</v>
      </c>
      <c r="C651" s="487"/>
      <c r="D651" s="1291" t="s">
        <v>1114</v>
      </c>
      <c r="E651" s="1291"/>
      <c r="F651" s="1291"/>
      <c r="I651" s="490"/>
    </row>
    <row r="652" spans="1:9">
      <c r="A652" s="487"/>
      <c r="B652" s="487"/>
      <c r="C652" s="487"/>
      <c r="D652" s="446"/>
      <c r="E652" s="446"/>
      <c r="F652" s="446"/>
      <c r="I652" s="490"/>
    </row>
    <row r="653" spans="1:9">
      <c r="A653" s="1293" t="s">
        <v>1056</v>
      </c>
      <c r="B653" s="1293"/>
      <c r="C653" s="1293"/>
      <c r="D653" s="1293"/>
      <c r="E653" s="1293"/>
      <c r="F653" s="1293"/>
      <c r="G653" s="1293"/>
      <c r="H653" s="1023"/>
      <c r="I653" s="1147"/>
    </row>
    <row r="654" spans="1:9">
      <c r="A654" s="446"/>
      <c r="B654" s="446"/>
      <c r="C654" s="487"/>
      <c r="D654" s="446"/>
      <c r="E654" s="446"/>
      <c r="F654" s="446"/>
      <c r="I654" s="490"/>
    </row>
    <row r="655" spans="1:9">
      <c r="C655" s="482"/>
      <c r="D655" s="1299" t="s">
        <v>1144</v>
      </c>
      <c r="E655" s="1299"/>
      <c r="F655" s="1299"/>
      <c r="I655" s="490"/>
    </row>
    <row r="656" spans="1:9">
      <c r="A656" s="483"/>
      <c r="B656" s="483"/>
      <c r="C656" s="483"/>
      <c r="D656" s="1291" t="s">
        <v>1145</v>
      </c>
      <c r="E656" s="1291"/>
      <c r="F656" s="1291"/>
      <c r="I656" s="490"/>
    </row>
    <row r="657" spans="1:9">
      <c r="A657" s="483"/>
      <c r="B657" s="483"/>
      <c r="C657" s="483"/>
      <c r="D657" s="446"/>
      <c r="E657" s="446"/>
      <c r="F657" s="446"/>
      <c r="I657" s="490"/>
    </row>
    <row r="658" spans="1:9" ht="12.75" customHeight="1">
      <c r="B658" s="485" t="s">
        <v>2642</v>
      </c>
      <c r="C658" s="487"/>
      <c r="D658" s="1290" t="s">
        <v>1279</v>
      </c>
      <c r="E658" s="1290"/>
      <c r="F658" s="1290"/>
      <c r="I658" s="490"/>
    </row>
    <row r="659" spans="1:9">
      <c r="D659" s="1290"/>
      <c r="E659" s="1290"/>
      <c r="F659" s="1290"/>
      <c r="I659" s="490"/>
    </row>
    <row r="660" spans="1:9">
      <c r="D660" s="1290"/>
      <c r="E660" s="1290"/>
      <c r="F660" s="1290"/>
      <c r="I660" s="490"/>
    </row>
    <row r="661" spans="1:9">
      <c r="D661" s="1290"/>
      <c r="E661" s="1290"/>
      <c r="F661" s="1290"/>
      <c r="I661" s="490"/>
    </row>
    <row r="662" spans="1:9" ht="14.5" customHeight="1">
      <c r="A662" s="484"/>
      <c r="B662" s="484"/>
      <c r="C662" s="487"/>
      <c r="D662" s="385"/>
      <c r="E662" s="385"/>
      <c r="F662" s="385"/>
      <c r="I662" s="490"/>
    </row>
    <row r="663" spans="1:9" ht="12.75" customHeight="1">
      <c r="A663" s="483"/>
      <c r="B663" s="485" t="s">
        <v>2643</v>
      </c>
      <c r="C663" s="487"/>
      <c r="D663" s="1290" t="s">
        <v>1281</v>
      </c>
      <c r="E663" s="1290"/>
      <c r="F663" s="1290"/>
      <c r="I663" s="490"/>
    </row>
    <row r="664" spans="1:9">
      <c r="A664" s="483"/>
      <c r="B664" s="484"/>
      <c r="C664" s="487"/>
      <c r="D664" s="1290"/>
      <c r="E664" s="1290"/>
      <c r="F664" s="1290"/>
      <c r="I664" s="490"/>
    </row>
    <row r="665" spans="1:9">
      <c r="A665" s="483"/>
      <c r="B665" s="484"/>
      <c r="C665" s="487"/>
      <c r="D665" s="1290"/>
      <c r="E665" s="1290"/>
      <c r="F665" s="1290"/>
      <c r="I665" s="490"/>
    </row>
    <row r="666" spans="1:9">
      <c r="A666" s="483"/>
      <c r="B666" s="484"/>
      <c r="C666" s="487"/>
      <c r="D666" s="1290"/>
      <c r="E666" s="1290"/>
      <c r="F666" s="1290"/>
      <c r="I666" s="490"/>
    </row>
    <row r="667" spans="1:9">
      <c r="A667" s="483"/>
      <c r="B667" s="484"/>
      <c r="C667" s="487"/>
      <c r="D667" s="1290"/>
      <c r="E667" s="1290"/>
      <c r="F667" s="1290"/>
      <c r="I667" s="490"/>
    </row>
    <row r="668" spans="1:9" ht="14.25" customHeight="1">
      <c r="A668" s="483"/>
      <c r="B668" s="484"/>
      <c r="C668" s="487"/>
      <c r="F668" s="386"/>
      <c r="I668" s="490"/>
    </row>
    <row r="669" spans="1:9" ht="12.75" customHeight="1">
      <c r="A669" s="483"/>
      <c r="B669" s="485" t="s">
        <v>2643</v>
      </c>
      <c r="C669" s="487"/>
      <c r="D669" s="1290" t="s">
        <v>1280</v>
      </c>
      <c r="E669" s="1290"/>
      <c r="F669" s="1290"/>
      <c r="I669" s="490"/>
    </row>
    <row r="670" spans="1:9">
      <c r="A670" s="483"/>
      <c r="B670" s="484"/>
      <c r="C670" s="487"/>
      <c r="D670" s="1290"/>
      <c r="E670" s="1290"/>
      <c r="F670" s="1290"/>
      <c r="I670" s="490"/>
    </row>
    <row r="671" spans="1:9">
      <c r="A671" s="484"/>
      <c r="B671" s="484"/>
      <c r="C671" s="487"/>
      <c r="D671" s="1290"/>
      <c r="E671" s="1290"/>
      <c r="F671" s="1290"/>
      <c r="I671" s="490"/>
    </row>
    <row r="672" spans="1:9">
      <c r="A672" s="484"/>
      <c r="B672" s="484"/>
      <c r="C672" s="487"/>
      <c r="D672" s="1290"/>
      <c r="E672" s="1290"/>
      <c r="F672" s="1290"/>
      <c r="I672" s="490"/>
    </row>
    <row r="673" spans="1:11">
      <c r="A673" s="484"/>
      <c r="B673" s="484"/>
      <c r="C673" s="487"/>
      <c r="D673" s="445"/>
      <c r="E673" s="445"/>
      <c r="F673" s="445"/>
      <c r="I673" s="490"/>
    </row>
    <row r="674" spans="1:11" ht="12.75" customHeight="1">
      <c r="A674" s="483"/>
      <c r="B674" s="485" t="s">
        <v>2643</v>
      </c>
      <c r="C674" s="487"/>
      <c r="D674" s="1290" t="s">
        <v>2023</v>
      </c>
      <c r="E674" s="1290"/>
      <c r="F674" s="1290"/>
      <c r="I674" s="490"/>
    </row>
    <row r="675" spans="1:11" ht="12.75" customHeight="1">
      <c r="A675" s="483"/>
      <c r="B675" s="484"/>
      <c r="C675" s="487"/>
      <c r="D675" s="1290"/>
      <c r="E675" s="1290"/>
      <c r="F675" s="1290"/>
      <c r="I675" s="490"/>
    </row>
    <row r="676" spans="1:11" ht="12.75" customHeight="1">
      <c r="A676" s="483"/>
      <c r="B676" s="484"/>
      <c r="C676" s="487"/>
      <c r="D676" s="1290"/>
      <c r="E676" s="1290"/>
      <c r="F676" s="1290"/>
      <c r="I676" s="490"/>
    </row>
    <row r="677" spans="1:11" ht="12.75" customHeight="1">
      <c r="A677" s="483"/>
      <c r="B677" s="484"/>
      <c r="C677" s="487"/>
      <c r="D677" s="1290"/>
      <c r="E677" s="1290"/>
      <c r="F677" s="1290"/>
      <c r="I677" s="490"/>
    </row>
    <row r="678" spans="1:11" ht="12.75" customHeight="1">
      <c r="A678" s="483"/>
      <c r="B678" s="484"/>
      <c r="C678" s="487"/>
      <c r="D678" s="1290"/>
      <c r="E678" s="1290"/>
      <c r="F678" s="1290"/>
      <c r="I678" s="490"/>
    </row>
    <row r="679" spans="1:11" ht="12.75" customHeight="1">
      <c r="A679" s="483"/>
      <c r="B679" s="484"/>
      <c r="C679" s="487"/>
      <c r="D679" s="1290"/>
      <c r="E679" s="1290"/>
      <c r="F679" s="1290"/>
      <c r="I679" s="490"/>
    </row>
    <row r="680" spans="1:11" ht="12.75" customHeight="1">
      <c r="A680" s="483"/>
      <c r="B680" s="484"/>
      <c r="C680" s="487"/>
      <c r="D680" s="1290"/>
      <c r="E680" s="1290"/>
      <c r="F680" s="1290"/>
      <c r="I680" s="490"/>
    </row>
    <row r="681" spans="1:11" ht="12.75" customHeight="1">
      <c r="A681" s="483"/>
      <c r="B681" s="484"/>
      <c r="C681" s="487"/>
      <c r="D681" s="1290"/>
      <c r="E681" s="1290"/>
      <c r="F681" s="1290"/>
      <c r="I681" s="490"/>
    </row>
    <row r="682" spans="1:11" ht="12.75" customHeight="1">
      <c r="A682" s="483"/>
      <c r="B682" s="484"/>
      <c r="C682" s="487"/>
      <c r="D682" s="1290"/>
      <c r="E682" s="1290"/>
      <c r="F682" s="1290"/>
      <c r="I682" s="490"/>
    </row>
    <row r="683" spans="1:11">
      <c r="A683" s="487"/>
      <c r="B683" s="487"/>
      <c r="C683" s="487"/>
      <c r="D683" s="446"/>
      <c r="E683" s="446"/>
      <c r="F683" s="446"/>
      <c r="I683" s="490"/>
    </row>
    <row r="684" spans="1:11">
      <c r="A684" s="1293" t="s">
        <v>1057</v>
      </c>
      <c r="B684" s="1293"/>
      <c r="C684" s="1293"/>
      <c r="D684" s="1293"/>
      <c r="E684" s="1293"/>
      <c r="F684" s="1293"/>
      <c r="G684" s="1293"/>
      <c r="H684" s="1025"/>
      <c r="I684" s="1151"/>
      <c r="J684" s="501"/>
      <c r="K684" s="501"/>
    </row>
    <row r="685" spans="1:11">
      <c r="A685" s="448"/>
      <c r="B685" s="448"/>
      <c r="C685" s="448"/>
      <c r="D685" s="448"/>
      <c r="E685" s="448"/>
      <c r="F685" s="448"/>
      <c r="G685" s="448"/>
      <c r="H685" s="501"/>
      <c r="I685" s="483"/>
      <c r="J685" s="501"/>
      <c r="K685" s="501"/>
    </row>
    <row r="686" spans="1:11">
      <c r="C686" s="482"/>
      <c r="D686" s="1299" t="s">
        <v>99</v>
      </c>
      <c r="E686" s="1299"/>
      <c r="F686" s="1299"/>
      <c r="H686" s="501"/>
      <c r="I686" s="483"/>
      <c r="J686" s="501"/>
      <c r="K686" s="501"/>
    </row>
    <row r="687" spans="1:11">
      <c r="A687" s="482"/>
      <c r="B687" s="482"/>
      <c r="C687" s="482"/>
      <c r="D687" s="1299" t="s">
        <v>123</v>
      </c>
      <c r="E687" s="1299"/>
      <c r="F687" s="1299"/>
      <c r="H687" s="501"/>
      <c r="I687" s="483"/>
      <c r="J687" s="501"/>
      <c r="K687" s="501"/>
    </row>
    <row r="688" spans="1:11">
      <c r="A688" s="483"/>
      <c r="B688" s="483"/>
      <c r="C688" s="483"/>
      <c r="D688" s="1291" t="s">
        <v>1074</v>
      </c>
      <c r="E688" s="1291"/>
      <c r="F688" s="1291"/>
      <c r="H688" s="501"/>
      <c r="I688" s="483"/>
      <c r="J688" s="501"/>
      <c r="K688" s="501"/>
    </row>
    <row r="689" spans="1:11">
      <c r="A689" s="483"/>
      <c r="B689" s="483"/>
      <c r="C689" s="483"/>
      <c r="H689" s="501"/>
      <c r="I689" s="483"/>
      <c r="J689" s="501"/>
      <c r="K689" s="501"/>
    </row>
    <row r="690" spans="1:11">
      <c r="A690" s="484"/>
      <c r="B690" s="485" t="s">
        <v>2642</v>
      </c>
      <c r="C690" s="483"/>
      <c r="D690" s="1291" t="s">
        <v>884</v>
      </c>
      <c r="E690" s="1291"/>
      <c r="F690" s="1291"/>
      <c r="H690" s="501"/>
      <c r="I690" s="483"/>
      <c r="J690" s="501"/>
      <c r="K690" s="501"/>
    </row>
    <row r="691" spans="1:11">
      <c r="A691" s="483"/>
      <c r="B691" s="483"/>
      <c r="C691" s="483"/>
      <c r="D691" s="1291" t="s">
        <v>893</v>
      </c>
      <c r="E691" s="1291"/>
      <c r="F691" s="1291"/>
      <c r="H691" s="501"/>
      <c r="I691" s="483"/>
      <c r="J691" s="501"/>
      <c r="K691" s="501"/>
    </row>
    <row r="692" spans="1:11" ht="12.75" customHeight="1">
      <c r="A692" s="483"/>
      <c r="B692" s="483"/>
      <c r="C692" s="483"/>
      <c r="E692" s="1031" t="s">
        <v>1884</v>
      </c>
      <c r="F692" s="420"/>
      <c r="H692" s="501"/>
      <c r="I692" s="483"/>
      <c r="J692" s="501"/>
      <c r="K692" s="501"/>
    </row>
    <row r="693" spans="1:11">
      <c r="A693" s="483"/>
      <c r="B693" s="483"/>
      <c r="C693" s="483"/>
      <c r="E693" s="501" t="s">
        <v>1883</v>
      </c>
      <c r="F693" s="420"/>
      <c r="I693" s="483"/>
      <c r="J693" s="501"/>
      <c r="K693" s="501"/>
    </row>
    <row r="694" spans="1:11">
      <c r="A694" s="483"/>
      <c r="B694" s="483"/>
      <c r="C694" s="483"/>
      <c r="D694" s="502"/>
      <c r="E694" s="446"/>
      <c r="H694" s="501"/>
      <c r="I694" s="483"/>
      <c r="J694" s="501"/>
      <c r="K694" s="501"/>
    </row>
    <row r="695" spans="1:11">
      <c r="A695" s="484"/>
      <c r="B695" s="485" t="s">
        <v>2643</v>
      </c>
      <c r="C695" s="483"/>
      <c r="D695" s="1290" t="s">
        <v>2024</v>
      </c>
      <c r="E695" s="1290"/>
      <c r="F695" s="1290"/>
      <c r="H695" s="501"/>
      <c r="I695" s="483"/>
      <c r="J695" s="501"/>
      <c r="K695" s="501"/>
    </row>
    <row r="696" spans="1:11">
      <c r="A696" s="490"/>
      <c r="B696" s="490"/>
      <c r="C696" s="483"/>
      <c r="D696" s="1290"/>
      <c r="E696" s="1290"/>
      <c r="F696" s="1290"/>
      <c r="H696" s="501"/>
      <c r="I696" s="483"/>
      <c r="J696" s="501"/>
      <c r="K696" s="501"/>
    </row>
    <row r="697" spans="1:11">
      <c r="A697" s="483"/>
      <c r="B697" s="483"/>
      <c r="C697" s="483"/>
      <c r="D697" s="1290"/>
      <c r="E697" s="1290"/>
      <c r="F697" s="1290"/>
      <c r="H697" s="501"/>
      <c r="I697" s="483"/>
      <c r="J697" s="501"/>
      <c r="K697" s="501"/>
    </row>
    <row r="698" spans="1:11">
      <c r="A698" s="483"/>
      <c r="B698" s="483"/>
      <c r="C698" s="483"/>
      <c r="H698" s="501"/>
      <c r="J698" s="501"/>
      <c r="K698" s="501"/>
    </row>
    <row r="699" spans="1:11">
      <c r="A699" s="484"/>
      <c r="B699" s="485" t="s">
        <v>2642</v>
      </c>
      <c r="C699" s="483"/>
      <c r="D699" s="1291" t="s">
        <v>916</v>
      </c>
      <c r="E699" s="1291"/>
      <c r="F699" s="1291"/>
      <c r="H699" s="501"/>
      <c r="I699" s="483"/>
      <c r="J699" s="501"/>
      <c r="K699" s="501"/>
    </row>
    <row r="700" spans="1:11">
      <c r="A700" s="484"/>
      <c r="B700" s="484"/>
      <c r="C700" s="483"/>
      <c r="D700" s="1291" t="s">
        <v>893</v>
      </c>
      <c r="E700" s="1291"/>
      <c r="F700" s="1291"/>
      <c r="H700" s="501"/>
      <c r="I700" s="483"/>
      <c r="J700" s="501"/>
      <c r="K700" s="501"/>
    </row>
    <row r="701" spans="1:11">
      <c r="A701" s="483"/>
      <c r="B701" s="483"/>
      <c r="C701" s="483"/>
      <c r="E701" s="1031" t="s">
        <v>1885</v>
      </c>
      <c r="F701" s="404"/>
      <c r="H701" s="501"/>
      <c r="I701" s="483"/>
      <c r="J701" s="501"/>
      <c r="K701" s="501"/>
    </row>
    <row r="702" spans="1:11">
      <c r="A702" s="483"/>
      <c r="B702" s="483"/>
      <c r="C702" s="483"/>
      <c r="D702" s="404"/>
      <c r="H702" s="501"/>
      <c r="I702" s="483"/>
      <c r="J702" s="501"/>
      <c r="K702" s="501"/>
    </row>
    <row r="703" spans="1:11">
      <c r="A703" s="484"/>
      <c r="B703" s="485" t="s">
        <v>2643</v>
      </c>
      <c r="C703" s="483"/>
      <c r="D703" s="1291" t="s">
        <v>2397</v>
      </c>
      <c r="E703" s="1291"/>
      <c r="F703" s="1291"/>
      <c r="H703" s="501"/>
      <c r="I703" s="483"/>
      <c r="J703" s="501"/>
      <c r="K703" s="501"/>
    </row>
    <row r="704" spans="1:11">
      <c r="A704" s="484"/>
      <c r="B704" s="484"/>
      <c r="C704" s="483"/>
      <c r="D704" s="1291" t="s">
        <v>893</v>
      </c>
      <c r="E704" s="1291"/>
      <c r="F704" s="1291"/>
      <c r="H704" s="501"/>
      <c r="I704" s="483"/>
      <c r="J704" s="501"/>
      <c r="K704" s="501"/>
    </row>
    <row r="705" spans="1:11">
      <c r="A705" s="483"/>
      <c r="B705" s="483"/>
      <c r="C705" s="483"/>
      <c r="E705" s="1031" t="s">
        <v>2398</v>
      </c>
      <c r="F705" s="404"/>
      <c r="H705" s="501"/>
      <c r="I705" s="483"/>
      <c r="J705" s="501"/>
      <c r="K705" s="501"/>
    </row>
    <row r="706" spans="1:11">
      <c r="A706" s="483"/>
      <c r="B706" s="483"/>
      <c r="C706" s="483"/>
      <c r="D706" s="404"/>
      <c r="H706" s="501"/>
      <c r="I706" s="483"/>
      <c r="J706" s="501"/>
      <c r="K706" s="501"/>
    </row>
    <row r="707" spans="1:11">
      <c r="A707" s="484"/>
      <c r="B707" s="485" t="s">
        <v>2643</v>
      </c>
      <c r="C707" s="483"/>
      <c r="D707" s="1290" t="s">
        <v>2195</v>
      </c>
      <c r="E707" s="1290"/>
      <c r="F707" s="1290"/>
      <c r="H707" s="501"/>
      <c r="I707" s="483"/>
      <c r="J707" s="501"/>
      <c r="K707" s="501"/>
    </row>
    <row r="708" spans="1:11">
      <c r="A708" s="483"/>
      <c r="B708" s="483"/>
      <c r="C708" s="483"/>
      <c r="D708" s="1290"/>
      <c r="E708" s="1290"/>
      <c r="F708" s="1290"/>
      <c r="H708" s="501"/>
      <c r="I708" s="483"/>
      <c r="J708" s="501"/>
      <c r="K708" s="501"/>
    </row>
    <row r="709" spans="1:11">
      <c r="A709" s="483"/>
      <c r="B709" s="483"/>
      <c r="C709" s="483"/>
      <c r="D709" s="1290"/>
      <c r="E709" s="1290"/>
      <c r="F709" s="1290"/>
      <c r="H709" s="501"/>
      <c r="I709" s="483"/>
      <c r="J709" s="501"/>
      <c r="K709" s="501"/>
    </row>
    <row r="710" spans="1:11">
      <c r="A710" s="483"/>
      <c r="B710" s="483"/>
      <c r="C710" s="483"/>
      <c r="D710" s="1290"/>
      <c r="E710" s="1290"/>
      <c r="F710" s="1290"/>
      <c r="H710" s="501"/>
      <c r="I710" s="483"/>
      <c r="J710" s="501"/>
      <c r="K710" s="501"/>
    </row>
    <row r="711" spans="1:11">
      <c r="A711" s="483"/>
      <c r="B711" s="483"/>
      <c r="C711" s="483"/>
      <c r="D711" s="1290"/>
      <c r="E711" s="1290"/>
      <c r="F711" s="1290"/>
      <c r="H711" s="501"/>
      <c r="I711" s="483"/>
      <c r="J711" s="501"/>
      <c r="K711" s="501"/>
    </row>
    <row r="712" spans="1:11">
      <c r="A712" s="483"/>
      <c r="B712" s="483"/>
      <c r="C712" s="483"/>
      <c r="D712" s="1290"/>
      <c r="E712" s="1290"/>
      <c r="F712" s="1290"/>
      <c r="H712" s="501"/>
      <c r="I712" s="483"/>
      <c r="J712" s="501"/>
      <c r="K712" s="501"/>
    </row>
    <row r="713" spans="1:11">
      <c r="A713" s="483"/>
      <c r="B713" s="483"/>
      <c r="C713" s="483"/>
      <c r="D713" s="445"/>
      <c r="E713" s="445"/>
      <c r="F713" s="445"/>
      <c r="H713" s="501"/>
      <c r="I713" s="483"/>
      <c r="J713" s="501"/>
      <c r="K713" s="501"/>
    </row>
    <row r="714" spans="1:11">
      <c r="A714" s="483"/>
      <c r="B714" s="485" t="s">
        <v>2643</v>
      </c>
      <c r="C714" s="483"/>
      <c r="D714" s="1290" t="s">
        <v>1199</v>
      </c>
      <c r="E714" s="1290"/>
      <c r="F714" s="1290"/>
      <c r="H714" s="501"/>
      <c r="I714" s="483"/>
      <c r="J714" s="501"/>
      <c r="K714" s="501"/>
    </row>
    <row r="715" spans="1:11">
      <c r="A715" s="483"/>
      <c r="B715" s="483"/>
      <c r="C715" s="483"/>
      <c r="D715" s="1290"/>
      <c r="E715" s="1290"/>
      <c r="F715" s="1290"/>
      <c r="H715" s="501"/>
      <c r="I715" s="483"/>
      <c r="J715" s="501"/>
      <c r="K715" s="501"/>
    </row>
    <row r="716" spans="1:11">
      <c r="A716" s="483"/>
      <c r="B716" s="483"/>
      <c r="C716" s="483"/>
      <c r="D716" s="445"/>
      <c r="E716" s="445"/>
      <c r="F716" s="445"/>
      <c r="H716" s="501"/>
      <c r="I716" s="483"/>
      <c r="J716" s="501"/>
      <c r="K716" s="501"/>
    </row>
    <row r="717" spans="1:11">
      <c r="A717" s="484"/>
      <c r="B717" s="485" t="s">
        <v>2643</v>
      </c>
      <c r="C717" s="483"/>
      <c r="D717" s="1290" t="s">
        <v>1075</v>
      </c>
      <c r="E717" s="1290"/>
      <c r="F717" s="1290"/>
      <c r="H717" s="501"/>
      <c r="I717" s="483"/>
      <c r="J717" s="501"/>
      <c r="K717" s="501"/>
    </row>
    <row r="718" spans="1:11">
      <c r="A718" s="483"/>
      <c r="B718" s="483"/>
      <c r="C718" s="483"/>
      <c r="D718" s="1290"/>
      <c r="E718" s="1290"/>
      <c r="F718" s="1290"/>
      <c r="H718" s="501"/>
      <c r="I718" s="483"/>
      <c r="J718" s="501"/>
      <c r="K718" s="501"/>
    </row>
    <row r="719" spans="1:11">
      <c r="A719" s="483"/>
      <c r="B719" s="483"/>
      <c r="C719" s="483"/>
      <c r="D719" s="1290"/>
      <c r="E719" s="1290"/>
      <c r="F719" s="1290"/>
      <c r="H719" s="501"/>
      <c r="I719" s="483"/>
      <c r="J719" s="501"/>
      <c r="K719" s="501"/>
    </row>
    <row r="720" spans="1:11" ht="15" customHeight="1">
      <c r="A720" s="483"/>
      <c r="B720" s="483"/>
      <c r="C720" s="483"/>
      <c r="D720" s="1290"/>
      <c r="E720" s="1290"/>
      <c r="F720" s="1290"/>
      <c r="H720" s="501"/>
      <c r="I720" s="483"/>
      <c r="J720" s="501"/>
      <c r="K720" s="501"/>
    </row>
    <row r="721" spans="1:11" ht="15" customHeight="1">
      <c r="A721" s="483"/>
      <c r="B721" s="483"/>
      <c r="C721" s="483"/>
      <c r="D721" s="1290"/>
      <c r="E721" s="1290"/>
      <c r="F721" s="1290"/>
      <c r="H721" s="501"/>
      <c r="I721" s="483"/>
      <c r="J721" s="501"/>
      <c r="K721" s="501"/>
    </row>
    <row r="722" spans="1:11">
      <c r="A722" s="483"/>
      <c r="B722" s="483"/>
      <c r="C722" s="483"/>
      <c r="D722" s="1290"/>
      <c r="E722" s="1290"/>
      <c r="F722" s="1290"/>
      <c r="H722" s="501"/>
      <c r="I722" s="483"/>
      <c r="J722" s="501"/>
      <c r="K722" s="501"/>
    </row>
    <row r="723" spans="1:11">
      <c r="A723" s="483"/>
      <c r="B723" s="483"/>
      <c r="C723" s="483"/>
      <c r="D723" s="1290"/>
      <c r="E723" s="1290"/>
      <c r="F723" s="1290"/>
      <c r="H723" s="501"/>
      <c r="I723" s="483"/>
      <c r="J723" s="501"/>
      <c r="K723" s="501"/>
    </row>
    <row r="724" spans="1:11">
      <c r="A724" s="483"/>
      <c r="B724" s="483"/>
      <c r="C724" s="483"/>
      <c r="D724" s="1290"/>
      <c r="E724" s="1290"/>
      <c r="F724" s="1290"/>
      <c r="H724" s="501"/>
      <c r="I724" s="483"/>
      <c r="J724" s="501"/>
      <c r="K724" s="501"/>
    </row>
    <row r="725" spans="1:11" ht="15" customHeight="1">
      <c r="A725" s="483"/>
      <c r="B725" s="483"/>
      <c r="C725" s="483"/>
      <c r="D725" s="1290"/>
      <c r="E725" s="1290"/>
      <c r="F725" s="1290"/>
      <c r="H725" s="501"/>
      <c r="I725" s="483"/>
      <c r="J725" s="501"/>
      <c r="K725" s="501"/>
    </row>
    <row r="726" spans="1:11">
      <c r="A726" s="483"/>
      <c r="B726" s="483"/>
      <c r="C726" s="483"/>
      <c r="D726" s="1290"/>
      <c r="E726" s="1290"/>
      <c r="F726" s="1290"/>
      <c r="H726" s="501"/>
      <c r="I726" s="483"/>
      <c r="J726" s="501"/>
      <c r="K726" s="501"/>
    </row>
    <row r="727" spans="1:11">
      <c r="A727" s="483"/>
      <c r="B727" s="483"/>
      <c r="C727" s="483"/>
      <c r="D727" s="1290"/>
      <c r="E727" s="1290"/>
      <c r="F727" s="1290"/>
      <c r="H727" s="501"/>
      <c r="I727" s="483"/>
      <c r="J727" s="501"/>
      <c r="K727" s="501"/>
    </row>
    <row r="728" spans="1:11">
      <c r="A728" s="483"/>
      <c r="B728" s="483"/>
      <c r="C728" s="483"/>
      <c r="D728" s="1290"/>
      <c r="E728" s="1290"/>
      <c r="F728" s="1290"/>
      <c r="H728" s="501"/>
      <c r="I728" s="483"/>
      <c r="J728" s="501"/>
      <c r="K728" s="501"/>
    </row>
    <row r="729" spans="1:11">
      <c r="A729" s="483"/>
      <c r="B729" s="483"/>
      <c r="C729" s="483"/>
      <c r="D729" s="1290"/>
      <c r="E729" s="1290"/>
      <c r="F729" s="1290"/>
      <c r="H729" s="501"/>
      <c r="I729" s="483"/>
      <c r="J729" s="501"/>
      <c r="K729" s="501"/>
    </row>
    <row r="730" spans="1:11">
      <c r="A730" s="483"/>
      <c r="B730" s="485" t="s">
        <v>2643</v>
      </c>
      <c r="C730" s="483"/>
      <c r="D730" s="1290" t="s">
        <v>2390</v>
      </c>
      <c r="E730" s="1290"/>
      <c r="F730" s="1290"/>
      <c r="H730" s="501"/>
      <c r="I730" s="483"/>
      <c r="J730" s="501"/>
      <c r="K730" s="501"/>
    </row>
    <row r="731" spans="1:11">
      <c r="A731" s="483"/>
      <c r="B731" s="483"/>
      <c r="C731" s="483"/>
      <c r="D731" s="1290"/>
      <c r="E731" s="1290"/>
      <c r="F731" s="1290"/>
      <c r="H731" s="501"/>
      <c r="I731" s="483"/>
      <c r="J731" s="501"/>
      <c r="K731" s="501"/>
    </row>
    <row r="732" spans="1:11">
      <c r="A732" s="483"/>
      <c r="B732" s="483"/>
      <c r="C732" s="483"/>
      <c r="D732" s="1290"/>
      <c r="E732" s="1290"/>
      <c r="F732" s="1290"/>
      <c r="H732" s="501"/>
      <c r="I732" s="483"/>
      <c r="J732" s="501"/>
      <c r="K732" s="501"/>
    </row>
    <row r="733" spans="1:11">
      <c r="A733" s="483"/>
      <c r="B733" s="483"/>
      <c r="C733" s="483"/>
      <c r="D733" s="445"/>
      <c r="E733" s="445"/>
      <c r="F733" s="445"/>
      <c r="H733" s="501"/>
      <c r="I733" s="483"/>
      <c r="J733" s="501"/>
      <c r="K733" s="501"/>
    </row>
    <row r="734" spans="1:11">
      <c r="A734" s="483"/>
      <c r="B734" s="485" t="s">
        <v>2643</v>
      </c>
      <c r="C734" s="483"/>
      <c r="D734" s="1290" t="s">
        <v>2389</v>
      </c>
      <c r="E734" s="1290"/>
      <c r="F734" s="1290"/>
      <c r="H734" s="501"/>
      <c r="I734" s="483"/>
      <c r="J734" s="501"/>
      <c r="K734" s="501"/>
    </row>
    <row r="735" spans="1:11">
      <c r="A735" s="483"/>
      <c r="B735" s="483"/>
      <c r="C735" s="483"/>
      <c r="D735" s="1290"/>
      <c r="E735" s="1290"/>
      <c r="F735" s="1290"/>
      <c r="H735" s="501"/>
      <c r="I735" s="483"/>
      <c r="J735" s="501"/>
      <c r="K735" s="501"/>
    </row>
    <row r="736" spans="1:11">
      <c r="A736" s="483"/>
      <c r="B736" s="483"/>
      <c r="C736" s="483"/>
      <c r="D736" s="1290"/>
      <c r="E736" s="1290"/>
      <c r="F736" s="1290"/>
      <c r="H736" s="501"/>
      <c r="I736" s="483"/>
      <c r="J736" s="501"/>
      <c r="K736" s="501"/>
    </row>
    <row r="737" spans="1:11">
      <c r="A737" s="483"/>
      <c r="B737" s="483"/>
      <c r="C737" s="483"/>
      <c r="H737" s="501"/>
      <c r="I737" s="483"/>
      <c r="J737" s="501"/>
      <c r="K737" s="501"/>
    </row>
    <row r="738" spans="1:11">
      <c r="A738" s="483"/>
      <c r="B738" s="485" t="s">
        <v>2643</v>
      </c>
      <c r="C738" s="483"/>
      <c r="D738" s="1290" t="s">
        <v>2388</v>
      </c>
      <c r="E738" s="1290"/>
      <c r="F738" s="1290"/>
      <c r="H738" s="501"/>
      <c r="I738" s="483"/>
      <c r="J738" s="501"/>
      <c r="K738" s="501"/>
    </row>
    <row r="739" spans="1:11">
      <c r="A739" s="483"/>
      <c r="B739" s="483"/>
      <c r="C739" s="483"/>
      <c r="D739" s="1290"/>
      <c r="E739" s="1290"/>
      <c r="F739" s="1290"/>
      <c r="H739" s="501"/>
      <c r="I739" s="483"/>
      <c r="J739" s="501"/>
      <c r="K739" s="501"/>
    </row>
    <row r="740" spans="1:11">
      <c r="A740" s="483"/>
      <c r="B740" s="483"/>
      <c r="C740" s="483"/>
      <c r="D740" s="1290"/>
      <c r="E740" s="1290"/>
      <c r="F740" s="1290"/>
      <c r="H740" s="501"/>
      <c r="I740" s="483"/>
      <c r="J740" s="501"/>
      <c r="K740" s="501"/>
    </row>
    <row r="741" spans="1:11">
      <c r="A741" s="483"/>
      <c r="B741" s="483"/>
      <c r="C741" s="483"/>
      <c r="D741" s="1290"/>
      <c r="E741" s="1290"/>
      <c r="F741" s="1290"/>
      <c r="H741" s="501"/>
      <c r="I741" s="483"/>
      <c r="J741" s="501"/>
      <c r="K741" s="501"/>
    </row>
    <row r="742" spans="1:11">
      <c r="A742" s="483"/>
      <c r="B742" s="483"/>
      <c r="C742" s="483"/>
      <c r="H742" s="501"/>
      <c r="I742" s="483"/>
      <c r="J742" s="501"/>
      <c r="K742" s="501"/>
    </row>
    <row r="743" spans="1:11">
      <c r="A743" s="484"/>
      <c r="B743" s="485" t="s">
        <v>2643</v>
      </c>
      <c r="C743" s="483"/>
      <c r="D743" s="1290" t="s">
        <v>1076</v>
      </c>
      <c r="E743" s="1290"/>
      <c r="F743" s="1290"/>
      <c r="H743" s="501"/>
      <c r="I743" s="483"/>
      <c r="J743" s="501"/>
      <c r="K743" s="501"/>
    </row>
    <row r="744" spans="1:11">
      <c r="A744" s="483"/>
      <c r="B744" s="483"/>
      <c r="C744" s="483"/>
      <c r="D744" s="1290"/>
      <c r="E744" s="1290"/>
      <c r="F744" s="1290"/>
      <c r="H744" s="501"/>
      <c r="I744" s="483"/>
      <c r="J744" s="501"/>
      <c r="K744" s="501"/>
    </row>
    <row r="745" spans="1:11">
      <c r="A745" s="483"/>
      <c r="B745" s="483"/>
      <c r="C745" s="483"/>
      <c r="D745" s="1290"/>
      <c r="E745" s="1290"/>
      <c r="F745" s="1290"/>
      <c r="H745" s="501"/>
      <c r="I745" s="483"/>
      <c r="J745" s="501"/>
      <c r="K745" s="501"/>
    </row>
    <row r="746" spans="1:11">
      <c r="A746" s="483"/>
      <c r="B746" s="483"/>
      <c r="C746" s="483"/>
      <c r="D746" s="1290"/>
      <c r="E746" s="1290"/>
      <c r="F746" s="1290"/>
      <c r="H746" s="501"/>
      <c r="I746" s="483"/>
      <c r="J746" s="501"/>
      <c r="K746" s="501"/>
    </row>
    <row r="747" spans="1:11">
      <c r="A747" s="483"/>
      <c r="B747" s="483"/>
      <c r="C747" s="483"/>
      <c r="D747" s="1290"/>
      <c r="E747" s="1290"/>
      <c r="F747" s="1290"/>
      <c r="H747" s="501"/>
      <c r="I747" s="483"/>
      <c r="J747" s="501"/>
      <c r="K747" s="501"/>
    </row>
    <row r="748" spans="1:11">
      <c r="A748" s="483"/>
      <c r="B748" s="483"/>
      <c r="C748" s="483"/>
      <c r="D748" s="492"/>
      <c r="H748" s="501"/>
      <c r="I748" s="483"/>
      <c r="J748" s="501"/>
      <c r="K748" s="501"/>
    </row>
    <row r="749" spans="1:11">
      <c r="A749" s="484"/>
      <c r="B749" s="485" t="s">
        <v>2643</v>
      </c>
      <c r="C749" s="483"/>
      <c r="D749" s="1290" t="s">
        <v>2098</v>
      </c>
      <c r="E749" s="1290"/>
      <c r="F749" s="1290"/>
      <c r="H749" s="501"/>
      <c r="I749" s="483"/>
      <c r="J749" s="501"/>
      <c r="K749" s="501"/>
    </row>
    <row r="750" spans="1:11">
      <c r="A750" s="483"/>
      <c r="B750" s="483"/>
      <c r="C750" s="483"/>
      <c r="D750" s="1290"/>
      <c r="E750" s="1290"/>
      <c r="F750" s="1290"/>
      <c r="H750" s="501"/>
      <c r="I750" s="483"/>
      <c r="J750" s="501"/>
      <c r="K750" s="501"/>
    </row>
    <row r="751" spans="1:11">
      <c r="A751" s="483"/>
      <c r="B751" s="483"/>
      <c r="C751" s="483"/>
      <c r="D751" s="1290"/>
      <c r="E751" s="1290"/>
      <c r="F751" s="1290"/>
      <c r="H751" s="501"/>
      <c r="I751" s="483"/>
      <c r="J751" s="501"/>
      <c r="K751" s="501"/>
    </row>
    <row r="752" spans="1:11">
      <c r="A752" s="483"/>
      <c r="B752" s="483"/>
      <c r="C752" s="483"/>
      <c r="D752" s="1290"/>
      <c r="E752" s="1290"/>
      <c r="F752" s="1290"/>
      <c r="H752" s="501"/>
      <c r="I752" s="483"/>
      <c r="J752" s="501"/>
      <c r="K752" s="501"/>
    </row>
    <row r="753" spans="1:11">
      <c r="A753" s="483"/>
      <c r="B753" s="483"/>
      <c r="C753" s="483"/>
      <c r="D753" s="1290"/>
      <c r="E753" s="1290"/>
      <c r="F753" s="1290"/>
      <c r="H753" s="501"/>
      <c r="I753" s="483"/>
      <c r="J753" s="501"/>
      <c r="K753" s="501"/>
    </row>
    <row r="754" spans="1:11">
      <c r="A754" s="483"/>
      <c r="B754" s="483"/>
      <c r="C754" s="483"/>
      <c r="D754" s="1290"/>
      <c r="E754" s="1290"/>
      <c r="F754" s="1290"/>
      <c r="H754" s="501"/>
      <c r="I754" s="483"/>
      <c r="J754" s="501"/>
      <c r="K754" s="501"/>
    </row>
    <row r="755" spans="1:11">
      <c r="A755" s="483"/>
      <c r="B755" s="483"/>
      <c r="C755" s="483"/>
      <c r="D755" s="1290"/>
      <c r="E755" s="1290"/>
      <c r="F755" s="1290"/>
      <c r="H755" s="501"/>
      <c r="I755" s="483"/>
      <c r="J755" s="501"/>
      <c r="K755" s="501"/>
    </row>
    <row r="756" spans="1:11">
      <c r="A756" s="483"/>
      <c r="B756" s="483"/>
      <c r="C756" s="483"/>
      <c r="D756" s="1328" t="s">
        <v>2611</v>
      </c>
      <c r="E756" s="1328"/>
      <c r="F756" s="1328"/>
      <c r="H756" s="501"/>
      <c r="I756" s="483"/>
      <c r="J756" s="501"/>
      <c r="K756" s="501"/>
    </row>
    <row r="757" spans="1:11">
      <c r="A757" s="483"/>
      <c r="B757" s="483"/>
      <c r="C757" s="483"/>
      <c r="D757" s="341"/>
      <c r="H757" s="501"/>
      <c r="I757" s="483"/>
      <c r="J757" s="501"/>
      <c r="K757" s="501"/>
    </row>
    <row r="758" spans="1:11">
      <c r="A758" s="1298" t="s">
        <v>1058</v>
      </c>
      <c r="B758" s="1298"/>
      <c r="C758" s="1298"/>
      <c r="D758" s="1298"/>
      <c r="E758" s="1298"/>
      <c r="F758" s="1298"/>
      <c r="G758" s="1298"/>
      <c r="H758" s="1025"/>
      <c r="I758" s="1151"/>
      <c r="J758" s="501"/>
      <c r="K758" s="501"/>
    </row>
    <row r="759" spans="1:11">
      <c r="A759" s="483"/>
      <c r="B759" s="483"/>
      <c r="C759" s="483"/>
      <c r="D759" s="492"/>
      <c r="G759" s="501"/>
      <c r="H759" s="501"/>
      <c r="I759" s="483"/>
      <c r="J759" s="501"/>
      <c r="K759" s="501"/>
    </row>
    <row r="760" spans="1:11" ht="13.75" customHeight="1">
      <c r="C760" s="483"/>
      <c r="D760" s="1292" t="s">
        <v>1068</v>
      </c>
      <c r="E760" s="1292"/>
      <c r="F760" s="1292"/>
      <c r="G760" s="501"/>
      <c r="H760" s="501"/>
      <c r="I760" s="483"/>
      <c r="J760" s="501"/>
      <c r="K760" s="501"/>
    </row>
    <row r="761" spans="1:11">
      <c r="A761" s="483"/>
      <c r="B761" s="483"/>
      <c r="C761" s="483"/>
      <c r="D761" s="1297" t="s">
        <v>1069</v>
      </c>
      <c r="E761" s="1297"/>
      <c r="F761" s="1297"/>
      <c r="G761" s="501"/>
      <c r="H761" s="501"/>
      <c r="I761" s="483"/>
      <c r="J761" s="501"/>
      <c r="K761" s="501"/>
    </row>
    <row r="762" spans="1:11">
      <c r="A762" s="483"/>
      <c r="B762" s="483"/>
      <c r="C762" s="483"/>
      <c r="G762" s="501"/>
      <c r="H762" s="501"/>
      <c r="I762" s="483"/>
      <c r="J762" s="501"/>
      <c r="K762" s="501"/>
    </row>
    <row r="763" spans="1:11">
      <c r="A763" s="484"/>
      <c r="B763" s="485" t="s">
        <v>2642</v>
      </c>
      <c r="D763" s="1290" t="s">
        <v>1070</v>
      </c>
      <c r="E763" s="1290"/>
      <c r="F763" s="1290"/>
      <c r="G763" s="501"/>
      <c r="H763" s="501"/>
      <c r="I763" s="483"/>
      <c r="J763" s="501"/>
      <c r="K763" s="501"/>
    </row>
    <row r="764" spans="1:11" ht="10.5" customHeight="1">
      <c r="D764" s="1290"/>
      <c r="E764" s="1290"/>
      <c r="F764" s="1290"/>
      <c r="G764" s="501"/>
      <c r="H764" s="501"/>
      <c r="I764" s="483"/>
      <c r="J764" s="501"/>
      <c r="K764" s="501"/>
    </row>
    <row r="765" spans="1:11">
      <c r="D765" s="1290"/>
      <c r="E765" s="1290"/>
      <c r="F765" s="1290"/>
      <c r="G765" s="501"/>
      <c r="H765" s="501"/>
      <c r="I765" s="483"/>
      <c r="J765" s="501"/>
      <c r="K765" s="501"/>
    </row>
    <row r="766" spans="1:11">
      <c r="D766" s="1290"/>
      <c r="E766" s="1290"/>
      <c r="F766" s="1290"/>
      <c r="G766" s="501"/>
      <c r="H766" s="501"/>
      <c r="I766" s="483"/>
      <c r="J766" s="501"/>
      <c r="K766" s="501"/>
    </row>
    <row r="767" spans="1:11">
      <c r="D767" s="1290"/>
      <c r="E767" s="1290"/>
      <c r="F767" s="1290"/>
      <c r="G767" s="501"/>
      <c r="H767" s="501"/>
      <c r="I767" s="483"/>
      <c r="J767" s="501"/>
      <c r="K767" s="501"/>
    </row>
    <row r="768" spans="1:11" ht="15.65" customHeight="1">
      <c r="D768" s="1290"/>
      <c r="E768" s="1290"/>
      <c r="F768" s="1290"/>
      <c r="G768" s="501"/>
      <c r="H768" s="501"/>
      <c r="I768" s="483"/>
      <c r="J768" s="501"/>
      <c r="K768" s="501"/>
    </row>
    <row r="769" spans="1:11">
      <c r="D769" s="499"/>
      <c r="E769" s="446"/>
      <c r="F769" s="446"/>
      <c r="G769" s="501"/>
      <c r="H769" s="501"/>
      <c r="I769" s="483"/>
      <c r="J769" s="501"/>
      <c r="K769" s="501"/>
    </row>
    <row r="770" spans="1:11" s="505" customFormat="1">
      <c r="A770" s="503"/>
      <c r="B770" s="485" t="s">
        <v>2642</v>
      </c>
      <c r="C770" s="504"/>
      <c r="D770" s="1290" t="s">
        <v>1239</v>
      </c>
      <c r="E770" s="1290"/>
      <c r="F770" s="1290"/>
      <c r="I770" s="1152"/>
    </row>
    <row r="771" spans="1:11" s="505" customFormat="1">
      <c r="A771" s="504"/>
      <c r="B771" s="504"/>
      <c r="C771" s="504"/>
      <c r="D771" s="1290"/>
      <c r="E771" s="1290"/>
      <c r="F771" s="1290"/>
      <c r="I771" s="1152"/>
    </row>
    <row r="772" spans="1:11" s="505" customFormat="1">
      <c r="A772" s="504"/>
      <c r="B772" s="504"/>
      <c r="C772" s="504"/>
      <c r="D772" s="1290"/>
      <c r="E772" s="1290"/>
      <c r="F772" s="1290"/>
      <c r="I772" s="1152"/>
    </row>
    <row r="773" spans="1:11" s="505" customFormat="1">
      <c r="A773" s="504"/>
      <c r="B773" s="504"/>
      <c r="C773" s="504"/>
      <c r="D773" s="1290"/>
      <c r="E773" s="1290"/>
      <c r="F773" s="1290"/>
      <c r="I773" s="1152"/>
    </row>
    <row r="774" spans="1:11" s="505" customFormat="1">
      <c r="A774" s="504"/>
      <c r="B774" s="504"/>
      <c r="C774" s="504"/>
      <c r="D774" s="499"/>
      <c r="I774" s="1152"/>
    </row>
    <row r="775" spans="1:11" s="505" customFormat="1">
      <c r="A775" s="484"/>
      <c r="B775" s="485" t="s">
        <v>2643</v>
      </c>
      <c r="C775" s="504"/>
      <c r="D775" s="1301" t="s">
        <v>1240</v>
      </c>
      <c r="E775" s="1301"/>
      <c r="F775" s="1301"/>
      <c r="I775" s="1152"/>
    </row>
    <row r="776" spans="1:11" s="505" customFormat="1">
      <c r="A776" s="504"/>
      <c r="B776" s="504"/>
      <c r="C776" s="504"/>
      <c r="D776" s="1301"/>
      <c r="E776" s="1301"/>
      <c r="F776" s="1301"/>
      <c r="I776" s="1152"/>
    </row>
    <row r="777" spans="1:11" s="505" customFormat="1">
      <c r="A777" s="504"/>
      <c r="B777" s="504"/>
      <c r="C777" s="504"/>
      <c r="D777" s="1301"/>
      <c r="E777" s="1301"/>
      <c r="F777" s="1301"/>
      <c r="I777" s="1152"/>
    </row>
    <row r="778" spans="1:11">
      <c r="D778" s="499"/>
      <c r="E778" s="446"/>
      <c r="F778" s="446"/>
      <c r="G778" s="501"/>
      <c r="H778" s="501"/>
      <c r="I778" s="483"/>
      <c r="J778" s="501"/>
      <c r="K778" s="501"/>
    </row>
    <row r="779" spans="1:11">
      <c r="A779" s="484"/>
      <c r="B779" s="485" t="s">
        <v>2643</v>
      </c>
      <c r="D779" s="1290" t="s">
        <v>1196</v>
      </c>
      <c r="E779" s="1290"/>
      <c r="F779" s="1290"/>
      <c r="G779" s="501"/>
      <c r="H779" s="501"/>
      <c r="I779" s="483"/>
      <c r="J779" s="501"/>
      <c r="K779" s="501"/>
    </row>
    <row r="780" spans="1:11">
      <c r="D780" s="1290"/>
      <c r="E780" s="1290"/>
      <c r="F780" s="1290"/>
      <c r="G780" s="501"/>
      <c r="H780" s="501"/>
      <c r="I780" s="483"/>
      <c r="J780" s="501"/>
      <c r="K780" s="501"/>
    </row>
    <row r="781" spans="1:11">
      <c r="D781" s="445"/>
      <c r="E781" s="445"/>
      <c r="F781" s="445"/>
      <c r="G781" s="501"/>
      <c r="H781" s="501"/>
      <c r="I781" s="483"/>
      <c r="J781" s="501"/>
      <c r="K781" s="501"/>
    </row>
    <row r="782" spans="1:11">
      <c r="B782" s="485" t="s">
        <v>2643</v>
      </c>
      <c r="D782" s="1290" t="s">
        <v>1213</v>
      </c>
      <c r="E782" s="1290"/>
      <c r="F782" s="1290"/>
      <c r="G782" s="501"/>
      <c r="H782" s="501"/>
      <c r="I782" s="483"/>
      <c r="J782" s="501"/>
      <c r="K782" s="501"/>
    </row>
    <row r="783" spans="1:11">
      <c r="D783" s="1290"/>
      <c r="E783" s="1290"/>
      <c r="F783" s="1290"/>
      <c r="G783" s="501"/>
      <c r="H783" s="501"/>
      <c r="I783" s="483"/>
      <c r="J783" s="501"/>
      <c r="K783" s="501"/>
    </row>
    <row r="784" spans="1:11">
      <c r="D784" s="1290"/>
      <c r="E784" s="1290"/>
      <c r="F784" s="1290"/>
      <c r="G784" s="501"/>
      <c r="H784" s="501"/>
      <c r="I784" s="483"/>
      <c r="J784" s="501"/>
      <c r="K784" s="501"/>
    </row>
    <row r="785" spans="1:11">
      <c r="D785" s="445"/>
      <c r="E785" s="445"/>
      <c r="F785" s="445"/>
      <c r="G785" s="501"/>
      <c r="H785" s="501"/>
      <c r="I785" s="483"/>
      <c r="J785" s="501"/>
      <c r="K785" s="501"/>
    </row>
    <row r="786" spans="1:11" hidden="1">
      <c r="A786" s="1320" t="s">
        <v>1788</v>
      </c>
      <c r="B786" s="1320"/>
      <c r="C786" s="1320"/>
      <c r="D786" s="1320"/>
      <c r="E786" s="1320"/>
      <c r="F786" s="1320"/>
      <c r="G786" s="1320"/>
      <c r="H786" s="1023"/>
      <c r="I786" s="1147"/>
    </row>
    <row r="787" spans="1:11" hidden="1">
      <c r="A787" s="57"/>
      <c r="B787" s="57"/>
      <c r="C787" s="354"/>
      <c r="D787" s="3"/>
      <c r="E787" s="3"/>
      <c r="F787" s="3"/>
      <c r="G787" s="3"/>
      <c r="I787" s="490"/>
    </row>
    <row r="788" spans="1:11" hidden="1">
      <c r="A788" s="57"/>
      <c r="B788" s="57"/>
      <c r="C788" s="354"/>
      <c r="D788" s="1319" t="s">
        <v>1828</v>
      </c>
      <c r="E788" s="1319"/>
      <c r="F788" s="1319"/>
      <c r="G788" s="3"/>
      <c r="I788" s="490"/>
    </row>
    <row r="789" spans="1:11" hidden="1">
      <c r="A789" s="57"/>
      <c r="B789" s="57"/>
      <c r="C789" s="354"/>
      <c r="D789" s="1304" t="s">
        <v>1742</v>
      </c>
      <c r="E789" s="1304"/>
      <c r="F789" s="1304"/>
      <c r="G789" s="3"/>
      <c r="I789" s="490"/>
    </row>
    <row r="790" spans="1:11" hidden="1">
      <c r="A790" s="57"/>
      <c r="B790" s="57"/>
      <c r="C790" s="354"/>
      <c r="D790" s="447"/>
      <c r="E790" s="447"/>
      <c r="F790" s="447"/>
      <c r="G790" s="3"/>
      <c r="I790" s="490"/>
    </row>
    <row r="791" spans="1:11" hidden="1">
      <c r="A791" s="57"/>
      <c r="B791" s="485" t="s">
        <v>306</v>
      </c>
      <c r="C791" s="354"/>
      <c r="D791" s="1321" t="s">
        <v>1743</v>
      </c>
      <c r="E791" s="1321"/>
      <c r="F791" s="1321"/>
      <c r="G791" s="3"/>
      <c r="I791" s="483"/>
    </row>
    <row r="792" spans="1:11" hidden="1">
      <c r="A792" s="57"/>
      <c r="B792" s="57"/>
      <c r="C792" s="354"/>
      <c r="D792" s="1321"/>
      <c r="E792" s="1321"/>
      <c r="F792" s="1321"/>
      <c r="G792" s="3"/>
      <c r="I792" s="490"/>
    </row>
    <row r="793" spans="1:11" hidden="1">
      <c r="A793" s="174"/>
      <c r="B793" s="174"/>
      <c r="C793" s="174"/>
      <c r="D793" s="1321"/>
      <c r="E793" s="1321"/>
      <c r="F793" s="1321"/>
      <c r="G793" s="118"/>
      <c r="I793" s="490"/>
    </row>
    <row r="794" spans="1:11" hidden="1">
      <c r="A794" s="354"/>
      <c r="B794" s="354"/>
      <c r="C794" s="354"/>
      <c r="D794" s="173"/>
      <c r="E794" s="3"/>
      <c r="F794" s="3"/>
      <c r="G794" s="3"/>
      <c r="I794" s="490"/>
    </row>
    <row r="795" spans="1:11" hidden="1">
      <c r="A795" s="172"/>
      <c r="B795" s="485" t="s">
        <v>306</v>
      </c>
      <c r="C795" s="172"/>
      <c r="D795" s="1321" t="s">
        <v>1744</v>
      </c>
      <c r="E795" s="1321"/>
      <c r="F795" s="1321"/>
      <c r="G795" s="3"/>
      <c r="I795" s="483"/>
    </row>
    <row r="796" spans="1:11" hidden="1">
      <c r="A796" s="172"/>
      <c r="B796" s="172"/>
      <c r="C796" s="172"/>
      <c r="D796" s="1321"/>
      <c r="E796" s="1321"/>
      <c r="F796" s="1321"/>
      <c r="G796" s="3"/>
      <c r="I796" s="490"/>
    </row>
    <row r="797" spans="1:11" hidden="1">
      <c r="A797" s="172"/>
      <c r="B797" s="172"/>
      <c r="C797" s="172"/>
      <c r="D797" s="1321"/>
      <c r="E797" s="1321"/>
      <c r="F797" s="1321"/>
      <c r="G797" s="3"/>
      <c r="I797" s="490"/>
    </row>
    <row r="798" spans="1:11" hidden="1">
      <c r="A798" s="174"/>
      <c r="B798" s="174"/>
      <c r="C798" s="174"/>
      <c r="D798" s="3"/>
      <c r="E798" s="983"/>
      <c r="F798" s="983"/>
      <c r="G798" s="983"/>
      <c r="I798" s="490"/>
    </row>
    <row r="799" spans="1:11" hidden="1">
      <c r="A799" s="175"/>
      <c r="B799" s="485" t="s">
        <v>306</v>
      </c>
      <c r="C799" s="984"/>
      <c r="D799" s="1321" t="s">
        <v>1745</v>
      </c>
      <c r="E799" s="1321"/>
      <c r="F799" s="1321"/>
      <c r="G799" s="983"/>
      <c r="I799" s="483"/>
    </row>
    <row r="800" spans="1:11" hidden="1">
      <c r="A800" s="175"/>
      <c r="B800" s="175"/>
      <c r="C800" s="984"/>
      <c r="D800" s="1321"/>
      <c r="E800" s="1321"/>
      <c r="F800" s="1321"/>
      <c r="G800" s="983"/>
      <c r="I800" s="490"/>
    </row>
    <row r="801" spans="1:9" hidden="1">
      <c r="A801" s="175"/>
      <c r="B801" s="175"/>
      <c r="C801" s="984"/>
      <c r="D801" s="1321"/>
      <c r="E801" s="1321"/>
      <c r="F801" s="1321"/>
      <c r="G801" s="983"/>
      <c r="I801" s="490"/>
    </row>
    <row r="802" spans="1:9" hidden="1">
      <c r="A802" s="175"/>
      <c r="B802" s="175"/>
      <c r="C802" s="984"/>
      <c r="D802" s="118"/>
      <c r="E802" s="3"/>
      <c r="F802" s="3"/>
      <c r="G802" s="983"/>
      <c r="I802" s="490"/>
    </row>
    <row r="803" spans="1:9" hidden="1">
      <c r="A803" s="175"/>
      <c r="B803" s="485" t="s">
        <v>306</v>
      </c>
      <c r="C803" s="984"/>
      <c r="D803" s="1321" t="s">
        <v>1746</v>
      </c>
      <c r="E803" s="1321"/>
      <c r="F803" s="1321"/>
      <c r="G803" s="983"/>
      <c r="I803" s="483"/>
    </row>
    <row r="804" spans="1:9" hidden="1">
      <c r="A804" s="175"/>
      <c r="B804" s="175"/>
      <c r="C804" s="984"/>
      <c r="D804" s="1321"/>
      <c r="E804" s="1321"/>
      <c r="F804" s="1321"/>
      <c r="G804" s="983"/>
      <c r="I804" s="490"/>
    </row>
    <row r="805" spans="1:9" hidden="1">
      <c r="A805" s="175"/>
      <c r="B805" s="175"/>
      <c r="C805" s="984"/>
      <c r="D805" s="1321"/>
      <c r="E805" s="1321"/>
      <c r="F805" s="1321"/>
      <c r="G805" s="983"/>
      <c r="I805" s="490"/>
    </row>
    <row r="806" spans="1:9" hidden="1">
      <c r="A806" s="175"/>
      <c r="B806" s="175"/>
      <c r="C806" s="984"/>
      <c r="D806" s="1321"/>
      <c r="E806" s="1321"/>
      <c r="F806" s="1321"/>
      <c r="G806" s="983"/>
      <c r="I806" s="490"/>
    </row>
    <row r="807" spans="1:9" hidden="1">
      <c r="A807" s="175"/>
      <c r="B807" s="175"/>
      <c r="C807" s="984"/>
      <c r="D807" s="1321"/>
      <c r="E807" s="1321"/>
      <c r="F807" s="1321"/>
      <c r="G807" s="983"/>
      <c r="I807" s="490"/>
    </row>
    <row r="808" spans="1:9" hidden="1">
      <c r="A808" s="175"/>
      <c r="B808" s="175"/>
      <c r="C808" s="984"/>
      <c r="D808" s="1321"/>
      <c r="E808" s="1321"/>
      <c r="F808" s="1321"/>
      <c r="G808" s="983"/>
      <c r="I808" s="490"/>
    </row>
    <row r="809" spans="1:9" hidden="1">
      <c r="A809" s="175"/>
      <c r="B809" s="175"/>
      <c r="C809" s="984"/>
      <c r="D809" s="1321" t="s">
        <v>1789</v>
      </c>
      <c r="E809" s="1321"/>
      <c r="F809" s="1321"/>
      <c r="G809" s="983"/>
      <c r="I809" s="490"/>
    </row>
    <row r="810" spans="1:9" hidden="1">
      <c r="A810" s="175"/>
      <c r="B810" s="175"/>
      <c r="C810" s="984"/>
      <c r="D810" s="1321"/>
      <c r="E810" s="1321"/>
      <c r="F810" s="1321"/>
      <c r="G810" s="983"/>
      <c r="I810" s="490"/>
    </row>
    <row r="811" spans="1:9" hidden="1">
      <c r="A811" s="175"/>
      <c r="B811" s="175"/>
      <c r="C811" s="984"/>
      <c r="D811" s="1321"/>
      <c r="E811" s="1321"/>
      <c r="F811" s="1321"/>
      <c r="G811" s="983"/>
      <c r="I811" s="490"/>
    </row>
    <row r="812" spans="1:9" hidden="1">
      <c r="A812" s="175"/>
      <c r="B812" s="354"/>
      <c r="C812" s="984"/>
      <c r="D812" s="985"/>
      <c r="E812" s="985"/>
      <c r="F812" s="985"/>
      <c r="G812" s="983"/>
      <c r="I812" s="490"/>
    </row>
    <row r="813" spans="1:9" hidden="1">
      <c r="A813" s="175"/>
      <c r="B813" s="485" t="s">
        <v>306</v>
      </c>
      <c r="C813" s="984"/>
      <c r="D813" s="1321" t="s">
        <v>1747</v>
      </c>
      <c r="E813" s="1321"/>
      <c r="F813" s="1321"/>
      <c r="G813" s="983"/>
      <c r="I813" s="483"/>
    </row>
    <row r="814" spans="1:9" hidden="1">
      <c r="A814" s="175"/>
      <c r="B814" s="175"/>
      <c r="C814" s="984"/>
      <c r="D814" s="1321"/>
      <c r="E814" s="1321"/>
      <c r="F814" s="1321"/>
      <c r="G814" s="983"/>
      <c r="I814" s="490"/>
    </row>
    <row r="815" spans="1:9" hidden="1">
      <c r="A815" s="175"/>
      <c r="B815" s="175"/>
      <c r="C815" s="984"/>
      <c r="D815" s="1321"/>
      <c r="E815" s="1321"/>
      <c r="F815" s="1321"/>
      <c r="G815" s="983"/>
      <c r="I815" s="490"/>
    </row>
    <row r="816" spans="1:9" hidden="1">
      <c r="A816" s="175"/>
      <c r="B816" s="175"/>
      <c r="C816" s="984"/>
      <c r="D816" s="1321"/>
      <c r="E816" s="1321"/>
      <c r="F816" s="1321"/>
      <c r="G816" s="983"/>
      <c r="I816" s="490"/>
    </row>
    <row r="817" spans="1:9" hidden="1">
      <c r="A817" s="175"/>
      <c r="B817" s="175"/>
      <c r="C817" s="984"/>
      <c r="D817" s="1321"/>
      <c r="E817" s="1321"/>
      <c r="F817" s="1321"/>
      <c r="G817" s="983"/>
      <c r="I817" s="490"/>
    </row>
    <row r="818" spans="1:9" hidden="1">
      <c r="A818" s="175"/>
      <c r="B818" s="175"/>
      <c r="C818" s="984"/>
      <c r="D818" s="1321"/>
      <c r="E818" s="1321"/>
      <c r="F818" s="1321"/>
      <c r="G818" s="983"/>
      <c r="I818" s="490"/>
    </row>
    <row r="819" spans="1:9" hidden="1">
      <c r="A819" s="175"/>
      <c r="B819" s="175"/>
      <c r="C819" s="984"/>
      <c r="D819" s="977"/>
      <c r="E819" s="977"/>
      <c r="F819" s="977"/>
      <c r="G819" s="983"/>
      <c r="I819" s="490"/>
    </row>
    <row r="820" spans="1:9" hidden="1">
      <c r="A820" s="175"/>
      <c r="B820" s="485" t="s">
        <v>306</v>
      </c>
      <c r="C820" s="984"/>
      <c r="D820" s="1321" t="s">
        <v>1748</v>
      </c>
      <c r="E820" s="1321"/>
      <c r="F820" s="1321"/>
      <c r="G820" s="983"/>
      <c r="I820" s="483"/>
    </row>
    <row r="821" spans="1:9" hidden="1">
      <c r="A821" s="175"/>
      <c r="B821" s="175"/>
      <c r="C821" s="984"/>
      <c r="D821" s="1321"/>
      <c r="E821" s="1321"/>
      <c r="F821" s="1321"/>
      <c r="G821" s="983"/>
      <c r="I821" s="490"/>
    </row>
    <row r="822" spans="1:9" hidden="1">
      <c r="A822" s="175"/>
      <c r="B822" s="175"/>
      <c r="C822" s="984"/>
      <c r="D822" s="1321"/>
      <c r="E822" s="1321"/>
      <c r="F822" s="1321"/>
      <c r="G822" s="983"/>
      <c r="I822" s="490"/>
    </row>
    <row r="823" spans="1:9" hidden="1">
      <c r="A823" s="175"/>
      <c r="B823" s="175"/>
      <c r="C823" s="984"/>
      <c r="D823" s="1321"/>
      <c r="E823" s="1321"/>
      <c r="F823" s="1321"/>
      <c r="G823" s="983"/>
      <c r="I823" s="490"/>
    </row>
    <row r="824" spans="1:9" hidden="1">
      <c r="A824" s="175"/>
      <c r="B824" s="175"/>
      <c r="C824" s="984"/>
      <c r="D824" s="1321"/>
      <c r="E824" s="1321"/>
      <c r="F824" s="1321"/>
      <c r="G824" s="983"/>
      <c r="I824" s="490"/>
    </row>
    <row r="825" spans="1:9" hidden="1">
      <c r="A825" s="175"/>
      <c r="B825" s="175"/>
      <c r="C825" s="984"/>
      <c r="D825" s="1321"/>
      <c r="E825" s="1321"/>
      <c r="F825" s="1321"/>
      <c r="G825" s="983"/>
      <c r="I825" s="490"/>
    </row>
    <row r="826" spans="1:9" hidden="1">
      <c r="A826" s="175"/>
      <c r="B826" s="175"/>
      <c r="C826" s="984"/>
      <c r="D826" s="977"/>
      <c r="E826" s="977"/>
      <c r="F826" s="977"/>
      <c r="G826" s="983"/>
      <c r="I826" s="490"/>
    </row>
    <row r="827" spans="1:9" hidden="1">
      <c r="A827" s="175"/>
      <c r="B827" s="485" t="s">
        <v>306</v>
      </c>
      <c r="C827" s="984"/>
      <c r="D827" s="1295" t="s">
        <v>1749</v>
      </c>
      <c r="E827" s="1295"/>
      <c r="F827" s="1295"/>
      <c r="G827" s="983"/>
      <c r="I827" s="483"/>
    </row>
    <row r="828" spans="1:9" hidden="1">
      <c r="A828" s="175"/>
      <c r="B828" s="175"/>
      <c r="C828" s="984"/>
      <c r="D828" s="1295"/>
      <c r="E828" s="1295"/>
      <c r="F828" s="1295"/>
      <c r="G828" s="983"/>
      <c r="I828" s="490"/>
    </row>
    <row r="829" spans="1:9" hidden="1">
      <c r="A829" s="13"/>
      <c r="B829" s="13"/>
      <c r="C829" s="984"/>
      <c r="D829" s="1295"/>
      <c r="E829" s="1295"/>
      <c r="F829" s="1295"/>
      <c r="G829" s="983"/>
      <c r="I829" s="490"/>
    </row>
    <row r="830" spans="1:9" hidden="1">
      <c r="A830" s="175"/>
      <c r="B830" s="13"/>
      <c r="C830" s="984"/>
      <c r="D830" s="1295"/>
      <c r="E830" s="1295"/>
      <c r="F830" s="1295"/>
      <c r="G830" s="983"/>
      <c r="I830" s="490"/>
    </row>
    <row r="831" spans="1:9" ht="12.75" hidden="1" customHeight="1">
      <c r="A831" s="175"/>
      <c r="B831" s="13"/>
      <c r="C831" s="984"/>
      <c r="D831" s="1295"/>
      <c r="E831" s="1295"/>
      <c r="F831" s="1295"/>
      <c r="G831" s="983"/>
      <c r="I831" s="490"/>
    </row>
    <row r="832" spans="1:9" ht="12.75" hidden="1" customHeight="1">
      <c r="A832" s="175"/>
      <c r="B832" s="13"/>
      <c r="C832" s="984"/>
      <c r="D832" s="1295"/>
      <c r="E832" s="1295"/>
      <c r="F832" s="1295"/>
      <c r="G832" s="983"/>
      <c r="I832" s="490"/>
    </row>
    <row r="833" spans="1:9" ht="12.75" hidden="1" customHeight="1">
      <c r="A833" s="13"/>
      <c r="B833" s="13"/>
      <c r="C833" s="984"/>
      <c r="D833" s="983"/>
      <c r="E833" s="3"/>
      <c r="F833" s="3"/>
      <c r="G833" s="983"/>
      <c r="I833" s="490"/>
    </row>
    <row r="834" spans="1:9" ht="12.75" customHeight="1">
      <c r="A834" s="1313" t="s">
        <v>1750</v>
      </c>
      <c r="B834" s="1313"/>
      <c r="C834" s="1313"/>
      <c r="D834" s="1313"/>
      <c r="E834" s="1313"/>
      <c r="F834" s="1313"/>
      <c r="G834" s="1313"/>
      <c r="H834" s="1023"/>
      <c r="I834" s="1147"/>
    </row>
    <row r="835" spans="1:9" ht="12.75" customHeight="1">
      <c r="A835" s="172"/>
      <c r="B835" s="172"/>
      <c r="C835" s="984"/>
      <c r="D835" s="983"/>
      <c r="E835" s="983"/>
      <c r="F835" s="983"/>
      <c r="G835" s="983"/>
      <c r="I835" s="490"/>
    </row>
    <row r="836" spans="1:9" ht="12.75" customHeight="1">
      <c r="A836" s="175"/>
      <c r="B836" s="175"/>
      <c r="C836" s="354"/>
      <c r="D836" s="1318" t="s">
        <v>1790</v>
      </c>
      <c r="E836" s="1318"/>
      <c r="F836" s="1318"/>
      <c r="G836" s="3"/>
      <c r="I836" s="490"/>
    </row>
    <row r="837" spans="1:9" ht="14.25" customHeight="1">
      <c r="A837" s="175"/>
      <c r="B837" s="175"/>
      <c r="C837" s="354"/>
      <c r="D837" s="1266" t="s">
        <v>1751</v>
      </c>
      <c r="E837" s="1266"/>
      <c r="F837" s="1266"/>
      <c r="G837" s="3"/>
      <c r="I837" s="490"/>
    </row>
    <row r="838" spans="1:9" ht="12.75" customHeight="1">
      <c r="A838" s="175"/>
      <c r="B838" s="175"/>
      <c r="C838" s="354"/>
      <c r="D838" s="441"/>
      <c r="E838" s="441"/>
      <c r="F838" s="441"/>
      <c r="G838" s="3"/>
      <c r="I838" s="490"/>
    </row>
    <row r="839" spans="1:9" ht="12.75" customHeight="1">
      <c r="A839" s="354"/>
      <c r="B839" s="485" t="s">
        <v>2642</v>
      </c>
      <c r="C839" s="984"/>
      <c r="D839" s="1266" t="s">
        <v>1752</v>
      </c>
      <c r="E839" s="1266"/>
      <c r="F839" s="1266"/>
      <c r="G839" s="3"/>
      <c r="I839" s="490" t="s">
        <v>1852</v>
      </c>
    </row>
    <row r="840" spans="1:9" ht="14.25" customHeight="1">
      <c r="A840" s="13"/>
      <c r="B840" s="13"/>
      <c r="C840" s="984"/>
      <c r="E840" s="1031" t="s">
        <v>1867</v>
      </c>
      <c r="F840" s="1033"/>
      <c r="G840" s="3"/>
      <c r="I840" s="490"/>
    </row>
    <row r="841" spans="1:9" ht="12.75" customHeight="1">
      <c r="A841" s="13"/>
      <c r="B841" s="13"/>
      <c r="C841" s="984"/>
      <c r="D841" s="986"/>
      <c r="E841" s="3"/>
      <c r="F841" s="3"/>
      <c r="G841" s="3"/>
      <c r="I841" s="490"/>
    </row>
    <row r="842" spans="1:9" ht="14.25" hidden="1" customHeight="1">
      <c r="A842" s="13"/>
      <c r="B842" s="485" t="s">
        <v>306</v>
      </c>
      <c r="C842" s="984"/>
      <c r="D842" s="1327" t="s">
        <v>2030</v>
      </c>
      <c r="E842" s="1327"/>
      <c r="F842" s="1327"/>
      <c r="G842" s="3"/>
      <c r="I842" s="490"/>
    </row>
    <row r="843" spans="1:9" ht="12.75" hidden="1" customHeight="1">
      <c r="A843" s="13"/>
      <c r="B843" s="13"/>
      <c r="C843" s="984"/>
      <c r="D843" s="1327"/>
      <c r="E843" s="1327"/>
      <c r="F843" s="1327"/>
      <c r="G843" s="3"/>
      <c r="I843" s="490"/>
    </row>
    <row r="844" spans="1:9" ht="12.75" hidden="1" customHeight="1">
      <c r="A844" s="13"/>
      <c r="B844" s="13"/>
      <c r="C844" s="984"/>
      <c r="D844" s="1327"/>
      <c r="E844" s="1327"/>
      <c r="F844" s="1327"/>
      <c r="G844" s="3"/>
      <c r="I844" s="490"/>
    </row>
    <row r="845" spans="1:9" ht="12.75" hidden="1" customHeight="1">
      <c r="A845" s="13"/>
      <c r="B845" s="13"/>
      <c r="C845" s="984"/>
      <c r="D845" s="1327"/>
      <c r="E845" s="1327"/>
      <c r="F845" s="1327"/>
      <c r="G845" s="3"/>
      <c r="I845" s="490"/>
    </row>
    <row r="846" spans="1:9" ht="12.75" hidden="1" customHeight="1">
      <c r="A846" s="13"/>
      <c r="B846" s="13"/>
      <c r="C846" s="984"/>
      <c r="D846" s="1327"/>
      <c r="E846" s="1327"/>
      <c r="F846" s="1327"/>
      <c r="G846" s="3"/>
      <c r="I846" s="490"/>
    </row>
    <row r="847" spans="1:9" ht="12.75" hidden="1" customHeight="1">
      <c r="A847" s="13"/>
      <c r="B847" s="13"/>
      <c r="C847" s="984"/>
      <c r="D847" s="1327"/>
      <c r="E847" s="1327"/>
      <c r="F847" s="1327"/>
      <c r="G847" s="3"/>
      <c r="I847" s="490"/>
    </row>
    <row r="848" spans="1:9" ht="12.75" hidden="1" customHeight="1">
      <c r="A848" s="13"/>
      <c r="B848" s="13"/>
      <c r="C848" s="984"/>
      <c r="D848" s="1327"/>
      <c r="E848" s="1327"/>
      <c r="F848" s="1327"/>
      <c r="G848" s="3"/>
      <c r="I848" s="490"/>
    </row>
    <row r="849" spans="1:9" ht="12.75" hidden="1" customHeight="1">
      <c r="A849" s="13"/>
      <c r="B849" s="13"/>
      <c r="C849" s="984"/>
      <c r="D849" s="1327"/>
      <c r="E849" s="1327"/>
      <c r="F849" s="1327"/>
      <c r="G849" s="3"/>
      <c r="I849" s="490"/>
    </row>
    <row r="850" spans="1:9" ht="12.75" hidden="1" customHeight="1">
      <c r="A850" s="13"/>
      <c r="B850" s="13"/>
      <c r="C850" s="984"/>
      <c r="D850" s="1327"/>
      <c r="E850" s="1327"/>
      <c r="F850" s="1327"/>
      <c r="G850" s="3"/>
      <c r="I850" s="490"/>
    </row>
    <row r="851" spans="1:9" ht="12.75" hidden="1" customHeight="1">
      <c r="A851" s="13"/>
      <c r="B851" s="13"/>
      <c r="C851" s="984"/>
      <c r="D851" s="1327"/>
      <c r="E851" s="1327"/>
      <c r="F851" s="1327"/>
      <c r="G851" s="3"/>
      <c r="I851" s="490"/>
    </row>
    <row r="852" spans="1:9" ht="12.75" hidden="1" customHeight="1">
      <c r="A852" s="13"/>
      <c r="B852" s="13"/>
      <c r="C852" s="984"/>
      <c r="D852" s="986"/>
      <c r="E852" s="3"/>
      <c r="F852" s="3"/>
      <c r="G852" s="3"/>
      <c r="I852" s="490"/>
    </row>
    <row r="853" spans="1:9" ht="12.75" customHeight="1">
      <c r="A853" s="175"/>
      <c r="B853" s="485" t="s">
        <v>2642</v>
      </c>
      <c r="C853" s="984"/>
      <c r="D853" s="1266" t="s">
        <v>1753</v>
      </c>
      <c r="E853" s="1266"/>
      <c r="F853" s="1266"/>
      <c r="G853" s="3"/>
      <c r="I853" s="490" t="s">
        <v>1855</v>
      </c>
    </row>
    <row r="854" spans="1:9" ht="12.75" customHeight="1">
      <c r="A854" s="175"/>
      <c r="B854" s="175"/>
      <c r="C854" s="984"/>
      <c r="D854" s="1266"/>
      <c r="E854" s="1266"/>
      <c r="F854" s="1266"/>
      <c r="G854" s="3"/>
      <c r="I854" s="490"/>
    </row>
    <row r="855" spans="1:9" ht="12.75" customHeight="1">
      <c r="A855" s="175"/>
      <c r="B855" s="175"/>
      <c r="C855" s="984"/>
      <c r="D855" s="1266"/>
      <c r="E855" s="1266"/>
      <c r="F855" s="1266"/>
      <c r="G855" s="3"/>
      <c r="I855" s="490"/>
    </row>
    <row r="856" spans="1:9" ht="12.75" customHeight="1">
      <c r="A856" s="175"/>
      <c r="B856" s="175"/>
      <c r="C856" s="984"/>
      <c r="D856" s="118"/>
      <c r="E856" s="3"/>
      <c r="F856" s="3"/>
      <c r="G856" s="3"/>
      <c r="I856" s="490"/>
    </row>
    <row r="857" spans="1:9" ht="12.75" customHeight="1">
      <c r="A857" s="987"/>
      <c r="B857" s="485" t="s">
        <v>2642</v>
      </c>
      <c r="C857" s="984"/>
      <c r="D857" s="1318" t="s">
        <v>1754</v>
      </c>
      <c r="E857" s="1318"/>
      <c r="F857" s="1318"/>
      <c r="G857" s="3"/>
      <c r="I857" s="490"/>
    </row>
    <row r="858" spans="1:9" ht="12.75" customHeight="1">
      <c r="A858" s="354"/>
      <c r="B858" s="987"/>
      <c r="C858" s="984"/>
      <c r="D858" s="1318"/>
      <c r="E858" s="1318"/>
      <c r="F858" s="1318"/>
      <c r="G858" s="3"/>
      <c r="I858" s="490"/>
    </row>
    <row r="859" spans="1:9" ht="12.75" customHeight="1">
      <c r="A859" s="175"/>
      <c r="B859" s="354"/>
      <c r="C859" s="984"/>
      <c r="D859" s="1266" t="s">
        <v>2025</v>
      </c>
      <c r="E859" s="1266"/>
      <c r="F859" s="1266"/>
      <c r="G859" s="3"/>
      <c r="I859" s="490"/>
    </row>
    <row r="860" spans="1:9" ht="12.75" customHeight="1">
      <c r="A860" s="175"/>
      <c r="B860" s="175"/>
      <c r="C860" s="984"/>
      <c r="D860" s="1266"/>
      <c r="E860" s="1266"/>
      <c r="F860" s="1266"/>
      <c r="G860" s="3"/>
      <c r="I860" s="490"/>
    </row>
    <row r="861" spans="1:9" ht="12.75" customHeight="1">
      <c r="A861" s="175"/>
      <c r="B861" s="175"/>
      <c r="C861" s="984"/>
      <c r="D861" s="1266"/>
      <c r="E861" s="1266"/>
      <c r="F861" s="1266"/>
      <c r="G861" s="3"/>
      <c r="I861" s="490"/>
    </row>
    <row r="862" spans="1:9" ht="12.75" customHeight="1">
      <c r="A862" s="175"/>
      <c r="B862" s="175"/>
      <c r="C862" s="984"/>
      <c r="D862" s="1266"/>
      <c r="E862" s="1266"/>
      <c r="F862" s="1266"/>
      <c r="G862" s="3"/>
      <c r="I862" s="490"/>
    </row>
    <row r="863" spans="1:9" ht="12.75" customHeight="1">
      <c r="A863" s="175"/>
      <c r="B863" s="175"/>
      <c r="C863" s="984"/>
      <c r="D863" s="1266"/>
      <c r="E863" s="1266"/>
      <c r="F863" s="1266"/>
      <c r="G863" s="3"/>
      <c r="I863" s="490"/>
    </row>
    <row r="864" spans="1:9" ht="12.75" customHeight="1">
      <c r="A864" s="175"/>
      <c r="B864" s="175"/>
      <c r="C864" s="984"/>
      <c r="D864" s="1266"/>
      <c r="E864" s="1266"/>
      <c r="F864" s="1266"/>
      <c r="G864" s="3"/>
      <c r="I864" s="490"/>
    </row>
    <row r="865" spans="1:9" ht="12.75" customHeight="1">
      <c r="A865" s="175"/>
      <c r="B865" s="175"/>
      <c r="C865" s="984"/>
      <c r="D865" s="118"/>
      <c r="E865" s="3"/>
      <c r="F865" s="3"/>
      <c r="G865" s="3"/>
      <c r="I865" s="490"/>
    </row>
    <row r="866" spans="1:9" ht="12.75" customHeight="1">
      <c r="A866" s="175"/>
      <c r="B866" s="485" t="s">
        <v>2643</v>
      </c>
      <c r="C866" s="984"/>
      <c r="D866" s="1266" t="s">
        <v>1755</v>
      </c>
      <c r="E866" s="1266"/>
      <c r="F866" s="1266"/>
      <c r="G866" s="3"/>
      <c r="I866" s="490" t="s">
        <v>1853</v>
      </c>
    </row>
    <row r="867" spans="1:9" ht="12.75" customHeight="1">
      <c r="A867" s="175"/>
      <c r="B867" s="175"/>
      <c r="C867" s="984"/>
      <c r="D867" s="1266" t="s">
        <v>1756</v>
      </c>
      <c r="E867" s="1266"/>
      <c r="F867" s="1266"/>
      <c r="G867" s="3"/>
      <c r="I867" s="490"/>
    </row>
    <row r="868" spans="1:9" ht="12.75" customHeight="1">
      <c r="A868" s="175"/>
      <c r="B868" s="175"/>
      <c r="C868" s="984"/>
      <c r="E868" s="1031" t="s">
        <v>1869</v>
      </c>
      <c r="F868" s="1033"/>
      <c r="G868" s="3"/>
      <c r="I868" s="490"/>
    </row>
    <row r="869" spans="1:9" ht="12.75" customHeight="1">
      <c r="A869" s="175"/>
      <c r="B869" s="175"/>
      <c r="C869" s="984"/>
      <c r="D869" s="118"/>
      <c r="E869" s="3"/>
      <c r="F869" s="3"/>
      <c r="G869" s="3"/>
      <c r="I869" s="490"/>
    </row>
    <row r="870" spans="1:9" ht="12.75" customHeight="1">
      <c r="A870" s="175"/>
      <c r="B870" s="485" t="s">
        <v>2643</v>
      </c>
      <c r="C870" s="984"/>
      <c r="D870" s="1266" t="s">
        <v>1757</v>
      </c>
      <c r="E870" s="1266"/>
      <c r="F870" s="1266"/>
      <c r="G870" s="3"/>
      <c r="I870" s="490" t="s">
        <v>1856</v>
      </c>
    </row>
    <row r="871" spans="1:9" ht="12.75" customHeight="1">
      <c r="A871" s="175"/>
      <c r="B871" s="175"/>
      <c r="C871" s="984"/>
      <c r="D871" s="1266"/>
      <c r="E871" s="1266"/>
      <c r="F871" s="1266"/>
      <c r="G871" s="3"/>
      <c r="I871" s="490"/>
    </row>
    <row r="872" spans="1:9" ht="12.75" customHeight="1">
      <c r="A872" s="175"/>
      <c r="B872" s="175"/>
      <c r="C872" s="984"/>
      <c r="D872" s="1266"/>
      <c r="E872" s="1266"/>
      <c r="F872" s="1266"/>
      <c r="G872" s="3"/>
      <c r="I872" s="490"/>
    </row>
    <row r="873" spans="1:9" ht="12.75" customHeight="1">
      <c r="A873" s="175"/>
      <c r="B873" s="175"/>
      <c r="C873" s="984"/>
      <c r="D873" s="1266"/>
      <c r="E873" s="1266"/>
      <c r="F873" s="1266"/>
      <c r="G873" s="3"/>
      <c r="I873" s="490"/>
    </row>
    <row r="874" spans="1:9" ht="12.75" customHeight="1">
      <c r="A874" s="172"/>
      <c r="B874" s="172"/>
      <c r="C874" s="172"/>
      <c r="D874" s="118"/>
      <c r="E874" s="3"/>
      <c r="F874" s="3"/>
      <c r="G874" s="3"/>
      <c r="I874" s="490"/>
    </row>
    <row r="875" spans="1:9" ht="12.75" customHeight="1">
      <c r="A875" s="978" t="s">
        <v>1758</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25" t="s">
        <v>1791</v>
      </c>
      <c r="E877" s="1325"/>
      <c r="F877" s="1325"/>
      <c r="G877" s="983"/>
      <c r="I877" s="490"/>
    </row>
    <row r="878" spans="1:9" ht="12.75" customHeight="1">
      <c r="A878" s="354"/>
      <c r="B878" s="354"/>
      <c r="C878" s="174"/>
      <c r="D878" s="1326" t="s">
        <v>1759</v>
      </c>
      <c r="E878" s="1326"/>
      <c r="F878" s="1326"/>
      <c r="G878" s="983"/>
      <c r="I878" s="490"/>
    </row>
    <row r="879" spans="1:9" ht="12.75" customHeight="1">
      <c r="A879" s="354"/>
      <c r="B879" s="354"/>
      <c r="C879" s="174"/>
      <c r="D879" s="990"/>
      <c r="E879" s="990"/>
      <c r="F879" s="990"/>
      <c r="G879" s="983"/>
      <c r="I879" s="490"/>
    </row>
    <row r="880" spans="1:9" ht="12.75" customHeight="1">
      <c r="A880" s="175"/>
      <c r="B880" s="485" t="s">
        <v>2642</v>
      </c>
      <c r="C880" s="354"/>
      <c r="D880" s="1305" t="s">
        <v>1760</v>
      </c>
      <c r="E880" s="1305"/>
      <c r="F880" s="1305"/>
      <c r="G880" s="983"/>
      <c r="I880" s="490" t="s">
        <v>1853</v>
      </c>
    </row>
    <row r="881" spans="1:9" ht="12.75" customHeight="1">
      <c r="A881" s="354"/>
      <c r="B881" s="354"/>
      <c r="C881" s="354"/>
      <c r="D881" s="2" t="s">
        <v>1735</v>
      </c>
      <c r="E881" s="1031" t="s">
        <v>1869</v>
      </c>
      <c r="F881" s="1034"/>
      <c r="G881" s="983"/>
      <c r="I881" s="490"/>
    </row>
    <row r="882" spans="1:9" ht="12.75" customHeight="1">
      <c r="A882" s="354"/>
      <c r="B882" s="354"/>
      <c r="C882" s="354"/>
      <c r="D882" s="118"/>
      <c r="E882" s="983"/>
      <c r="F882" s="983"/>
      <c r="G882" s="983"/>
      <c r="I882" s="490"/>
    </row>
    <row r="883" spans="1:9" ht="12.75" customHeight="1">
      <c r="A883" s="175"/>
      <c r="B883" s="485" t="s">
        <v>2642</v>
      </c>
      <c r="C883" s="354"/>
      <c r="D883" s="1266" t="s">
        <v>1761</v>
      </c>
      <c r="E883" s="1315"/>
      <c r="F883" s="1315"/>
      <c r="G883" s="3"/>
      <c r="I883" s="490" t="s">
        <v>1856</v>
      </c>
    </row>
    <row r="884" spans="1:9" ht="12.75" customHeight="1">
      <c r="A884" s="354"/>
      <c r="B884" s="354"/>
      <c r="C884" s="354"/>
      <c r="D884" s="1315"/>
      <c r="E884" s="1315"/>
      <c r="F884" s="1315"/>
      <c r="G884" s="3"/>
      <c r="I884" s="490"/>
    </row>
    <row r="885" spans="1:9" ht="12.75" customHeight="1">
      <c r="A885" s="354"/>
      <c r="B885" s="354"/>
      <c r="C885" s="354"/>
      <c r="D885" s="118"/>
      <c r="E885" s="3"/>
      <c r="F885" s="3"/>
      <c r="G885" s="3"/>
      <c r="I885" s="490"/>
    </row>
    <row r="886" spans="1:9" ht="12.75" customHeight="1">
      <c r="A886" s="354"/>
      <c r="B886" s="485" t="s">
        <v>2643</v>
      </c>
      <c r="C886" s="354"/>
      <c r="D886" s="1316" t="s">
        <v>1762</v>
      </c>
      <c r="E886" s="1316"/>
      <c r="F886" s="1316"/>
      <c r="G886" s="983"/>
      <c r="I886" s="490"/>
    </row>
    <row r="887" spans="1:9" ht="12.75" customHeight="1">
      <c r="A887" s="354"/>
      <c r="B887" s="991"/>
      <c r="C887" s="354"/>
      <c r="D887" s="1316"/>
      <c r="E887" s="1316"/>
      <c r="F887" s="1316"/>
      <c r="G887" s="983"/>
      <c r="I887" s="490"/>
    </row>
    <row r="888" spans="1:9" ht="12.75" customHeight="1">
      <c r="A888" s="175"/>
      <c r="B888"/>
      <c r="C888" s="354"/>
      <c r="D888" s="1266" t="s">
        <v>2025</v>
      </c>
      <c r="E888" s="1266"/>
      <c r="F888" s="1266"/>
      <c r="G888" s="983"/>
      <c r="I888" s="490"/>
    </row>
    <row r="889" spans="1:9" ht="12.75" customHeight="1">
      <c r="A889" s="175"/>
      <c r="B889" s="175"/>
      <c r="C889" s="354"/>
      <c r="D889" s="1266"/>
      <c r="E889" s="1266"/>
      <c r="F889" s="1266"/>
      <c r="G889" s="983"/>
      <c r="I889" s="490"/>
    </row>
    <row r="890" spans="1:9" ht="12.75" customHeight="1">
      <c r="A890" s="175"/>
      <c r="B890" s="175"/>
      <c r="C890" s="354"/>
      <c r="D890" s="1266"/>
      <c r="E890" s="1266"/>
      <c r="F890" s="1266"/>
      <c r="G890" s="983"/>
      <c r="I890" s="490"/>
    </row>
    <row r="891" spans="1:9" ht="12.75" customHeight="1">
      <c r="A891" s="175"/>
      <c r="B891" s="175"/>
      <c r="C891" s="354"/>
      <c r="D891" s="1266"/>
      <c r="E891" s="1266"/>
      <c r="F891" s="1266"/>
      <c r="G891" s="983"/>
      <c r="I891" s="490"/>
    </row>
    <row r="892" spans="1:9" ht="12.75" customHeight="1">
      <c r="A892" s="175"/>
      <c r="B892" s="175"/>
      <c r="C892" s="354"/>
      <c r="D892" s="1266"/>
      <c r="E892" s="1266"/>
      <c r="F892" s="1266"/>
      <c r="G892" s="983"/>
      <c r="I892" s="490"/>
    </row>
    <row r="893" spans="1:9" ht="12.75" customHeight="1">
      <c r="A893" s="175"/>
      <c r="B893" s="175"/>
      <c r="C893" s="354"/>
      <c r="D893" s="1266"/>
      <c r="E893" s="1266"/>
      <c r="F893" s="1266"/>
      <c r="G893" s="983"/>
      <c r="I893" s="490"/>
    </row>
    <row r="894" spans="1:9" ht="12.75" customHeight="1">
      <c r="A894" s="175"/>
      <c r="B894" s="175"/>
      <c r="C894" s="354"/>
      <c r="D894" s="118"/>
      <c r="E894" s="983"/>
      <c r="F894" s="983"/>
      <c r="G894" s="983"/>
      <c r="I894" s="490"/>
    </row>
    <row r="895" spans="1:9" ht="12.75" customHeight="1">
      <c r="A895" s="175"/>
      <c r="B895" s="485" t="s">
        <v>2643</v>
      </c>
      <c r="C895" s="354"/>
      <c r="D895" s="1306" t="s">
        <v>1755</v>
      </c>
      <c r="E895" s="1306"/>
      <c r="F895" s="1306"/>
      <c r="G895" s="983"/>
      <c r="I895" s="490"/>
    </row>
    <row r="896" spans="1:9" ht="12.75" customHeight="1">
      <c r="A896" s="175"/>
      <c r="B896" s="175"/>
      <c r="C896" s="354"/>
      <c r="D896" s="1306" t="s">
        <v>1756</v>
      </c>
      <c r="E896" s="1306"/>
      <c r="F896" s="1306"/>
      <c r="G896" s="983"/>
      <c r="I896" s="490"/>
    </row>
    <row r="897" spans="1:9" ht="12.75" customHeight="1">
      <c r="A897" s="175"/>
      <c r="B897" s="175"/>
      <c r="C897" s="354"/>
      <c r="D897" s="2" t="s">
        <v>1268</v>
      </c>
      <c r="E897" s="1031" t="s">
        <v>1869</v>
      </c>
      <c r="F897" s="1035"/>
      <c r="G897" s="983"/>
      <c r="I897" s="490"/>
    </row>
    <row r="898" spans="1:9" ht="12.75" customHeight="1">
      <c r="A898" s="175"/>
      <c r="B898" s="175"/>
      <c r="C898" s="354"/>
      <c r="D898" s="118"/>
      <c r="E898" s="983"/>
      <c r="F898" s="983"/>
      <c r="G898" s="983"/>
      <c r="I898" s="490"/>
    </row>
    <row r="899" spans="1:9" ht="12.75" customHeight="1">
      <c r="A899" s="175"/>
      <c r="B899" s="485" t="s">
        <v>2643</v>
      </c>
      <c r="C899" s="354"/>
      <c r="D899" s="1266" t="s">
        <v>1757</v>
      </c>
      <c r="E899" s="1266"/>
      <c r="F899" s="1266"/>
      <c r="G899" s="983"/>
      <c r="I899" s="490"/>
    </row>
    <row r="900" spans="1:9" ht="12.75" customHeight="1">
      <c r="A900" s="175"/>
      <c r="B900" s="175"/>
      <c r="C900" s="354"/>
      <c r="D900" s="1266"/>
      <c r="E900" s="1266"/>
      <c r="F900" s="1266"/>
      <c r="G900" s="983"/>
      <c r="I900" s="490"/>
    </row>
    <row r="901" spans="1:9" ht="12.75" customHeight="1">
      <c r="A901" s="175"/>
      <c r="B901" s="175"/>
      <c r="C901" s="354"/>
      <c r="D901" s="1266"/>
      <c r="E901" s="1266"/>
      <c r="F901" s="1266"/>
      <c r="G901" s="983"/>
      <c r="I901" s="490"/>
    </row>
    <row r="902" spans="1:9" ht="12.75" customHeight="1">
      <c r="A902" s="175"/>
      <c r="B902" s="175"/>
      <c r="C902" s="354"/>
      <c r="D902" s="1266"/>
      <c r="E902" s="1266"/>
      <c r="F902" s="1266"/>
      <c r="G902" s="983"/>
      <c r="I902" s="490"/>
    </row>
    <row r="903" spans="1:9" ht="12.75" customHeight="1">
      <c r="A903" s="118"/>
      <c r="B903" s="118"/>
      <c r="C903" s="984"/>
      <c r="D903" s="983"/>
      <c r="E903" s="983"/>
      <c r="F903" s="983"/>
      <c r="G903" s="983"/>
      <c r="I903" s="490"/>
    </row>
    <row r="904" spans="1:9" ht="12.75" customHeight="1">
      <c r="A904" s="1313" t="s">
        <v>1792</v>
      </c>
      <c r="B904" s="1313"/>
      <c r="C904" s="1313"/>
      <c r="D904" s="1313"/>
      <c r="E904" s="1313"/>
      <c r="F904" s="1313"/>
      <c r="G904" s="1313"/>
      <c r="H904" s="1023"/>
      <c r="I904" s="1147"/>
    </row>
    <row r="905" spans="1:9" ht="12.75" customHeight="1">
      <c r="A905" s="57"/>
      <c r="B905" s="57"/>
      <c r="C905" s="57"/>
      <c r="D905" s="57"/>
      <c r="E905" s="57"/>
      <c r="F905" s="57"/>
      <c r="G905" s="57"/>
      <c r="I905" s="490"/>
    </row>
    <row r="906" spans="1:9" ht="12.75" customHeight="1">
      <c r="A906" s="57"/>
      <c r="B906" s="57"/>
      <c r="C906" s="57"/>
      <c r="D906" s="1329" t="s">
        <v>1798</v>
      </c>
      <c r="E906" s="1329"/>
      <c r="F906" s="1329"/>
      <c r="G906" s="57"/>
      <c r="I906" s="490"/>
    </row>
    <row r="907" spans="1:9" ht="12.75" customHeight="1">
      <c r="A907" s="57"/>
      <c r="B907" s="57"/>
      <c r="C907" s="57"/>
      <c r="D907" s="976"/>
      <c r="E907" s="976"/>
      <c r="F907" s="976"/>
      <c r="G907" s="57"/>
      <c r="I907" s="490"/>
    </row>
    <row r="908" spans="1:9" ht="12.75" customHeight="1">
      <c r="A908" s="57"/>
      <c r="B908" s="485" t="s">
        <v>2642</v>
      </c>
      <c r="C908" s="57"/>
      <c r="D908" s="979" t="s">
        <v>1799</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29" t="s">
        <v>1793</v>
      </c>
      <c r="E910" s="1329"/>
      <c r="F910" s="1329"/>
      <c r="G910" s="983"/>
      <c r="I910" s="490"/>
    </row>
    <row r="911" spans="1:9" ht="12.75" customHeight="1">
      <c r="A911" s="172"/>
      <c r="B911" s="172"/>
      <c r="C911" s="172"/>
      <c r="D911" s="1305" t="s">
        <v>1763</v>
      </c>
      <c r="E911" s="1305"/>
      <c r="F911" s="1305"/>
      <c r="G911" s="983"/>
      <c r="I911" s="490"/>
    </row>
    <row r="912" spans="1:9" ht="12.75" customHeight="1">
      <c r="A912" s="984"/>
      <c r="B912" s="984"/>
      <c r="C912" s="984"/>
      <c r="D912" s="2"/>
      <c r="E912" s="983"/>
      <c r="F912" s="983"/>
      <c r="G912" s="983"/>
      <c r="I912" s="490"/>
    </row>
    <row r="913" spans="1:9" ht="12.75" customHeight="1">
      <c r="A913" s="175"/>
      <c r="B913" s="485" t="s">
        <v>2642</v>
      </c>
      <c r="C913" s="354"/>
      <c r="D913" s="1266" t="s">
        <v>1767</v>
      </c>
      <c r="E913" s="1266"/>
      <c r="F913" s="1266"/>
      <c r="G913" s="3"/>
      <c r="I913" s="490"/>
    </row>
    <row r="914" spans="1:9" ht="12.75" customHeight="1">
      <c r="A914" s="354"/>
      <c r="B914" s="354"/>
      <c r="C914" s="354"/>
      <c r="D914" s="1266"/>
      <c r="E914" s="1266"/>
      <c r="F914" s="1266"/>
      <c r="G914" s="3"/>
      <c r="I914" s="490"/>
    </row>
    <row r="915" spans="1:9" ht="12.75" customHeight="1">
      <c r="A915" s="172"/>
      <c r="B915" s="172"/>
      <c r="C915" s="172"/>
      <c r="D915" s="1266" t="s">
        <v>1766</v>
      </c>
      <c r="E915" s="1266"/>
      <c r="F915" s="1266"/>
      <c r="G915" s="983"/>
      <c r="I915" s="490"/>
    </row>
    <row r="916" spans="1:9" ht="12.75" customHeight="1">
      <c r="A916" s="172"/>
      <c r="B916" s="172"/>
      <c r="C916" s="172"/>
      <c r="D916" s="1266"/>
      <c r="E916" s="1266"/>
      <c r="F916" s="1266"/>
      <c r="G916" s="983"/>
      <c r="I916" s="490"/>
    </row>
    <row r="917" spans="1:9" ht="12.75" customHeight="1">
      <c r="A917" s="172"/>
      <c r="B917" s="172"/>
      <c r="C917" s="172"/>
      <c r="D917" s="3"/>
      <c r="E917" s="3"/>
      <c r="F917" s="983"/>
      <c r="G917" s="983"/>
      <c r="I917" s="490"/>
    </row>
    <row r="918" spans="1:9" ht="12.75" customHeight="1">
      <c r="A918" s="175"/>
      <c r="B918" s="485" t="s">
        <v>2642</v>
      </c>
      <c r="C918" s="174"/>
      <c r="D918" s="1270" t="s">
        <v>1764</v>
      </c>
      <c r="E918" s="1270"/>
      <c r="F918" s="1270"/>
      <c r="G918" s="983"/>
      <c r="I918" s="490"/>
    </row>
    <row r="919" spans="1:9" ht="12.75" customHeight="1">
      <c r="A919" s="175"/>
      <c r="B919" s="175"/>
      <c r="C919" s="174"/>
      <c r="D919" s="1270"/>
      <c r="E919" s="1270"/>
      <c r="F919" s="1270"/>
      <c r="G919" s="983"/>
      <c r="I919" s="490"/>
    </row>
    <row r="920" spans="1:9" ht="12.75" customHeight="1">
      <c r="A920" s="175"/>
      <c r="B920" s="175"/>
      <c r="C920" s="174"/>
      <c r="D920" s="1270"/>
      <c r="E920" s="1270"/>
      <c r="F920" s="1270"/>
      <c r="G920" s="983"/>
      <c r="I920" s="490"/>
    </row>
    <row r="921" spans="1:9" ht="12.75" customHeight="1">
      <c r="A921" s="175"/>
      <c r="B921" s="175"/>
      <c r="C921" s="174"/>
      <c r="D921" s="1270"/>
      <c r="E921" s="1270"/>
      <c r="F921" s="1270"/>
      <c r="G921" s="983"/>
      <c r="I921" s="490"/>
    </row>
    <row r="922" spans="1:9" ht="12.75" customHeight="1">
      <c r="A922" s="175"/>
      <c r="B922" s="175"/>
      <c r="C922" s="174"/>
      <c r="D922" s="1270"/>
      <c r="E922" s="1270"/>
      <c r="F922" s="1270"/>
      <c r="G922" s="983"/>
      <c r="I922" s="490"/>
    </row>
    <row r="923" spans="1:9" ht="12.75" customHeight="1">
      <c r="A923" s="174"/>
      <c r="B923" s="174"/>
      <c r="C923" s="174"/>
      <c r="D923" s="1270"/>
      <c r="E923" s="1270"/>
      <c r="F923" s="1270"/>
      <c r="G923" s="983"/>
      <c r="I923" s="490"/>
    </row>
    <row r="924" spans="1:9" ht="12.75" customHeight="1">
      <c r="A924" s="174"/>
      <c r="B924" s="174"/>
      <c r="C924" s="174"/>
      <c r="D924" s="1270"/>
      <c r="E924" s="1270"/>
      <c r="F924" s="1270"/>
      <c r="G924" s="983"/>
      <c r="I924" s="490"/>
    </row>
    <row r="925" spans="1:9" ht="12.75" customHeight="1">
      <c r="A925" s="174"/>
      <c r="B925" s="174"/>
      <c r="C925" s="174"/>
      <c r="D925" s="1270"/>
      <c r="E925" s="1270"/>
      <c r="F925" s="1270"/>
      <c r="G925" s="983"/>
      <c r="I925" s="490"/>
    </row>
    <row r="926" spans="1:9" ht="12.75" customHeight="1">
      <c r="A926" s="174"/>
      <c r="B926" s="174"/>
      <c r="C926" s="174"/>
      <c r="D926" s="335"/>
      <c r="E926" s="335"/>
      <c r="F926" s="335"/>
      <c r="G926" s="983"/>
      <c r="I926" s="490"/>
    </row>
    <row r="927" spans="1:9" ht="12.75" customHeight="1">
      <c r="A927" s="984"/>
      <c r="B927" s="485" t="s">
        <v>2643</v>
      </c>
      <c r="C927" s="984"/>
      <c r="D927" s="1266" t="s">
        <v>1768</v>
      </c>
      <c r="E927" s="1266"/>
      <c r="F927" s="1266"/>
      <c r="G927" s="983"/>
      <c r="I927" s="490"/>
    </row>
    <row r="928" spans="1:9" ht="12.75" customHeight="1">
      <c r="A928" s="984"/>
      <c r="B928" s="984"/>
      <c r="C928" s="984"/>
      <c r="D928" s="1266"/>
      <c r="E928" s="1266"/>
      <c r="F928" s="1266"/>
      <c r="G928" s="983"/>
      <c r="I928" s="490"/>
    </row>
    <row r="929" spans="1:9" ht="12.75" customHeight="1">
      <c r="A929" s="984"/>
      <c r="B929" s="984"/>
      <c r="C929" s="984"/>
      <c r="D929" s="983"/>
      <c r="E929" s="983"/>
      <c r="F929" s="983"/>
      <c r="G929" s="983"/>
      <c r="I929" s="490"/>
    </row>
    <row r="930" spans="1:9" ht="12.75" customHeight="1">
      <c r="A930" s="984"/>
      <c r="B930" s="485" t="s">
        <v>2643</v>
      </c>
      <c r="C930" s="984"/>
      <c r="D930" s="1295" t="s">
        <v>1769</v>
      </c>
      <c r="E930" s="1295"/>
      <c r="F930" s="1295"/>
      <c r="G930" s="983"/>
      <c r="I930" s="490"/>
    </row>
    <row r="931" spans="1:9" ht="12.75" customHeight="1">
      <c r="A931" s="984"/>
      <c r="B931" s="984"/>
      <c r="C931" s="984"/>
      <c r="D931" s="1295"/>
      <c r="E931" s="1295"/>
      <c r="F931" s="1295"/>
      <c r="G931" s="983"/>
      <c r="I931" s="490"/>
    </row>
    <row r="932" spans="1:9" ht="12.75" customHeight="1">
      <c r="A932" s="984"/>
      <c r="B932" s="984"/>
      <c r="C932" s="984"/>
      <c r="D932" s="1295"/>
      <c r="E932" s="1295"/>
      <c r="F932" s="1295"/>
      <c r="G932" s="983"/>
      <c r="I932" s="490"/>
    </row>
    <row r="933" spans="1:9" ht="12.75" customHeight="1">
      <c r="A933" s="984"/>
      <c r="B933" s="984"/>
      <c r="C933" s="984"/>
      <c r="D933" s="1295"/>
      <c r="E933" s="1295"/>
      <c r="F933" s="1295"/>
      <c r="G933" s="983"/>
      <c r="I933" s="490"/>
    </row>
    <row r="934" spans="1:9" ht="12.75" customHeight="1">
      <c r="A934" s="984"/>
      <c r="B934" s="984"/>
      <c r="C934" s="984"/>
      <c r="D934" s="118"/>
      <c r="E934" s="983"/>
      <c r="F934" s="983"/>
      <c r="G934" s="983"/>
      <c r="I934" s="490"/>
    </row>
    <row r="935" spans="1:9" ht="12.75" customHeight="1">
      <c r="A935" s="984"/>
      <c r="B935" s="485" t="s">
        <v>2643</v>
      </c>
      <c r="C935" s="984"/>
      <c r="D935" s="1305" t="s">
        <v>2026</v>
      </c>
      <c r="E935" s="1305"/>
      <c r="F935" s="1305"/>
      <c r="G935" s="983"/>
      <c r="I935" s="490"/>
    </row>
    <row r="936" spans="1:9" ht="12.75" customHeight="1">
      <c r="A936" s="984"/>
      <c r="B936" s="984"/>
      <c r="C936" s="984"/>
      <c r="D936" s="118"/>
      <c r="E936" s="983"/>
      <c r="F936" s="983"/>
      <c r="G936" s="983"/>
      <c r="I936" s="490"/>
    </row>
    <row r="937" spans="1:9" ht="12.75" customHeight="1">
      <c r="A937" s="984"/>
      <c r="B937" s="485" t="s">
        <v>2643</v>
      </c>
      <c r="C937" s="984"/>
      <c r="D937" s="1305" t="s">
        <v>2027</v>
      </c>
      <c r="E937" s="1305"/>
      <c r="F937" s="1305"/>
      <c r="G937" s="983"/>
      <c r="I937" s="490"/>
    </row>
    <row r="938" spans="1:9" ht="12.75" customHeight="1">
      <c r="A938" s="174"/>
      <c r="B938" s="174"/>
      <c r="C938" s="174"/>
      <c r="D938" s="2"/>
      <c r="E938" s="3"/>
      <c r="F938" s="983"/>
      <c r="G938" s="983"/>
      <c r="I938" s="490"/>
    </row>
    <row r="939" spans="1:9" ht="12.75" customHeight="1">
      <c r="A939" s="992"/>
      <c r="B939" s="485" t="s">
        <v>2643</v>
      </c>
      <c r="C939" s="993"/>
      <c r="D939" s="1270" t="s">
        <v>1765</v>
      </c>
      <c r="E939" s="1270"/>
      <c r="F939" s="1270"/>
      <c r="G939" s="994"/>
      <c r="I939" s="490"/>
    </row>
    <row r="940" spans="1:9" ht="12.75" customHeight="1">
      <c r="A940" s="992"/>
      <c r="B940" s="992"/>
      <c r="C940" s="993"/>
      <c r="D940" s="1270"/>
      <c r="E940" s="1270"/>
      <c r="F940" s="1270"/>
      <c r="G940" s="994"/>
      <c r="I940" s="490"/>
    </row>
    <row r="941" spans="1:9" ht="12.75" customHeight="1">
      <c r="A941" s="992"/>
      <c r="B941" s="992"/>
      <c r="C941" s="993"/>
      <c r="D941" s="1270"/>
      <c r="E941" s="1270"/>
      <c r="F941" s="1270"/>
      <c r="G941" s="994"/>
      <c r="I941" s="490"/>
    </row>
    <row r="942" spans="1:9" ht="12.75" customHeight="1">
      <c r="A942" s="992"/>
      <c r="B942" s="992"/>
      <c r="C942" s="993"/>
      <c r="D942" s="1270"/>
      <c r="E942" s="1270"/>
      <c r="F942" s="1270"/>
      <c r="G942" s="994"/>
      <c r="I942" s="490"/>
    </row>
    <row r="943" spans="1:9" ht="12.75" customHeight="1">
      <c r="A943" s="992"/>
      <c r="B943" s="992"/>
      <c r="C943" s="993"/>
      <c r="D943" s="1270"/>
      <c r="E943" s="1270"/>
      <c r="F943" s="1270"/>
      <c r="G943" s="994"/>
      <c r="I943" s="490"/>
    </row>
    <row r="944" spans="1:9" ht="12.75" customHeight="1">
      <c r="A944" s="992"/>
      <c r="B944" s="992"/>
      <c r="C944" s="993"/>
      <c r="D944" s="1270"/>
      <c r="E944" s="1270"/>
      <c r="F944" s="1270"/>
      <c r="G944" s="994"/>
      <c r="I944" s="490"/>
    </row>
    <row r="945" spans="1:9" ht="12.75" customHeight="1">
      <c r="A945" s="992"/>
      <c r="B945" s="992"/>
      <c r="C945" s="993"/>
      <c r="D945" s="1270"/>
      <c r="E945" s="1270"/>
      <c r="F945" s="1270"/>
      <c r="G945" s="994"/>
      <c r="I945" s="490"/>
    </row>
    <row r="946" spans="1:9" ht="12.75" customHeight="1">
      <c r="A946" s="992"/>
      <c r="B946" s="992"/>
      <c r="C946" s="993"/>
      <c r="D946" s="1270"/>
      <c r="E946" s="1270"/>
      <c r="F946" s="1270"/>
      <c r="G946" s="994"/>
      <c r="I946" s="490"/>
    </row>
    <row r="947" spans="1:9" ht="12.75" customHeight="1">
      <c r="A947" s="992"/>
      <c r="B947" s="992"/>
      <c r="C947" s="993"/>
      <c r="D947" s="1270"/>
      <c r="E947" s="1270"/>
      <c r="F947" s="1270"/>
      <c r="G947" s="994"/>
      <c r="I947" s="490"/>
    </row>
    <row r="948" spans="1:9" ht="12.75" customHeight="1">
      <c r="A948" s="174"/>
      <c r="B948" s="174"/>
      <c r="C948" s="174"/>
      <c r="D948" s="2"/>
      <c r="E948" s="3"/>
      <c r="F948" s="983"/>
      <c r="G948" s="983"/>
      <c r="I948" s="490"/>
    </row>
    <row r="949" spans="1:9" ht="12.75" customHeight="1">
      <c r="A949" s="175"/>
      <c r="B949" s="485" t="s">
        <v>2642</v>
      </c>
      <c r="C949" s="174"/>
      <c r="D949" s="1330" t="s">
        <v>1859</v>
      </c>
      <c r="E949" s="1330"/>
      <c r="F949" s="1330"/>
      <c r="G949" s="983"/>
      <c r="I949" s="490"/>
    </row>
    <row r="950" spans="1:9" ht="12.75" customHeight="1">
      <c r="A950" s="175"/>
      <c r="B950" s="175"/>
      <c r="C950" s="174"/>
      <c r="D950" s="1330"/>
      <c r="E950" s="1330"/>
      <c r="F950" s="1330"/>
      <c r="G950" s="983"/>
      <c r="I950" s="490"/>
    </row>
    <row r="951" spans="1:9" ht="12.75" customHeight="1">
      <c r="A951" s="175"/>
      <c r="B951" s="175"/>
      <c r="C951" s="174"/>
      <c r="D951" s="1330"/>
      <c r="E951" s="1330"/>
      <c r="F951" s="1330"/>
      <c r="G951" s="983"/>
      <c r="I951" s="490"/>
    </row>
    <row r="952" spans="1:9" ht="12.75" customHeight="1">
      <c r="A952" s="175"/>
      <c r="B952" s="175"/>
      <c r="C952" s="174"/>
      <c r="D952" s="1330"/>
      <c r="E952" s="1330"/>
      <c r="F952" s="1330"/>
      <c r="G952" s="983"/>
      <c r="I952" s="490"/>
    </row>
    <row r="953" spans="1:9" ht="12.75" customHeight="1">
      <c r="A953" s="175"/>
      <c r="B953" s="175"/>
      <c r="C953" s="174"/>
      <c r="D953" s="1330"/>
      <c r="E953" s="1330"/>
      <c r="F953" s="1330"/>
      <c r="G953" s="983"/>
      <c r="I953" s="490"/>
    </row>
    <row r="954" spans="1:9" ht="12.75" customHeight="1">
      <c r="A954" s="175"/>
      <c r="B954" s="175"/>
      <c r="C954" s="174"/>
      <c r="D954" s="1330"/>
      <c r="E954" s="1330"/>
      <c r="F954" s="1330"/>
      <c r="G954" s="983"/>
      <c r="I954" s="490"/>
    </row>
    <row r="955" spans="1:9" ht="12.75" customHeight="1">
      <c r="A955" s="175"/>
      <c r="B955" s="175"/>
      <c r="C955" s="174"/>
      <c r="D955" s="1330"/>
      <c r="E955" s="1330"/>
      <c r="F955" s="1330"/>
      <c r="G955" s="983"/>
      <c r="I955" s="490"/>
    </row>
    <row r="956" spans="1:9" ht="12.75" customHeight="1">
      <c r="A956" s="175"/>
      <c r="B956" s="175"/>
      <c r="C956" s="174"/>
      <c r="D956" s="1021"/>
      <c r="E956" s="1021"/>
      <c r="F956" s="1021"/>
      <c r="G956" s="983"/>
      <c r="I956" s="490"/>
    </row>
    <row r="957" spans="1:9" ht="12.75" customHeight="1">
      <c r="A957" s="175"/>
      <c r="B957" s="485" t="s">
        <v>2642</v>
      </c>
      <c r="C957" s="174"/>
      <c r="D957" s="1269" t="s">
        <v>2091</v>
      </c>
      <c r="E957" s="1269"/>
      <c r="F957" s="1269"/>
      <c r="G957" s="983"/>
      <c r="I957" s="490"/>
    </row>
    <row r="958" spans="1:9" ht="12.75" customHeight="1">
      <c r="A958" s="175"/>
      <c r="B958" s="175"/>
      <c r="C958" s="174"/>
      <c r="D958" s="1269"/>
      <c r="E958" s="1269"/>
      <c r="F958" s="1269"/>
      <c r="G958" s="983"/>
      <c r="I958" s="490"/>
    </row>
    <row r="959" spans="1:9" ht="12.75" customHeight="1">
      <c r="A959" s="175"/>
      <c r="B959" s="175"/>
      <c r="C959" s="174"/>
      <c r="D959" s="1269"/>
      <c r="E959" s="1269"/>
      <c r="F959" s="1269"/>
      <c r="G959" s="983"/>
      <c r="I959" s="490"/>
    </row>
    <row r="960" spans="1:9" ht="12.75" customHeight="1">
      <c r="A960" s="175"/>
      <c r="B960" s="175"/>
      <c r="C960" s="174"/>
      <c r="D960" s="1269"/>
      <c r="E960" s="1269"/>
      <c r="F960" s="1269"/>
      <c r="G960" s="983"/>
      <c r="I960" s="490"/>
    </row>
    <row r="961" spans="1:9" ht="12.75" customHeight="1">
      <c r="A961" s="175"/>
      <c r="B961" s="175"/>
      <c r="C961" s="174"/>
      <c r="D961" s="1269"/>
      <c r="E961" s="1269"/>
      <c r="F961" s="1269"/>
      <c r="G961" s="983"/>
      <c r="I961" s="490"/>
    </row>
    <row r="962" spans="1:9" ht="12.75" customHeight="1">
      <c r="A962" s="175"/>
      <c r="B962" s="175"/>
      <c r="C962" s="174"/>
      <c r="D962" s="1269"/>
      <c r="E962" s="1269"/>
      <c r="F962" s="1269"/>
      <c r="G962" s="983"/>
      <c r="I962" s="490"/>
    </row>
    <row r="963" spans="1:9" ht="12.75" customHeight="1">
      <c r="A963" s="175"/>
      <c r="B963" s="175"/>
      <c r="C963" s="174"/>
      <c r="D963" s="1021"/>
      <c r="E963" s="1021"/>
      <c r="F963" s="1021"/>
      <c r="G963" s="983"/>
      <c r="I963" s="490"/>
    </row>
    <row r="964" spans="1:9" ht="12.75" customHeight="1">
      <c r="A964" s="984"/>
      <c r="B964" s="485" t="s">
        <v>2643</v>
      </c>
      <c r="C964" s="984"/>
      <c r="D964" s="1295" t="s">
        <v>1770</v>
      </c>
      <c r="E964" s="1295"/>
      <c r="F964" s="1295"/>
      <c r="G964" s="983"/>
      <c r="I964" s="490"/>
    </row>
    <row r="965" spans="1:9" ht="12.75" customHeight="1">
      <c r="A965" s="984"/>
      <c r="B965" s="984"/>
      <c r="C965" s="984"/>
      <c r="D965" s="1295"/>
      <c r="E965" s="1295"/>
      <c r="F965" s="1295"/>
      <c r="G965" s="983"/>
      <c r="I965" s="490"/>
    </row>
    <row r="966" spans="1:9" ht="12.75" customHeight="1">
      <c r="A966" s="984"/>
      <c r="B966" s="984"/>
      <c r="C966" s="984"/>
      <c r="D966" s="1295"/>
      <c r="E966" s="1295"/>
      <c r="F966" s="1295"/>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2643</v>
      </c>
      <c r="C969" s="174"/>
      <c r="D969" s="1270" t="s">
        <v>1858</v>
      </c>
      <c r="E969" s="1270"/>
      <c r="F969" s="1270"/>
      <c r="G969" s="983"/>
      <c r="I969" s="490"/>
    </row>
    <row r="970" spans="1:9" ht="12.75" customHeight="1">
      <c r="A970" s="175"/>
      <c r="B970" s="175"/>
      <c r="C970" s="174"/>
      <c r="D970" s="1270"/>
      <c r="E970" s="1270"/>
      <c r="F970" s="1270"/>
      <c r="G970" s="983"/>
      <c r="I970" s="490"/>
    </row>
    <row r="971" spans="1:9" ht="12.75" customHeight="1">
      <c r="A971" s="175"/>
      <c r="B971" s="175"/>
      <c r="C971" s="174"/>
      <c r="D971" s="1270"/>
      <c r="E971" s="1270"/>
      <c r="F971" s="1270"/>
      <c r="G971" s="983"/>
      <c r="I971" s="490"/>
    </row>
    <row r="972" spans="1:9" ht="12.75" customHeight="1">
      <c r="A972" s="175"/>
      <c r="B972" s="175"/>
      <c r="C972" s="174"/>
      <c r="D972" s="1270"/>
      <c r="E972" s="1270"/>
      <c r="F972" s="1270"/>
      <c r="G972" s="983"/>
      <c r="I972" s="490"/>
    </row>
    <row r="973" spans="1:9" ht="12.75" customHeight="1">
      <c r="A973" s="984"/>
      <c r="B973" s="984"/>
      <c r="C973" s="984"/>
      <c r="D973" s="975"/>
      <c r="E973" s="975"/>
      <c r="F973" s="975"/>
      <c r="G973" s="975"/>
      <c r="I973" s="490"/>
    </row>
    <row r="974" spans="1:9" ht="12.75" customHeight="1">
      <c r="A974" s="354"/>
      <c r="B974" s="354"/>
      <c r="C974" s="354"/>
      <c r="D974" s="1325" t="s">
        <v>1771</v>
      </c>
      <c r="E974" s="1325"/>
      <c r="F974" s="1325"/>
      <c r="G974" s="3"/>
      <c r="I974" s="490"/>
    </row>
    <row r="975" spans="1:9" ht="12.75" customHeight="1">
      <c r="A975" s="175"/>
      <c r="B975" s="485" t="s">
        <v>2643</v>
      </c>
      <c r="C975" s="354"/>
      <c r="D975" s="1305" t="s">
        <v>1794</v>
      </c>
      <c r="E975" s="1305"/>
      <c r="F975" s="1305"/>
      <c r="G975" s="3"/>
      <c r="I975" s="490"/>
    </row>
    <row r="976" spans="1:9" ht="12.75" customHeight="1">
      <c r="A976" s="354"/>
      <c r="B976" s="354"/>
      <c r="C976" s="354"/>
      <c r="D976" s="3"/>
      <c r="E976" s="3"/>
      <c r="F976" s="3"/>
      <c r="G976" s="3"/>
      <c r="I976" s="490"/>
    </row>
    <row r="977" spans="1:9" ht="12.75" customHeight="1">
      <c r="A977" s="354"/>
      <c r="B977" s="354"/>
      <c r="C977" s="354"/>
      <c r="D977" s="1325" t="s">
        <v>1772</v>
      </c>
      <c r="E977" s="1325"/>
      <c r="F977" s="1325"/>
      <c r="G977"/>
      <c r="I977" s="490"/>
    </row>
    <row r="978" spans="1:9" ht="12.75" customHeight="1">
      <c r="A978" s="175"/>
      <c r="B978" s="485" t="s">
        <v>2642</v>
      </c>
      <c r="C978" s="354"/>
      <c r="D978" s="1266" t="s">
        <v>2028</v>
      </c>
      <c r="E978" s="1266"/>
      <c r="F978" s="1266"/>
      <c r="G978"/>
      <c r="I978" s="490"/>
    </row>
    <row r="979" spans="1:9" ht="12.75" customHeight="1">
      <c r="A979" s="175"/>
      <c r="B979" s="175"/>
      <c r="C979" s="354"/>
      <c r="D979" s="1266"/>
      <c r="E979" s="1266"/>
      <c r="F979" s="1266"/>
      <c r="G979"/>
      <c r="I979" s="490"/>
    </row>
    <row r="980" spans="1:9" ht="12.75" customHeight="1">
      <c r="A980" s="175"/>
      <c r="B980" s="175"/>
      <c r="C980" s="354"/>
      <c r="D980" s="1266"/>
      <c r="E980" s="1266"/>
      <c r="F980" s="1266"/>
      <c r="G980"/>
      <c r="I980" s="490"/>
    </row>
    <row r="981" spans="1:9" ht="12.75" customHeight="1">
      <c r="A981" s="175"/>
      <c r="B981" s="175"/>
      <c r="C981" s="354"/>
      <c r="D981" s="1266"/>
      <c r="E981" s="1266"/>
      <c r="F981" s="1266"/>
      <c r="G981"/>
      <c r="I981" s="490"/>
    </row>
    <row r="982" spans="1:9" ht="12.75" customHeight="1">
      <c r="A982" s="175"/>
      <c r="B982" s="175"/>
      <c r="C982" s="354"/>
      <c r="D982" s="1266"/>
      <c r="E982" s="1266"/>
      <c r="F982" s="1266"/>
      <c r="G982"/>
      <c r="I982" s="490"/>
    </row>
    <row r="983" spans="1:9" ht="12.75" customHeight="1">
      <c r="A983" s="175"/>
      <c r="B983" s="175"/>
      <c r="C983" s="354"/>
      <c r="D983" s="1266"/>
      <c r="E983" s="1266"/>
      <c r="F983" s="1266"/>
      <c r="G983"/>
      <c r="I983" s="490"/>
    </row>
    <row r="984" spans="1:9" ht="12.75" customHeight="1">
      <c r="A984" s="175"/>
      <c r="B984" s="175"/>
      <c r="C984" s="354"/>
      <c r="D984" s="1266"/>
      <c r="E984" s="1266"/>
      <c r="F984" s="1266"/>
      <c r="G984"/>
      <c r="I984" s="490"/>
    </row>
    <row r="985" spans="1:9" ht="12.75" customHeight="1">
      <c r="A985" s="175"/>
      <c r="B985" s="175"/>
      <c r="C985" s="354"/>
      <c r="D985" s="1266"/>
      <c r="E985" s="1266"/>
      <c r="F985" s="1266"/>
      <c r="G985"/>
      <c r="I985" s="490"/>
    </row>
    <row r="986" spans="1:9" ht="12.75" customHeight="1">
      <c r="A986" s="175"/>
      <c r="B986" s="175"/>
      <c r="C986" s="354"/>
      <c r="D986" s="1266"/>
      <c r="E986" s="1266"/>
      <c r="F986" s="1266"/>
      <c r="G986"/>
      <c r="I986" s="490"/>
    </row>
    <row r="987" spans="1:9" ht="12.75" customHeight="1">
      <c r="A987" s="175"/>
      <c r="B987" s="175"/>
      <c r="C987" s="354"/>
      <c r="D987" s="1266"/>
      <c r="E987" s="1266"/>
      <c r="F987" s="1266"/>
      <c r="G987"/>
      <c r="I987" s="490"/>
    </row>
    <row r="988" spans="1:9" ht="12.75" customHeight="1">
      <c r="A988" s="175"/>
      <c r="B988" s="175"/>
      <c r="C988" s="354"/>
      <c r="D988" s="1266"/>
      <c r="E988" s="1266"/>
      <c r="F988" s="1266"/>
      <c r="G988"/>
      <c r="I988" s="490"/>
    </row>
    <row r="989" spans="1:9" ht="12.75" customHeight="1">
      <c r="A989" s="175"/>
      <c r="B989" s="175"/>
      <c r="C989" s="354"/>
      <c r="D989" s="1266"/>
      <c r="E989" s="1266"/>
      <c r="F989" s="1266"/>
      <c r="G989"/>
      <c r="I989" s="490"/>
    </row>
    <row r="990" spans="1:9" ht="12.75" customHeight="1">
      <c r="A990" s="175"/>
      <c r="B990" s="175"/>
      <c r="C990" s="354"/>
      <c r="D990" s="1266"/>
      <c r="E990" s="1266"/>
      <c r="F990" s="1266"/>
      <c r="G990"/>
      <c r="I990" s="490"/>
    </row>
    <row r="991" spans="1:9" ht="12.75" customHeight="1">
      <c r="A991" s="175"/>
      <c r="B991" s="175"/>
      <c r="C991" s="354"/>
      <c r="D991" s="1266"/>
      <c r="E991" s="1266"/>
      <c r="F991" s="1266"/>
      <c r="G991"/>
      <c r="I991" s="490"/>
    </row>
    <row r="992" spans="1:9" ht="12.75" customHeight="1">
      <c r="A992" s="175"/>
      <c r="B992" s="175"/>
      <c r="C992" s="354"/>
      <c r="D992" s="1266"/>
      <c r="E992" s="1266"/>
      <c r="F992" s="1266"/>
      <c r="G992" s="3"/>
      <c r="I992" s="490"/>
    </row>
    <row r="993" spans="1:9" ht="12.75" customHeight="1">
      <c r="A993" s="354"/>
      <c r="B993" s="354"/>
      <c r="C993" s="354"/>
      <c r="D993" s="3"/>
      <c r="E993" s="3"/>
      <c r="F993" s="3"/>
      <c r="G993" s="3"/>
      <c r="I993" s="490"/>
    </row>
    <row r="994" spans="1:9" ht="12.75" customHeight="1">
      <c r="A994" s="1313" t="s">
        <v>1773</v>
      </c>
      <c r="B994" s="1313"/>
      <c r="C994" s="1313"/>
      <c r="D994" s="1313"/>
      <c r="E994" s="1313"/>
      <c r="F994" s="1313"/>
      <c r="G994" s="1313"/>
      <c r="H994" s="1023"/>
      <c r="I994" s="1147"/>
    </row>
    <row r="995" spans="1:9" ht="12.75" customHeight="1">
      <c r="A995" s="118"/>
      <c r="B995" s="118"/>
      <c r="C995" s="354"/>
      <c r="D995" s="3"/>
      <c r="E995" s="3"/>
      <c r="F995" s="3"/>
      <c r="G995" s="3"/>
      <c r="I995" s="490"/>
    </row>
    <row r="996" spans="1:9" ht="12.75" customHeight="1">
      <c r="A996" s="354"/>
      <c r="B996" s="354"/>
      <c r="C996" s="984"/>
      <c r="D996" s="1325" t="s">
        <v>1795</v>
      </c>
      <c r="E996" s="1325"/>
      <c r="F996" s="1325"/>
      <c r="G996" s="3"/>
      <c r="I996" s="490"/>
    </row>
    <row r="997" spans="1:9" ht="12.75" customHeight="1">
      <c r="A997" s="172"/>
      <c r="B997" s="172"/>
      <c r="C997" s="172"/>
      <c r="D997" s="1305" t="s">
        <v>1774</v>
      </c>
      <c r="E997" s="1305"/>
      <c r="F997" s="1305"/>
      <c r="G997" s="3"/>
      <c r="I997" s="490"/>
    </row>
    <row r="998" spans="1:9" ht="12.75" customHeight="1">
      <c r="A998" s="172"/>
      <c r="B998" s="172"/>
      <c r="C998" s="172"/>
      <c r="D998" s="3"/>
      <c r="E998" s="3"/>
      <c r="F998" s="983"/>
      <c r="G998"/>
      <c r="I998" s="490"/>
    </row>
    <row r="999" spans="1:9" ht="12.75" customHeight="1">
      <c r="A999" s="354"/>
      <c r="B999" s="485" t="s">
        <v>2642</v>
      </c>
      <c r="C999" s="354"/>
      <c r="D999" s="1335" t="s">
        <v>1887</v>
      </c>
      <c r="E999" s="1335"/>
      <c r="F999" s="1335"/>
      <c r="G999"/>
      <c r="I999" s="490"/>
    </row>
    <row r="1000" spans="1:9" ht="12.75" customHeight="1">
      <c r="A1000" s="354"/>
      <c r="B1000" s="354"/>
      <c r="C1000" s="354"/>
      <c r="D1000" s="1335"/>
      <c r="E1000" s="1335"/>
      <c r="F1000" s="1335"/>
      <c r="G1000"/>
      <c r="I1000" s="490"/>
    </row>
    <row r="1001" spans="1:9" ht="12.75" customHeight="1">
      <c r="A1001" s="354"/>
      <c r="B1001" s="354"/>
      <c r="C1001" s="354"/>
      <c r="D1001" s="1033"/>
      <c r="E1001" s="1031" t="s">
        <v>1888</v>
      </c>
      <c r="F1001" s="1033"/>
      <c r="G1001"/>
      <c r="I1001" s="490"/>
    </row>
    <row r="1002" spans="1:9" ht="12.75" customHeight="1">
      <c r="A1002" s="354"/>
      <c r="B1002" s="354"/>
      <c r="C1002" s="354"/>
      <c r="D1002" s="1272" t="s">
        <v>1886</v>
      </c>
      <c r="E1002" s="1272"/>
      <c r="F1002" s="1272"/>
      <c r="G1002"/>
      <c r="I1002" s="490"/>
    </row>
    <row r="1003" spans="1:9" ht="12.75" customHeight="1">
      <c r="A1003" s="354"/>
      <c r="B1003" s="354"/>
      <c r="C1003" s="354"/>
      <c r="D1003" s="1272"/>
      <c r="E1003" s="1272"/>
      <c r="F1003" s="1272"/>
      <c r="G1003"/>
      <c r="I1003" s="490"/>
    </row>
    <row r="1004" spans="1:9" ht="12.75" customHeight="1">
      <c r="A1004" s="174"/>
      <c r="B1004" s="174"/>
      <c r="C1004" s="174"/>
      <c r="D1004" s="1272"/>
      <c r="E1004" s="1272"/>
      <c r="F1004" s="1272"/>
      <c r="G1004"/>
      <c r="I1004" s="490"/>
    </row>
    <row r="1005" spans="1:9" ht="12.75" customHeight="1">
      <c r="A1005" s="174"/>
      <c r="B1005" s="174"/>
      <c r="C1005" s="174"/>
      <c r="D1005" s="1272"/>
      <c r="E1005" s="1272"/>
      <c r="F1005" s="1272"/>
      <c r="G1005"/>
      <c r="I1005" s="490"/>
    </row>
    <row r="1006" spans="1:9" ht="12.75" customHeight="1">
      <c r="A1006" s="174"/>
      <c r="B1006" s="174"/>
      <c r="C1006" s="174"/>
      <c r="D1006" s="335"/>
      <c r="E1006" s="335"/>
      <c r="F1006" s="335"/>
      <c r="G1006"/>
      <c r="I1006" s="490"/>
    </row>
    <row r="1007" spans="1:9" ht="12.75" customHeight="1">
      <c r="A1007" s="174"/>
      <c r="B1007" s="485" t="s">
        <v>2643</v>
      </c>
      <c r="C1007" s="174"/>
      <c r="D1007" s="1266" t="s">
        <v>1775</v>
      </c>
      <c r="E1007" s="1266"/>
      <c r="F1007" s="1266"/>
      <c r="G1007"/>
      <c r="I1007" s="490"/>
    </row>
    <row r="1008" spans="1:9" ht="12.75" customHeight="1">
      <c r="A1008" s="174"/>
      <c r="B1008" s="174"/>
      <c r="C1008" s="174"/>
      <c r="D1008" s="1266"/>
      <c r="E1008" s="1266"/>
      <c r="F1008" s="1266"/>
      <c r="G1008"/>
      <c r="I1008" s="490"/>
    </row>
    <row r="1009" spans="1:9" ht="12.75" customHeight="1">
      <c r="A1009" s="174"/>
      <c r="B1009" s="174"/>
      <c r="C1009" s="174"/>
      <c r="D1009" s="1266"/>
      <c r="E1009" s="1266"/>
      <c r="F1009" s="1266"/>
      <c r="G1009"/>
      <c r="I1009" s="490"/>
    </row>
    <row r="1010" spans="1:9" ht="12.75" customHeight="1">
      <c r="A1010" s="174"/>
      <c r="B1010" s="174"/>
      <c r="C1010" s="174"/>
      <c r="D1010" s="1266"/>
      <c r="E1010" s="1266"/>
      <c r="F1010" s="1266"/>
      <c r="G1010"/>
      <c r="I1010" s="490"/>
    </row>
    <row r="1011" spans="1:9" ht="12.75" customHeight="1">
      <c r="A1011" s="174"/>
      <c r="B1011" s="174"/>
      <c r="C1011" s="174"/>
      <c r="D1011" s="441"/>
      <c r="E1011" s="441"/>
      <c r="F1011" s="441"/>
      <c r="G1011"/>
      <c r="I1011" s="490"/>
    </row>
    <row r="1012" spans="1:9" ht="12.75" customHeight="1">
      <c r="A1012" s="174"/>
      <c r="B1012" s="485" t="s">
        <v>2643</v>
      </c>
      <c r="C1012" s="174"/>
      <c r="D1012" s="1266" t="s">
        <v>2182</v>
      </c>
      <c r="E1012" s="1266"/>
      <c r="F1012" s="1266"/>
      <c r="G1012"/>
      <c r="I1012" s="490"/>
    </row>
    <row r="1013" spans="1:9" ht="12.75" customHeight="1">
      <c r="A1013" s="174"/>
      <c r="B1013" s="174"/>
      <c r="C1013" s="174"/>
      <c r="D1013" s="1266"/>
      <c r="E1013" s="1266"/>
      <c r="F1013" s="1266"/>
      <c r="G1013"/>
      <c r="I1013" s="490"/>
    </row>
    <row r="1014" spans="1:9" ht="12.75" customHeight="1">
      <c r="A1014" s="174"/>
      <c r="B1014" s="174"/>
      <c r="C1014" s="174"/>
      <c r="D1014" s="441"/>
      <c r="E1014" s="441"/>
      <c r="F1014" s="441"/>
      <c r="G1014"/>
      <c r="I1014" s="490"/>
    </row>
    <row r="1015" spans="1:9" ht="12.75" customHeight="1">
      <c r="A1015" s="175"/>
      <c r="B1015" s="485" t="s">
        <v>2643</v>
      </c>
      <c r="C1015" s="354"/>
      <c r="D1015" s="1305" t="s">
        <v>1776</v>
      </c>
      <c r="E1015" s="1305"/>
      <c r="F1015" s="1305"/>
      <c r="G1015"/>
      <c r="I1015" s="490"/>
    </row>
    <row r="1016" spans="1:9" ht="12.75" customHeight="1">
      <c r="A1016" s="354"/>
      <c r="B1016" s="354"/>
      <c r="C1016" s="354"/>
      <c r="D1016" s="3"/>
      <c r="E1016" s="3"/>
      <c r="F1016" s="3"/>
      <c r="G1016"/>
      <c r="I1016" s="490"/>
    </row>
    <row r="1017" spans="1:9" ht="12.75" customHeight="1">
      <c r="A1017" s="175"/>
      <c r="B1017" s="485" t="s">
        <v>2643</v>
      </c>
      <c r="C1017" s="354"/>
      <c r="D1017" s="1305" t="s">
        <v>1777</v>
      </c>
      <c r="E1017" s="1305"/>
      <c r="F1017" s="1305"/>
      <c r="G1017"/>
      <c r="I1017" s="490"/>
    </row>
    <row r="1018" spans="1:9" ht="12.75" customHeight="1">
      <c r="A1018" s="354"/>
      <c r="B1018" s="354"/>
      <c r="C1018" s="354"/>
      <c r="D1018" s="118"/>
      <c r="E1018" s="3"/>
      <c r="F1018" s="3"/>
      <c r="G1018"/>
      <c r="I1018" s="490"/>
    </row>
    <row r="1019" spans="1:9" ht="12.75" customHeight="1">
      <c r="A1019" s="175"/>
      <c r="B1019" s="485" t="s">
        <v>2642</v>
      </c>
      <c r="C1019" s="354"/>
      <c r="D1019" s="1305" t="s">
        <v>1778</v>
      </c>
      <c r="E1019" s="1305"/>
      <c r="F1019" s="1305"/>
      <c r="G1019"/>
      <c r="I1019" s="490"/>
    </row>
    <row r="1020" spans="1:9" ht="12.75" customHeight="1">
      <c r="A1020" s="354"/>
      <c r="B1020" s="354"/>
      <c r="C1020" s="354"/>
      <c r="D1020" s="118"/>
      <c r="E1020" s="3"/>
      <c r="F1020" s="3"/>
      <c r="G1020"/>
      <c r="I1020" s="490"/>
    </row>
    <row r="1021" spans="1:9" ht="12.75" customHeight="1">
      <c r="A1021" s="175"/>
      <c r="B1021" s="485" t="s">
        <v>2642</v>
      </c>
      <c r="C1021" s="354"/>
      <c r="D1021" s="1266" t="s">
        <v>1779</v>
      </c>
      <c r="E1021" s="1266"/>
      <c r="F1021" s="1266"/>
      <c r="G1021"/>
      <c r="I1021" s="490"/>
    </row>
    <row r="1022" spans="1:9" ht="12.75" customHeight="1">
      <c r="A1022" s="175"/>
      <c r="B1022" s="175"/>
      <c r="C1022" s="354"/>
      <c r="D1022" s="1266"/>
      <c r="E1022" s="1266"/>
      <c r="F1022" s="1266"/>
      <c r="G1022"/>
      <c r="I1022" s="490"/>
    </row>
    <row r="1023" spans="1:9" ht="12.75" customHeight="1">
      <c r="A1023" s="175"/>
      <c r="B1023" s="175"/>
      <c r="C1023" s="354"/>
      <c r="D1023" s="118"/>
      <c r="E1023" s="3"/>
      <c r="F1023" s="3"/>
      <c r="G1023" s="3"/>
      <c r="I1023" s="490"/>
    </row>
    <row r="1024" spans="1:9" ht="12.75" customHeight="1">
      <c r="A1024" s="254"/>
      <c r="B1024" s="485" t="s">
        <v>2643</v>
      </c>
      <c r="C1024" s="995"/>
      <c r="D1024" s="1321" t="s">
        <v>1780</v>
      </c>
      <c r="E1024" s="1321"/>
      <c r="F1024" s="1321"/>
      <c r="G1024" s="996"/>
      <c r="I1024" s="490"/>
    </row>
    <row r="1025" spans="1:9" ht="12.75" customHeight="1">
      <c r="A1025" s="995"/>
      <c r="B1025" s="995"/>
      <c r="C1025" s="995"/>
      <c r="D1025" s="1321"/>
      <c r="E1025" s="1321"/>
      <c r="F1025" s="1321"/>
      <c r="G1025" s="996"/>
      <c r="I1025" s="490"/>
    </row>
    <row r="1026" spans="1:9" ht="12.75" customHeight="1">
      <c r="A1026" s="995"/>
      <c r="B1026" s="995"/>
      <c r="C1026" s="995"/>
      <c r="D1026" s="979"/>
      <c r="E1026" s="996"/>
      <c r="F1026" s="996"/>
      <c r="G1026" s="996"/>
      <c r="I1026" s="490"/>
    </row>
    <row r="1027" spans="1:9" ht="12.75" customHeight="1">
      <c r="A1027" s="254"/>
      <c r="B1027" s="485" t="s">
        <v>2643</v>
      </c>
      <c r="C1027" s="995"/>
      <c r="D1027" s="1336" t="s">
        <v>1781</v>
      </c>
      <c r="E1027" s="1336"/>
      <c r="F1027" s="1336"/>
      <c r="G1027" s="996"/>
      <c r="I1027" s="490"/>
    </row>
    <row r="1028" spans="1:9" ht="12.75" customHeight="1">
      <c r="A1028" s="995"/>
      <c r="B1028" s="995"/>
      <c r="C1028" s="995"/>
      <c r="D1028" s="979"/>
      <c r="E1028" s="996"/>
      <c r="F1028" s="996"/>
      <c r="G1028" s="996"/>
      <c r="I1028" s="490"/>
    </row>
    <row r="1029" spans="1:9" ht="12.75" customHeight="1">
      <c r="A1029" s="175"/>
      <c r="B1029" s="485" t="s">
        <v>2643</v>
      </c>
      <c r="C1029" s="354"/>
      <c r="D1029" s="1305" t="s">
        <v>1782</v>
      </c>
      <c r="E1029" s="1305"/>
      <c r="F1029" s="1305"/>
      <c r="G1029" s="3"/>
      <c r="I1029" s="490"/>
    </row>
    <row r="1030" spans="1:9" ht="12.75" customHeight="1">
      <c r="A1030" s="175"/>
      <c r="B1030" s="175"/>
      <c r="C1030" s="354"/>
      <c r="D1030" s="118"/>
      <c r="E1030" s="3"/>
      <c r="F1030" s="3"/>
      <c r="G1030" s="3"/>
      <c r="I1030" s="490"/>
    </row>
    <row r="1031" spans="1:9" ht="12.75" customHeight="1">
      <c r="A1031" s="175"/>
      <c r="B1031" s="485" t="s">
        <v>2643</v>
      </c>
      <c r="C1031" s="354"/>
      <c r="D1031" s="1266" t="s">
        <v>1783</v>
      </c>
      <c r="E1031" s="1266"/>
      <c r="F1031" s="1266"/>
      <c r="G1031" s="3"/>
      <c r="I1031" s="490"/>
    </row>
    <row r="1032" spans="1:9" ht="12.75" customHeight="1">
      <c r="A1032" s="175"/>
      <c r="B1032" s="175"/>
      <c r="C1032" s="354"/>
      <c r="D1032" s="1266"/>
      <c r="E1032" s="1266"/>
      <c r="F1032" s="1266"/>
      <c r="G1032" s="3"/>
      <c r="I1032" s="490"/>
    </row>
    <row r="1033" spans="1:9" ht="12.75" customHeight="1">
      <c r="A1033" s="354"/>
      <c r="B1033" s="354"/>
      <c r="C1033" s="354"/>
      <c r="D1033" s="3"/>
      <c r="E1033" s="3"/>
      <c r="F1033" s="3"/>
      <c r="G1033" s="3"/>
      <c r="I1033" s="490"/>
    </row>
    <row r="1034" spans="1:9" ht="12.75" customHeight="1">
      <c r="A1034" s="1313" t="s">
        <v>1784</v>
      </c>
      <c r="B1034" s="1313"/>
      <c r="C1034" s="1313"/>
      <c r="D1034" s="1313"/>
      <c r="E1034" s="1313"/>
      <c r="F1034" s="1313"/>
      <c r="G1034" s="1313"/>
      <c r="H1034" s="1023"/>
      <c r="I1034" s="1147"/>
    </row>
    <row r="1035" spans="1:9" ht="12.75" customHeight="1">
      <c r="A1035" s="354"/>
      <c r="B1035" s="354"/>
      <c r="C1035" s="354"/>
      <c r="D1035" s="3"/>
      <c r="E1035" s="3"/>
      <c r="F1035" s="3"/>
      <c r="G1035" s="3"/>
      <c r="I1035" s="490"/>
    </row>
    <row r="1036" spans="1:9" ht="12.75" customHeight="1">
      <c r="A1036" s="354"/>
      <c r="B1036" s="354"/>
      <c r="C1036" s="354"/>
      <c r="D1036" s="1329" t="s">
        <v>1785</v>
      </c>
      <c r="E1036" s="1329"/>
      <c r="F1036" s="1329"/>
      <c r="G1036" s="3"/>
      <c r="I1036" s="490"/>
    </row>
    <row r="1037" spans="1:9" ht="12.75" customHeight="1">
      <c r="A1037" s="354"/>
      <c r="B1037" s="354"/>
      <c r="C1037" s="354"/>
      <c r="D1037" s="1336" t="s">
        <v>1786</v>
      </c>
      <c r="E1037" s="1336"/>
      <c r="F1037" s="1336"/>
      <c r="G1037" s="3"/>
      <c r="I1037" s="490"/>
    </row>
    <row r="1038" spans="1:9" ht="12.75" customHeight="1">
      <c r="A1038" s="172"/>
      <c r="B1038" s="172"/>
      <c r="C1038" s="172"/>
      <c r="D1038" s="3"/>
      <c r="E1038" s="3"/>
      <c r="F1038" s="3"/>
      <c r="G1038" s="3"/>
      <c r="I1038" s="490"/>
    </row>
    <row r="1039" spans="1:9" ht="12.75" customHeight="1">
      <c r="A1039" s="175"/>
      <c r="B1039" s="175"/>
      <c r="C1039" s="174"/>
      <c r="D1039" s="1329" t="s">
        <v>1800</v>
      </c>
      <c r="E1039" s="1329"/>
      <c r="F1039" s="1329"/>
      <c r="G1039" s="3"/>
      <c r="I1039" s="490"/>
    </row>
    <row r="1040" spans="1:9" ht="12.75" customHeight="1">
      <c r="A1040" s="354"/>
      <c r="B1040" s="485" t="s">
        <v>2642</v>
      </c>
      <c r="C1040" s="354"/>
      <c r="D1040" s="1336" t="s">
        <v>1269</v>
      </c>
      <c r="E1040" s="1336"/>
      <c r="F1040" s="1336"/>
      <c r="G1040" s="3"/>
      <c r="I1040" s="490"/>
    </row>
    <row r="1041" spans="1:9" ht="12.75" customHeight="1">
      <c r="A1041" s="354"/>
      <c r="B1041" s="175"/>
      <c r="C1041" s="354"/>
      <c r="D1041" s="1336" t="s">
        <v>1787</v>
      </c>
      <c r="E1041" s="1336"/>
      <c r="F1041" s="1336"/>
      <c r="G1041" s="3"/>
      <c r="I1041" s="490"/>
    </row>
    <row r="1042" spans="1:9" ht="12.75" customHeight="1">
      <c r="A1042" s="354"/>
      <c r="B1042" s="354"/>
      <c r="C1042" s="354"/>
      <c r="D1042" s="1336"/>
      <c r="E1042" s="1336"/>
      <c r="F1042" s="1336"/>
      <c r="G1042" s="3"/>
      <c r="I1042" s="490"/>
    </row>
    <row r="1043" spans="1:9" ht="12.75" customHeight="1">
      <c r="A1043" s="1313" t="s">
        <v>1796</v>
      </c>
      <c r="B1043" s="1313"/>
      <c r="C1043" s="1313"/>
      <c r="D1043" s="1313"/>
      <c r="E1043" s="1313"/>
      <c r="F1043" s="1313"/>
      <c r="G1043" s="1313"/>
      <c r="H1043" s="1023"/>
      <c r="I1043" s="1147"/>
    </row>
    <row r="1044" spans="1:9" ht="12.75" customHeight="1">
      <c r="A1044" s="118"/>
      <c r="B1044" s="118"/>
      <c r="C1044" s="354"/>
      <c r="D1044" s="3"/>
      <c r="E1044" s="3"/>
      <c r="F1044" s="3"/>
      <c r="G1044" s="3"/>
      <c r="I1044" s="490"/>
    </row>
    <row r="1045" spans="1:9" ht="12.75" hidden="1" customHeight="1">
      <c r="A1045" s="118"/>
      <c r="B1045" s="402"/>
      <c r="D1045" s="1337" t="s">
        <v>1270</v>
      </c>
      <c r="E1045" s="1337"/>
      <c r="F1045" s="1337"/>
      <c r="G1045" s="3"/>
      <c r="I1045" s="490"/>
    </row>
    <row r="1046" spans="1:9" ht="12.75" hidden="1" customHeight="1">
      <c r="A1046" s="118"/>
      <c r="B1046" s="485" t="s">
        <v>306</v>
      </c>
      <c r="D1046" s="1300" t="s">
        <v>1269</v>
      </c>
      <c r="E1046" s="1300"/>
      <c r="F1046" s="1300"/>
      <c r="G1046" s="3"/>
      <c r="I1046" s="490"/>
    </row>
    <row r="1047" spans="1:9" ht="12.75" hidden="1" customHeight="1">
      <c r="A1047" s="118"/>
      <c r="B1047" s="402"/>
      <c r="D1047" s="1300" t="s">
        <v>1797</v>
      </c>
      <c r="E1047" s="1300"/>
      <c r="F1047" s="1300"/>
      <c r="G1047" s="3"/>
      <c r="I1047" s="490"/>
    </row>
    <row r="1048" spans="1:9" ht="12.75" hidden="1" customHeight="1">
      <c r="A1048" s="118"/>
      <c r="B1048" s="402"/>
      <c r="D1048" s="444"/>
      <c r="E1048" s="444"/>
      <c r="F1048" s="444"/>
      <c r="G1048" s="3"/>
      <c r="I1048" s="490"/>
    </row>
    <row r="1049" spans="1:9" ht="12.75" customHeight="1">
      <c r="A1049" s="118"/>
      <c r="B1049" s="118"/>
      <c r="C1049" s="354"/>
      <c r="D1049" s="1338" t="s">
        <v>1064</v>
      </c>
      <c r="E1049" s="1338"/>
      <c r="F1049" s="1338"/>
      <c r="G1049" s="3"/>
      <c r="I1049" s="490"/>
    </row>
    <row r="1050" spans="1:9" ht="12.75" customHeight="1">
      <c r="A1050" s="319"/>
      <c r="B1050" s="319"/>
      <c r="C1050" s="319"/>
      <c r="D1050" s="1306" t="s">
        <v>2199</v>
      </c>
      <c r="E1050" s="1306"/>
      <c r="F1050" s="1306"/>
      <c r="G1050" s="98"/>
      <c r="I1050" s="490"/>
    </row>
    <row r="1051" spans="1:9" ht="12.75" customHeight="1">
      <c r="A1051" s="175"/>
      <c r="B1051" s="485" t="s">
        <v>2643</v>
      </c>
      <c r="C1051" s="354"/>
      <c r="D1051" s="1306" t="s">
        <v>983</v>
      </c>
      <c r="E1051" s="1306"/>
      <c r="F1051" s="1306"/>
      <c r="G1051" s="3"/>
      <c r="I1051" s="490"/>
    </row>
    <row r="1052" spans="1:9" ht="12.75" customHeight="1">
      <c r="A1052" s="354"/>
      <c r="B1052" s="354"/>
      <c r="C1052" s="354"/>
      <c r="D1052" s="1031" t="s">
        <v>1889</v>
      </c>
      <c r="E1052" s="96"/>
      <c r="F1052" s="96"/>
      <c r="G1052" s="3"/>
      <c r="I1052" s="490"/>
    </row>
    <row r="1053" spans="1:9">
      <c r="A1053" s="402"/>
      <c r="B1053" s="402"/>
      <c r="C1053" s="402"/>
      <c r="I1053" s="490"/>
    </row>
    <row r="1054" spans="1:9">
      <c r="A1054" s="1313" t="s">
        <v>2614</v>
      </c>
      <c r="B1054" s="1313"/>
      <c r="C1054" s="1313"/>
      <c r="D1054" s="1313"/>
      <c r="E1054" s="1313"/>
      <c r="F1054" s="1313"/>
      <c r="G1054" s="1313"/>
      <c r="H1054" s="1023"/>
      <c r="I1054" s="1147"/>
    </row>
    <row r="1055" spans="1:9">
      <c r="A1055" s="402"/>
      <c r="B1055" s="402"/>
      <c r="C1055" s="402"/>
      <c r="I1055" s="490"/>
    </row>
    <row r="1056" spans="1:9">
      <c r="A1056" s="402"/>
      <c r="B1056" s="402"/>
      <c r="C1056" s="402"/>
      <c r="D1056" s="404" t="s">
        <v>2613</v>
      </c>
      <c r="I1056" s="490"/>
    </row>
    <row r="1057" spans="1:9">
      <c r="A1057" s="402"/>
      <c r="B1057" s="402"/>
      <c r="C1057" s="402"/>
      <c r="D1057" s="402" t="s">
        <v>2617</v>
      </c>
      <c r="I1057" s="490"/>
    </row>
    <row r="1058" spans="1:9">
      <c r="A1058" s="402"/>
      <c r="B1058" s="402"/>
      <c r="C1058" s="402"/>
      <c r="D1058" s="404"/>
      <c r="I1058" s="490"/>
    </row>
    <row r="1059" spans="1:9">
      <c r="A1059" s="402"/>
      <c r="B1059" s="485" t="s">
        <v>2643</v>
      </c>
      <c r="C1059" s="402"/>
      <c r="D1059" s="1287" t="s">
        <v>1801</v>
      </c>
      <c r="E1059" s="1287"/>
      <c r="F1059" s="1287"/>
      <c r="I1059" s="490"/>
    </row>
    <row r="1060" spans="1:9">
      <c r="A1060" s="402"/>
      <c r="B1060" s="402"/>
      <c r="C1060" s="402"/>
      <c r="D1060" s="1287"/>
      <c r="E1060" s="1287"/>
      <c r="F1060" s="1287"/>
      <c r="I1060" s="490"/>
    </row>
    <row r="1061" spans="1:9">
      <c r="A1061" s="402"/>
      <c r="B1061" s="402"/>
      <c r="C1061" s="402"/>
      <c r="D1061" s="1287"/>
      <c r="E1061" s="1287"/>
      <c r="F1061" s="1287"/>
      <c r="I1061" s="490"/>
    </row>
    <row r="1062" spans="1:9">
      <c r="A1062" s="402"/>
      <c r="B1062" s="402"/>
      <c r="C1062" s="402"/>
      <c r="D1062" s="1287"/>
      <c r="E1062" s="1287"/>
      <c r="F1062" s="1287"/>
      <c r="I1062" s="490"/>
    </row>
    <row r="1063" spans="1:9">
      <c r="A1063" s="402"/>
      <c r="B1063" s="402"/>
      <c r="C1063" s="402"/>
      <c r="I1063" s="490"/>
    </row>
    <row r="1064" spans="1:9">
      <c r="A1064" s="402"/>
      <c r="B1064" s="402"/>
      <c r="C1064" s="402"/>
      <c r="D1064" s="404" t="s">
        <v>1305</v>
      </c>
      <c r="I1064" s="490"/>
    </row>
    <row r="1065" spans="1:9">
      <c r="A1065" s="402"/>
      <c r="B1065" s="402"/>
      <c r="C1065" s="402"/>
      <c r="D1065" s="402" t="s">
        <v>2618</v>
      </c>
      <c r="I1065" s="490"/>
    </row>
    <row r="1066" spans="1:9">
      <c r="A1066" s="402"/>
      <c r="B1066" s="402"/>
      <c r="C1066" s="402"/>
      <c r="I1066" s="490"/>
    </row>
    <row r="1067" spans="1:9">
      <c r="A1067" s="402"/>
      <c r="B1067" s="485" t="s">
        <v>2642</v>
      </c>
      <c r="C1067" s="402"/>
      <c r="D1067" s="402" t="s">
        <v>1799</v>
      </c>
      <c r="I1067" s="490"/>
    </row>
    <row r="1068" spans="1:9">
      <c r="A1068" s="402"/>
      <c r="B1068" s="402"/>
      <c r="C1068" s="402"/>
      <c r="I1068" s="490"/>
    </row>
    <row r="1069" spans="1:9">
      <c r="A1069" s="402"/>
      <c r="B1069" s="485" t="s">
        <v>2642</v>
      </c>
      <c r="C1069" s="402"/>
      <c r="D1069" s="1287" t="s">
        <v>1802</v>
      </c>
      <c r="E1069" s="1287"/>
      <c r="F1069" s="1287"/>
      <c r="I1069" s="490"/>
    </row>
    <row r="1070" spans="1:9">
      <c r="A1070" s="402"/>
      <c r="B1070" s="402"/>
      <c r="C1070" s="402"/>
      <c r="D1070" s="1287"/>
      <c r="E1070" s="1287"/>
      <c r="F1070" s="1287"/>
      <c r="I1070" s="490"/>
    </row>
    <row r="1071" spans="1:9">
      <c r="A1071" s="402"/>
      <c r="B1071" s="402"/>
      <c r="C1071" s="402"/>
      <c r="D1071" s="1287"/>
      <c r="E1071" s="1287"/>
      <c r="F1071" s="1287"/>
      <c r="I1071" s="490"/>
    </row>
    <row r="1072" spans="1:9">
      <c r="A1072" s="402"/>
      <c r="B1072" s="402"/>
      <c r="C1072" s="402"/>
      <c r="D1072" s="1287"/>
      <c r="E1072" s="1287"/>
      <c r="F1072" s="1287"/>
      <c r="I1072" s="490"/>
    </row>
    <row r="1073" spans="1:9">
      <c r="A1073" s="402"/>
      <c r="B1073" s="402"/>
      <c r="C1073" s="402"/>
      <c r="D1073" s="1287"/>
      <c r="E1073" s="1287"/>
      <c r="F1073" s="1287"/>
      <c r="I1073" s="490"/>
    </row>
    <row r="1074" spans="1:9">
      <c r="A1074" s="402"/>
      <c r="B1074" s="402"/>
      <c r="C1074" s="402"/>
      <c r="I1074" s="490"/>
    </row>
    <row r="1075" spans="1:9">
      <c r="A1075" s="1313" t="s">
        <v>1803</v>
      </c>
      <c r="B1075" s="1313"/>
      <c r="C1075" s="1313"/>
      <c r="D1075" s="1313"/>
      <c r="E1075" s="1313"/>
      <c r="F1075" s="1313"/>
      <c r="G1075" s="1313"/>
      <c r="H1075" s="1023"/>
      <c r="I1075" s="1147"/>
    </row>
    <row r="1076" spans="1:9">
      <c r="A1076" s="402"/>
      <c r="B1076" s="402"/>
      <c r="C1076" s="402"/>
      <c r="I1076" s="490"/>
    </row>
    <row r="1077" spans="1:9">
      <c r="A1077" s="402"/>
      <c r="B1077" s="402"/>
      <c r="C1077" s="402"/>
      <c r="I1077" s="490"/>
    </row>
    <row r="1078" spans="1:9">
      <c r="A1078" s="402"/>
      <c r="B1078" s="485" t="s">
        <v>2642</v>
      </c>
      <c r="C1078" s="402"/>
      <c r="D1078" s="527" t="s">
        <v>1806</v>
      </c>
      <c r="I1078" s="490"/>
    </row>
    <row r="1079" spans="1:9">
      <c r="A1079" s="402"/>
      <c r="B1079" s="402"/>
      <c r="C1079" s="402"/>
      <c r="D1079" s="527" t="s">
        <v>2627</v>
      </c>
      <c r="I1079" s="490"/>
    </row>
    <row r="1080" spans="1:9">
      <c r="A1080" s="402"/>
      <c r="B1080" s="402"/>
      <c r="C1080" s="402"/>
      <c r="D1080" s="527"/>
      <c r="I1080" s="490"/>
    </row>
    <row r="1081" spans="1:9">
      <c r="A1081" s="402"/>
      <c r="B1081" s="485" t="s">
        <v>2642</v>
      </c>
      <c r="C1081" s="402"/>
      <c r="D1081" s="1334" t="s">
        <v>2620</v>
      </c>
      <c r="E1081" s="1334"/>
      <c r="F1081" s="1334"/>
      <c r="I1081" s="490"/>
    </row>
    <row r="1082" spans="1:9">
      <c r="A1082" s="402"/>
      <c r="B1082" s="402"/>
      <c r="C1082" s="402"/>
      <c r="D1082" s="1334"/>
      <c r="E1082" s="1334"/>
      <c r="F1082" s="1334"/>
      <c r="I1082" s="490"/>
    </row>
    <row r="1083" spans="1:9">
      <c r="A1083" s="402"/>
      <c r="B1083" s="402"/>
      <c r="C1083" s="402"/>
      <c r="D1083" s="527" t="s">
        <v>2619</v>
      </c>
      <c r="I1083" s="490"/>
    </row>
    <row r="1084" spans="1:9">
      <c r="A1084" s="402"/>
      <c r="B1084" s="402"/>
      <c r="C1084" s="402"/>
      <c r="D1084" s="527"/>
      <c r="I1084" s="490"/>
    </row>
    <row r="1085" spans="1:9">
      <c r="A1085" s="402"/>
      <c r="B1085" s="485" t="s">
        <v>2643</v>
      </c>
      <c r="C1085" s="402"/>
      <c r="D1085" s="119" t="s">
        <v>2628</v>
      </c>
      <c r="I1085" s="490"/>
    </row>
    <row r="1086" spans="1:9">
      <c r="A1086" s="402"/>
      <c r="B1086" s="402"/>
      <c r="C1086" s="402"/>
      <c r="D1086" s="1266" t="s">
        <v>2630</v>
      </c>
      <c r="E1086" s="1266"/>
      <c r="F1086" s="1266"/>
      <c r="I1086" s="490"/>
    </row>
    <row r="1087" spans="1:9">
      <c r="A1087" s="402"/>
      <c r="B1087" s="402"/>
      <c r="C1087" s="402"/>
      <c r="D1087" s="1266"/>
      <c r="E1087" s="1266"/>
      <c r="F1087" s="1266"/>
      <c r="I1087" s="490"/>
    </row>
    <row r="1088" spans="1:9">
      <c r="A1088" s="402"/>
      <c r="B1088" s="402"/>
      <c r="C1088" s="402"/>
      <c r="D1088" s="1266"/>
      <c r="E1088" s="1266"/>
      <c r="F1088" s="1266"/>
      <c r="I1088" s="490"/>
    </row>
    <row r="1089" spans="1:9">
      <c r="A1089" s="402"/>
      <c r="B1089" s="402"/>
      <c r="C1089" s="402"/>
      <c r="D1089" s="1266"/>
      <c r="E1089" s="1266"/>
      <c r="F1089" s="1266"/>
      <c r="I1089" s="490"/>
    </row>
    <row r="1090" spans="1:9">
      <c r="A1090" s="402"/>
      <c r="B1090" s="402"/>
      <c r="C1090" s="402"/>
      <c r="D1090" s="119" t="s">
        <v>2629</v>
      </c>
      <c r="I1090" s="490"/>
    </row>
    <row r="1091" spans="1:9">
      <c r="A1091" s="402"/>
      <c r="B1091" s="402"/>
      <c r="C1091" s="402"/>
      <c r="D1091" s="119"/>
      <c r="I1091" s="490"/>
    </row>
    <row r="1092" spans="1:9">
      <c r="A1092" s="402"/>
      <c r="B1092" s="402"/>
      <c r="C1092" s="402"/>
      <c r="D1092" s="527" t="s">
        <v>1804</v>
      </c>
      <c r="I1092" s="490"/>
    </row>
    <row r="1093" spans="1:9">
      <c r="A1093" s="402"/>
      <c r="B1093" s="485" t="s">
        <v>2643</v>
      </c>
      <c r="C1093" s="402"/>
      <c r="D1093" s="1331" t="s">
        <v>1805</v>
      </c>
      <c r="E1093" s="1331"/>
      <c r="F1093" s="1331"/>
      <c r="I1093" s="490"/>
    </row>
    <row r="1094" spans="1:9">
      <c r="A1094" s="402"/>
      <c r="B1094" s="402"/>
      <c r="C1094" s="402"/>
      <c r="D1094" s="1331"/>
      <c r="E1094" s="1331"/>
      <c r="F1094" s="1331"/>
      <c r="I1094" s="490"/>
    </row>
    <row r="1095" spans="1:9">
      <c r="A1095" s="402"/>
      <c r="B1095" s="402"/>
      <c r="C1095" s="402"/>
      <c r="D1095" s="1331"/>
      <c r="E1095" s="1331"/>
      <c r="F1095" s="1331"/>
      <c r="I1095" s="490"/>
    </row>
    <row r="1096" spans="1:9">
      <c r="A1096" s="402"/>
      <c r="B1096" s="402"/>
      <c r="C1096" s="402"/>
      <c r="D1096" s="1331"/>
      <c r="E1096" s="1331"/>
      <c r="F1096" s="1331"/>
      <c r="I1096" s="490"/>
    </row>
    <row r="1097" spans="1:9">
      <c r="A1097" s="402"/>
      <c r="B1097" s="402"/>
      <c r="C1097" s="402"/>
      <c r="D1097" s="1331"/>
      <c r="E1097" s="1331"/>
      <c r="F1097" s="1331"/>
      <c r="I1097" s="490"/>
    </row>
    <row r="1098" spans="1:9">
      <c r="A1098" s="402"/>
      <c r="B1098" s="402"/>
      <c r="C1098" s="402"/>
      <c r="D1098" s="527" t="s">
        <v>2631</v>
      </c>
      <c r="I1098" s="490"/>
    </row>
    <row r="1099" spans="1:9">
      <c r="A1099" s="402"/>
      <c r="B1099" s="402"/>
      <c r="C1099" s="402"/>
      <c r="I1099" s="490"/>
    </row>
    <row r="1100" spans="1:9">
      <c r="A1100" s="402"/>
      <c r="B1100" s="485" t="s">
        <v>2643</v>
      </c>
      <c r="C1100" s="402"/>
      <c r="D1100" s="1282" t="s">
        <v>2220</v>
      </c>
      <c r="E1100" s="1282"/>
      <c r="F1100" s="1282"/>
      <c r="I1100" s="490"/>
    </row>
    <row r="1101" spans="1:9">
      <c r="A1101" s="402"/>
      <c r="B1101" s="402"/>
      <c r="C1101" s="402"/>
      <c r="D1101" s="1282"/>
      <c r="E1101" s="1282"/>
      <c r="F1101" s="1282"/>
      <c r="I1101" s="490"/>
    </row>
    <row r="1102" spans="1:9">
      <c r="A1102" s="402"/>
      <c r="B1102" s="402"/>
      <c r="C1102" s="402"/>
      <c r="D1102" s="1282"/>
      <c r="E1102" s="1282"/>
      <c r="F1102" s="1282"/>
      <c r="I1102" s="490"/>
    </row>
    <row r="1103" spans="1:9">
      <c r="A1103" s="402"/>
      <c r="B1103" s="402"/>
      <c r="C1103" s="402"/>
      <c r="I1103" s="490"/>
    </row>
    <row r="1104" spans="1:9">
      <c r="A1104" s="1313" t="s">
        <v>1807</v>
      </c>
      <c r="B1104" s="1313"/>
      <c r="C1104" s="1313"/>
      <c r="D1104" s="1313"/>
      <c r="E1104" s="1313"/>
      <c r="F1104" s="1313"/>
      <c r="G1104" s="1313"/>
      <c r="H1104" s="1023"/>
      <c r="I1104" s="1147"/>
    </row>
    <row r="1105" spans="1:9">
      <c r="A1105" s="402"/>
      <c r="B1105" s="402"/>
      <c r="C1105" s="402"/>
      <c r="I1105" s="490"/>
    </row>
    <row r="1106" spans="1:9">
      <c r="A1106" s="402"/>
      <c r="B1106" s="402"/>
      <c r="C1106" s="402"/>
      <c r="I1106" s="490"/>
    </row>
    <row r="1107" spans="1:9" ht="12.75" customHeight="1">
      <c r="A1107" s="402"/>
      <c r="B1107" s="485" t="s">
        <v>2643</v>
      </c>
      <c r="C1107" s="402"/>
      <c r="D1107" s="1332" t="s">
        <v>1901</v>
      </c>
      <c r="E1107" s="1332"/>
      <c r="F1107" s="1332"/>
      <c r="I1107" s="490"/>
    </row>
    <row r="1108" spans="1:9">
      <c r="A1108" s="402"/>
      <c r="B1108" s="402"/>
      <c r="C1108" s="402"/>
      <c r="D1108" s="1332"/>
      <c r="E1108" s="1332"/>
      <c r="F1108" s="1332"/>
      <c r="I1108" s="490"/>
    </row>
    <row r="1109" spans="1:9">
      <c r="A1109" s="402"/>
      <c r="B1109" s="402"/>
      <c r="C1109" s="402"/>
      <c r="D1109" s="1333" t="s">
        <v>2635</v>
      </c>
      <c r="E1109" s="1266"/>
      <c r="F1109" s="1266"/>
      <c r="I1109" s="490"/>
    </row>
    <row r="1110" spans="1:9">
      <c r="A1110" s="402"/>
      <c r="B1110" s="402"/>
      <c r="C1110" s="402"/>
      <c r="D1110" s="527"/>
      <c r="I1110" s="490"/>
    </row>
    <row r="1111" spans="1:9">
      <c r="A1111" s="402"/>
      <c r="B1111" s="485" t="s">
        <v>2643</v>
      </c>
      <c r="C1111" s="402"/>
      <c r="D1111" s="1331" t="s">
        <v>2583</v>
      </c>
      <c r="E1111" s="1331"/>
      <c r="F1111" s="1331"/>
      <c r="I1111" s="490"/>
    </row>
    <row r="1112" spans="1:9">
      <c r="A1112" s="402"/>
      <c r="B1112" s="402"/>
      <c r="C1112" s="402"/>
      <c r="D1112" s="1331"/>
      <c r="E1112" s="1331"/>
      <c r="F1112" s="1331"/>
      <c r="I1112" s="490"/>
    </row>
    <row r="1113" spans="1:9">
      <c r="A1113" s="402"/>
      <c r="B1113" s="402"/>
      <c r="C1113" s="402"/>
      <c r="D1113" s="1331"/>
      <c r="E1113" s="1331"/>
      <c r="F1113" s="1331"/>
      <c r="I1113" s="490"/>
    </row>
    <row r="1114" spans="1:9">
      <c r="A1114" s="402"/>
      <c r="B1114" s="402"/>
      <c r="C1114" s="402"/>
      <c r="D1114" s="527"/>
      <c r="I1114" s="490"/>
    </row>
    <row r="1115" spans="1:9">
      <c r="A1115" s="402"/>
      <c r="B1115" s="485" t="s">
        <v>2643</v>
      </c>
      <c r="C1115" s="402"/>
      <c r="D1115" s="1331" t="s">
        <v>2602</v>
      </c>
      <c r="E1115" s="1331"/>
      <c r="F1115" s="1331"/>
      <c r="I1115" s="490"/>
    </row>
    <row r="1116" spans="1:9">
      <c r="A1116" s="402"/>
      <c r="B1116" s="402"/>
      <c r="C1116" s="402"/>
      <c r="D1116" s="1331"/>
      <c r="E1116" s="1331"/>
      <c r="F1116" s="1331"/>
      <c r="I1116" s="490"/>
    </row>
    <row r="1117" spans="1:9">
      <c r="A1117" s="402"/>
      <c r="B1117" s="402"/>
      <c r="C1117" s="402"/>
      <c r="D1117" s="1331"/>
      <c r="E1117" s="1331"/>
      <c r="F1117" s="1331"/>
      <c r="I1117" s="490"/>
    </row>
    <row r="1118" spans="1:9">
      <c r="A1118" s="402"/>
      <c r="B1118" s="402"/>
      <c r="C1118" s="402"/>
      <c r="D1118" s="1331"/>
      <c r="E1118" s="1331"/>
      <c r="F1118" s="1331"/>
      <c r="I1118" s="490"/>
    </row>
    <row r="1119" spans="1:9">
      <c r="A1119" s="402"/>
      <c r="B1119" s="402"/>
      <c r="C1119" s="402"/>
      <c r="D1119" s="1331"/>
      <c r="E1119" s="1331"/>
      <c r="F1119" s="1331"/>
      <c r="I1119" s="490"/>
    </row>
    <row r="1120" spans="1:9" ht="12.5">
      <c r="A1120" s="402"/>
      <c r="B1120" s="402"/>
      <c r="C1120" s="402"/>
      <c r="D1120" s="527"/>
      <c r="I1120" s="480"/>
    </row>
    <row r="1121" spans="1:9">
      <c r="A1121" s="402"/>
      <c r="B1121" s="485" t="s">
        <v>2642</v>
      </c>
      <c r="C1121" s="402"/>
      <c r="D1121" s="1331" t="s">
        <v>1808</v>
      </c>
      <c r="E1121" s="1331"/>
      <c r="F1121" s="1331"/>
      <c r="I1121" s="490"/>
    </row>
    <row r="1122" spans="1:9">
      <c r="A1122" s="402"/>
      <c r="B1122" s="402"/>
      <c r="C1122" s="402"/>
      <c r="D1122" s="1331"/>
      <c r="E1122" s="1331"/>
      <c r="F1122" s="1331"/>
      <c r="I1122" s="490"/>
    </row>
    <row r="1123" spans="1:9">
      <c r="A1123" s="402"/>
      <c r="B1123" s="402"/>
      <c r="C1123" s="402"/>
      <c r="D1123" s="1331"/>
      <c r="E1123" s="1331"/>
      <c r="F1123" s="1331"/>
      <c r="I1123" s="490"/>
    </row>
    <row r="1124" spans="1:9">
      <c r="A1124" s="402"/>
      <c r="B1124" s="402"/>
      <c r="C1124" s="402"/>
      <c r="D1124" s="527"/>
      <c r="I1124" s="490"/>
    </row>
    <row r="1125" spans="1:9">
      <c r="A1125" s="402"/>
      <c r="B1125" s="485" t="s">
        <v>2642</v>
      </c>
      <c r="C1125" s="402"/>
      <c r="D1125" s="1272" t="s">
        <v>1860</v>
      </c>
      <c r="E1125" s="1272"/>
      <c r="F1125" s="1272"/>
      <c r="I1125" s="490"/>
    </row>
    <row r="1126" spans="1:9">
      <c r="A1126" s="402"/>
      <c r="B1126" s="402"/>
      <c r="C1126" s="402"/>
      <c r="D1126" s="1272"/>
      <c r="E1126" s="1272"/>
      <c r="F1126" s="1272"/>
      <c r="I1126" s="490"/>
    </row>
    <row r="1127" spans="1:9">
      <c r="A1127" s="402"/>
      <c r="B1127" s="402"/>
      <c r="C1127" s="402"/>
      <c r="D1127" s="1272"/>
      <c r="E1127" s="1272"/>
      <c r="F1127" s="1272"/>
      <c r="I1127" s="490"/>
    </row>
    <row r="1128" spans="1:9">
      <c r="A1128" s="402"/>
      <c r="B1128" s="402"/>
      <c r="C1128" s="402"/>
      <c r="D1128" s="975"/>
      <c r="E1128" s="975"/>
      <c r="F1128" s="975"/>
      <c r="I1128" s="490"/>
    </row>
    <row r="1129" spans="1:9" ht="15.75" customHeight="1">
      <c r="A1129" s="402"/>
      <c r="B1129" s="485" t="s">
        <v>2643</v>
      </c>
      <c r="C1129" s="402"/>
      <c r="D1129" s="1266" t="s">
        <v>1861</v>
      </c>
      <c r="E1129" s="1266"/>
      <c r="F1129" s="1266"/>
      <c r="I1129" s="490"/>
    </row>
    <row r="1130" spans="1:9">
      <c r="A1130" s="402"/>
      <c r="B1130" s="402"/>
      <c r="C1130" s="402"/>
      <c r="D1130" s="1266"/>
      <c r="E1130" s="1266"/>
      <c r="F1130" s="1266"/>
      <c r="I1130" s="490"/>
    </row>
    <row r="1131" spans="1:9">
      <c r="A1131" s="402"/>
      <c r="B1131" s="402"/>
      <c r="C1131" s="402"/>
      <c r="D1131" s="1266"/>
      <c r="E1131" s="1266"/>
      <c r="F1131" s="1266"/>
      <c r="I1131" s="490"/>
    </row>
    <row r="1132" spans="1:9">
      <c r="A1132" s="402"/>
      <c r="B1132" s="402"/>
      <c r="C1132" s="402"/>
      <c r="D1132" s="1266"/>
      <c r="E1132" s="1266"/>
      <c r="F1132" s="1266"/>
      <c r="I1132" s="490"/>
    </row>
    <row r="1133" spans="1:9">
      <c r="A1133" s="402"/>
      <c r="B1133" s="402"/>
      <c r="C1133" s="402"/>
      <c r="D1133" s="975"/>
      <c r="E1133" s="975"/>
      <c r="F1133" s="975"/>
      <c r="I1133" s="490"/>
    </row>
    <row r="1134" spans="1:9">
      <c r="A1134" s="402"/>
      <c r="B1134" s="485" t="s">
        <v>2643</v>
      </c>
      <c r="C1134" s="402"/>
      <c r="D1134" s="1272" t="s">
        <v>2612</v>
      </c>
      <c r="E1134" s="1272"/>
      <c r="F1134" s="1272"/>
      <c r="I1134" s="490"/>
    </row>
    <row r="1135" spans="1:9">
      <c r="A1135" s="402"/>
      <c r="B1135" s="402"/>
      <c r="C1135" s="402"/>
      <c r="D1135" s="1272"/>
      <c r="E1135" s="1272"/>
      <c r="F1135" s="1272"/>
      <c r="I1135" s="490"/>
    </row>
    <row r="1136" spans="1:9">
      <c r="A1136" s="402"/>
      <c r="B1136" s="402"/>
      <c r="C1136" s="402"/>
      <c r="D1136" s="1272"/>
      <c r="E1136" s="1272"/>
      <c r="F1136" s="1272"/>
      <c r="I1136" s="490"/>
    </row>
    <row r="1137" spans="1:9">
      <c r="A1137" s="402"/>
      <c r="B1137" s="402"/>
      <c r="C1137" s="402"/>
      <c r="D1137" s="1272"/>
      <c r="E1137" s="1272"/>
      <c r="F1137" s="1272"/>
      <c r="I1137" s="490"/>
    </row>
    <row r="1138" spans="1:9">
      <c r="A1138" s="402"/>
      <c r="B1138" s="402"/>
      <c r="C1138" s="402"/>
      <c r="D1138" s="1272"/>
      <c r="E1138" s="1272"/>
      <c r="F1138" s="1272"/>
      <c r="I1138" s="490"/>
    </row>
    <row r="1139" spans="1:9">
      <c r="A1139" s="402"/>
      <c r="B1139" s="402"/>
      <c r="C1139" s="402"/>
      <c r="D1139" s="1272"/>
      <c r="E1139" s="1272"/>
      <c r="F1139" s="1272"/>
      <c r="I1139" s="490"/>
    </row>
    <row r="1140" spans="1:9">
      <c r="A1140" s="402"/>
      <c r="B1140" s="402"/>
      <c r="C1140" s="402"/>
      <c r="D1140" s="975"/>
      <c r="E1140" s="975"/>
      <c r="F1140" s="975"/>
      <c r="I1140" s="490"/>
    </row>
    <row r="1141" spans="1:9" ht="12.5">
      <c r="A1141" s="402"/>
      <c r="B1141" s="485" t="s">
        <v>2643</v>
      </c>
      <c r="C1141" s="402"/>
      <c r="D1141" s="1287" t="s">
        <v>2584</v>
      </c>
      <c r="E1141" s="1287"/>
      <c r="F1141" s="1287"/>
      <c r="I1141" s="1153"/>
    </row>
    <row r="1142" spans="1:9">
      <c r="A1142" s="402"/>
      <c r="B1142" s="402"/>
      <c r="C1142" s="402"/>
      <c r="D1142" s="1287"/>
      <c r="E1142" s="1287"/>
      <c r="F1142" s="1287"/>
      <c r="I1142" s="490"/>
    </row>
    <row r="1143" spans="1:9">
      <c r="A1143" s="402"/>
      <c r="B1143" s="402"/>
      <c r="C1143" s="402"/>
      <c r="D1143" s="1287"/>
      <c r="E1143" s="1287"/>
      <c r="F1143" s="1287"/>
    </row>
    <row r="1144" spans="1:9">
      <c r="A1144" s="402"/>
      <c r="B1144" s="402"/>
      <c r="C1144" s="402"/>
      <c r="D1144" s="1287"/>
      <c r="E1144" s="1287"/>
      <c r="F1144" s="1287"/>
    </row>
    <row r="1145" spans="1:9">
      <c r="A1145" s="402"/>
      <c r="B1145" s="402"/>
      <c r="C1145" s="402"/>
      <c r="D1145" s="1287"/>
      <c r="E1145" s="1287"/>
      <c r="F1145" s="1287"/>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299"/>
      <c r="H1553" s="1299"/>
      <c r="I1553" s="1299"/>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622" workbookViewId="0">
      <selection activeCell="AP205" sqref="AP205:AQ205"/>
    </sheetView>
  </sheetViews>
  <sheetFormatPr defaultColWidth="0" defaultRowHeight="0" customHeight="1" zeroHeight="1"/>
  <cols>
    <col min="1" max="45" width="2.7265625" customWidth="1"/>
    <col min="46" max="46" width="12.453125" customWidth="1"/>
    <col min="47" max="16384" width="12.453125" hidden="1"/>
  </cols>
  <sheetData>
    <row r="1" spans="1:58" ht="13" customHeight="1">
      <c r="J1" s="100"/>
      <c r="AS1" s="1026">
        <v>4</v>
      </c>
      <c r="BD1" s="3" t="s">
        <v>2425</v>
      </c>
      <c r="BE1" s="3"/>
      <c r="BF1" s="3"/>
    </row>
    <row r="2" spans="1:58" ht="13" customHeight="1">
      <c r="BD2" s="3" t="s">
        <v>2426</v>
      </c>
      <c r="BE2" s="3" t="s">
        <v>2427</v>
      </c>
      <c r="BF2" s="3" t="s">
        <v>2428</v>
      </c>
    </row>
    <row r="3" spans="1:58" ht="13" customHeight="1">
      <c r="BD3" s="3" t="s">
        <v>2520</v>
      </c>
      <c r="BE3" t="str">
        <f>AC220</f>
        <v>Bay Area ((Alameda, Contra Costa, Marin, San Francisco, San Mateo, Santa Clara, and Santa Cruz Counties)</v>
      </c>
    </row>
    <row r="4" spans="1:58" ht="13" customHeight="1">
      <c r="BD4" s="3" t="s">
        <v>2435</v>
      </c>
      <c r="BE4" s="1180"/>
    </row>
    <row r="5" spans="1:58" ht="13" customHeight="1">
      <c r="BD5" s="3" t="s">
        <v>2436</v>
      </c>
      <c r="BE5">
        <f>SUMIF($AC$726:$AC$760,"&lt;=20%",$G$726:G$760)</f>
        <v>0</v>
      </c>
      <c r="BF5" s="3" t="s">
        <v>2441</v>
      </c>
    </row>
    <row r="6" spans="1:58" ht="13" customHeight="1">
      <c r="BD6" s="3" t="s">
        <v>2437</v>
      </c>
      <c r="BE6" s="1183">
        <f>SUMIF($AC$726:$AC$760,"&lt;=25%",$G$726:G$760)-SUM($BE$5:BE5)</f>
        <v>0</v>
      </c>
    </row>
    <row r="7" spans="1:58" ht="13" customHeight="1">
      <c r="BD7" s="1181" t="s">
        <v>2429</v>
      </c>
      <c r="BE7" s="1183">
        <f>SUMIF($AC$726:$AC$760,"&lt;=30%",$G$726:G$760)-SUM($BE$5:BE6)</f>
        <v>23</v>
      </c>
    </row>
    <row r="8" spans="1:58" ht="26.25" customHeight="1">
      <c r="A8" s="1831" t="s">
        <v>100</v>
      </c>
      <c r="B8" s="1831"/>
      <c r="C8" s="1831"/>
      <c r="D8" s="1831"/>
      <c r="E8" s="1831"/>
      <c r="F8" s="1831"/>
      <c r="G8" s="1831"/>
      <c r="H8" s="1831"/>
      <c r="I8" s="1831"/>
      <c r="J8" s="1831"/>
      <c r="K8" s="1831"/>
      <c r="L8" s="1831"/>
      <c r="M8" s="1831"/>
      <c r="N8" s="1831"/>
      <c r="O8" s="1831"/>
      <c r="P8" s="1831"/>
      <c r="Q8" s="1831"/>
      <c r="R8" s="1831"/>
      <c r="S8" s="1831"/>
      <c r="T8" s="1831"/>
      <c r="U8" s="1831"/>
      <c r="V8" s="1831"/>
      <c r="W8" s="1831"/>
      <c r="X8" s="1831"/>
      <c r="Y8" s="1831"/>
      <c r="Z8" s="1831"/>
      <c r="AA8" s="1831"/>
      <c r="AB8" s="1831"/>
      <c r="AC8" s="1831"/>
      <c r="AD8" s="1831"/>
      <c r="AE8" s="1831"/>
      <c r="AF8" s="1831"/>
      <c r="AG8" s="1831"/>
      <c r="AH8" s="1831"/>
      <c r="AI8" s="1831"/>
      <c r="AJ8" s="1831"/>
      <c r="AK8" s="1831"/>
      <c r="AL8" s="1831"/>
      <c r="AM8" s="1831"/>
      <c r="AN8" s="1831"/>
      <c r="AO8" s="1831"/>
      <c r="AP8" s="1831"/>
      <c r="AQ8" s="1831"/>
      <c r="AR8" s="1831"/>
      <c r="AS8" s="1831"/>
      <c r="AT8" s="1831"/>
      <c r="AU8" s="894"/>
      <c r="AV8" s="894"/>
      <c r="AW8" s="894"/>
      <c r="AX8" s="894"/>
      <c r="AY8" s="894"/>
      <c r="BD8" s="3" t="s">
        <v>2438</v>
      </c>
      <c r="BE8" s="1183">
        <f>SUMIF($AC$726:$AC$760,"&lt;=35%",$G$726:G$760)-SUM($BE$5:BE7)</f>
        <v>0</v>
      </c>
    </row>
    <row r="9" spans="1:58" ht="13" customHeight="1">
      <c r="A9" s="1832" t="s">
        <v>2031</v>
      </c>
      <c r="B9" s="1832"/>
      <c r="C9" s="1832"/>
      <c r="D9" s="1832"/>
      <c r="E9" s="1832"/>
      <c r="F9" s="1832"/>
      <c r="G9" s="1832"/>
      <c r="H9" s="1832"/>
      <c r="I9" s="1832"/>
      <c r="J9" s="1832"/>
      <c r="K9" s="1832"/>
      <c r="L9" s="1832"/>
      <c r="M9" s="1832"/>
      <c r="N9" s="1832"/>
      <c r="O9" s="1832"/>
      <c r="P9" s="1832"/>
      <c r="Q9" s="1832"/>
      <c r="R9" s="1832"/>
      <c r="S9" s="1832"/>
      <c r="T9" s="1832"/>
      <c r="U9" s="1832"/>
      <c r="V9" s="1832"/>
      <c r="W9" s="1832"/>
      <c r="X9" s="1832"/>
      <c r="Y9" s="1832"/>
      <c r="Z9" s="1832"/>
      <c r="AA9" s="1832"/>
      <c r="AB9" s="1832"/>
      <c r="AC9" s="1832"/>
      <c r="AD9" s="1832"/>
      <c r="AE9" s="1832"/>
      <c r="AF9" s="1832"/>
      <c r="AG9" s="1832"/>
      <c r="AH9" s="1832"/>
      <c r="AI9" s="1832"/>
      <c r="AJ9" s="1832"/>
      <c r="AK9" s="1832"/>
      <c r="AL9" s="1832"/>
      <c r="AM9" s="1832"/>
      <c r="AN9" s="1832"/>
      <c r="AO9" s="1832"/>
      <c r="AP9" s="1832"/>
      <c r="AQ9" s="1832"/>
      <c r="AR9" s="1832"/>
      <c r="AS9" s="1832"/>
      <c r="AT9" s="1832"/>
      <c r="AU9" s="13"/>
      <c r="AV9" s="13"/>
      <c r="AW9" s="13"/>
      <c r="AX9" s="13"/>
      <c r="AY9" s="13"/>
      <c r="BD9" s="1182" t="s">
        <v>2430</v>
      </c>
      <c r="BE9" s="1183">
        <f>SUMIF($AC$726:$AC$760,"&lt;=40%",$G$726:G$760)-SUM($BE$5:BE8)</f>
        <v>0</v>
      </c>
    </row>
    <row r="10" spans="1:58" ht="13" customHeight="1">
      <c r="A10" s="1832" t="s">
        <v>2604</v>
      </c>
      <c r="B10" s="1832"/>
      <c r="C10" s="1832"/>
      <c r="D10" s="1832"/>
      <c r="E10" s="1832"/>
      <c r="F10" s="1832"/>
      <c r="G10" s="1832"/>
      <c r="H10" s="1832"/>
      <c r="I10" s="1832"/>
      <c r="J10" s="1832"/>
      <c r="K10" s="1832"/>
      <c r="L10" s="1832"/>
      <c r="M10" s="1832"/>
      <c r="N10" s="1832"/>
      <c r="O10" s="1832"/>
      <c r="P10" s="1832"/>
      <c r="Q10" s="1832"/>
      <c r="R10" s="1832"/>
      <c r="S10" s="1832"/>
      <c r="T10" s="1832"/>
      <c r="U10" s="1832"/>
      <c r="V10" s="1832"/>
      <c r="W10" s="1832"/>
      <c r="X10" s="1832"/>
      <c r="Y10" s="1832"/>
      <c r="Z10" s="1832"/>
      <c r="AA10" s="1832"/>
      <c r="AB10" s="1832"/>
      <c r="AC10" s="1832"/>
      <c r="AD10" s="1832"/>
      <c r="AE10" s="1832"/>
      <c r="AF10" s="1832"/>
      <c r="AG10" s="1832"/>
      <c r="AH10" s="1832"/>
      <c r="AI10" s="1832"/>
      <c r="AJ10" s="1832"/>
      <c r="AK10" s="1832"/>
      <c r="AL10" s="1832"/>
      <c r="AM10" s="1832"/>
      <c r="AN10" s="1832"/>
      <c r="AO10" s="1832"/>
      <c r="AP10" s="1832"/>
      <c r="AQ10" s="1832"/>
      <c r="AR10" s="1832"/>
      <c r="AS10" s="1832"/>
      <c r="AT10" s="1832"/>
      <c r="AU10" s="13"/>
      <c r="AV10" s="13"/>
      <c r="AW10" s="13"/>
      <c r="AX10" s="13"/>
      <c r="AY10" s="13"/>
      <c r="BD10" s="3" t="s">
        <v>2439</v>
      </c>
      <c r="BE10" s="1183">
        <f>SUMIF($AC$726:$AC$760,"&lt;=45%",$G$726:G$760)-SUM($BE$5:BE9)</f>
        <v>0</v>
      </c>
    </row>
    <row r="11" spans="1:58" ht="13" customHeight="1">
      <c r="A11" s="1832" t="s">
        <v>2528</v>
      </c>
      <c r="B11" s="1832"/>
      <c r="C11" s="1832"/>
      <c r="D11" s="1832"/>
      <c r="E11" s="1832"/>
      <c r="F11" s="1832"/>
      <c r="G11" s="1832"/>
      <c r="H11" s="1832"/>
      <c r="I11" s="1832"/>
      <c r="J11" s="1832"/>
      <c r="K11" s="1832"/>
      <c r="L11" s="1832"/>
      <c r="M11" s="1832"/>
      <c r="N11" s="1832"/>
      <c r="O11" s="1832"/>
      <c r="P11" s="1832"/>
      <c r="Q11" s="1832"/>
      <c r="R11" s="1832"/>
      <c r="S11" s="1832"/>
      <c r="T11" s="1832"/>
      <c r="U11" s="1832"/>
      <c r="V11" s="1832"/>
      <c r="W11" s="1832"/>
      <c r="X11" s="1832"/>
      <c r="Y11" s="1832"/>
      <c r="Z11" s="1832"/>
      <c r="AA11" s="1832"/>
      <c r="AB11" s="1832"/>
      <c r="AC11" s="1832"/>
      <c r="AD11" s="1832"/>
      <c r="AE11" s="1832"/>
      <c r="AF11" s="1832"/>
      <c r="AG11" s="1832"/>
      <c r="AH11" s="1832"/>
      <c r="AI11" s="1832"/>
      <c r="AJ11" s="1832"/>
      <c r="AK11" s="1832"/>
      <c r="AL11" s="1832"/>
      <c r="AM11" s="1832"/>
      <c r="AN11" s="1832"/>
      <c r="AO11" s="1832"/>
      <c r="AP11" s="1832"/>
      <c r="AQ11" s="1832"/>
      <c r="AR11" s="1832"/>
      <c r="AS11" s="1832"/>
      <c r="AT11" s="1832"/>
      <c r="AU11" s="13"/>
      <c r="AV11" s="13"/>
      <c r="AW11" s="13"/>
      <c r="AX11" s="13"/>
      <c r="AY11" s="13"/>
      <c r="BD11" s="1181" t="s">
        <v>2431</v>
      </c>
      <c r="BE11" s="1183">
        <f>SUMIF($AC$726:$AC$760,"&lt;=50%",$G$726:G$760)-SUM($BE$5:BE10)</f>
        <v>27</v>
      </c>
    </row>
    <row r="12" spans="1:58" ht="13" customHeight="1">
      <c r="A12" s="1833" t="s">
        <v>2641</v>
      </c>
      <c r="B12" s="1833"/>
      <c r="C12" s="1833"/>
      <c r="D12" s="1833"/>
      <c r="E12" s="1833"/>
      <c r="F12" s="1833"/>
      <c r="G12" s="1833"/>
      <c r="H12" s="1833"/>
      <c r="I12" s="1833"/>
      <c r="J12" s="1833"/>
      <c r="K12" s="1833"/>
      <c r="L12" s="1833"/>
      <c r="M12" s="1833"/>
      <c r="N12" s="1833"/>
      <c r="O12" s="1833"/>
      <c r="P12" s="1833"/>
      <c r="Q12" s="1833"/>
      <c r="R12" s="1833"/>
      <c r="S12" s="1833"/>
      <c r="T12" s="1833"/>
      <c r="U12" s="1833"/>
      <c r="V12" s="1833"/>
      <c r="W12" s="1833"/>
      <c r="X12" s="1833"/>
      <c r="Y12" s="1833"/>
      <c r="Z12" s="1833"/>
      <c r="AA12" s="1833"/>
      <c r="AB12" s="1833"/>
      <c r="AC12" s="1833"/>
      <c r="AD12" s="1833"/>
      <c r="AE12" s="1833"/>
      <c r="AF12" s="1833"/>
      <c r="AG12" s="1833"/>
      <c r="AH12" s="1833"/>
      <c r="AI12" s="1833"/>
      <c r="AJ12" s="1833"/>
      <c r="AK12" s="1833"/>
      <c r="AL12" s="1833"/>
      <c r="AM12" s="1833"/>
      <c r="AN12" s="1833"/>
      <c r="AO12" s="1833"/>
      <c r="AP12" s="1833"/>
      <c r="AQ12" s="1833"/>
      <c r="AR12" s="1833"/>
      <c r="AS12" s="1833"/>
      <c r="AT12" s="1833"/>
      <c r="AU12" s="6"/>
      <c r="AV12" s="6"/>
      <c r="AW12" s="6"/>
      <c r="AX12" s="6"/>
      <c r="AY12" s="6"/>
      <c r="BD12" s="3" t="s">
        <v>2440</v>
      </c>
      <c r="BE12" s="1183">
        <f>SUMIF($AC$726:$AC$760,"&lt;=55%",$G$726:G$760)-SUM($BE$5:BE11)</f>
        <v>0</v>
      </c>
    </row>
    <row r="13" spans="1:58" ht="13" customHeight="1">
      <c r="A13" s="1276" t="s">
        <v>2032</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895"/>
      <c r="AV13" s="895"/>
      <c r="AW13" s="895"/>
      <c r="AX13" s="895"/>
      <c r="AY13" s="895"/>
      <c r="BD13" s="1182" t="s">
        <v>2432</v>
      </c>
      <c r="BE13" s="1183">
        <f>SUMIF($AC$726:$AC$760,"&lt;=60%",$G$726:G$760)-SUM($BE$5:BE12)</f>
        <v>34</v>
      </c>
    </row>
    <row r="14" spans="1:58" ht="13"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895"/>
      <c r="AV14" s="895"/>
      <c r="AW14" s="895"/>
      <c r="AX14" s="895"/>
      <c r="AY14" s="895"/>
      <c r="BD14" s="1181" t="s">
        <v>2433</v>
      </c>
      <c r="BE14" s="1183">
        <f>SUMIF($AC$726:$AC$760,"&lt;=70%",$G$726:G$760)-SUM($BE$5:BE13)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2434</v>
      </c>
      <c r="BE15" s="1183">
        <f>SUMIF($AC$726:$AC$760,"&lt;=80%",$G$726:G$760)-SUM($BE$5:BE14)</f>
        <v>46</v>
      </c>
    </row>
    <row r="16" spans="1:58" ht="13" customHeight="1">
      <c r="A16" s="57" t="s">
        <v>2033</v>
      </c>
      <c r="C16" s="4"/>
      <c r="D16" s="4"/>
      <c r="E16" s="4"/>
      <c r="F16" s="4"/>
      <c r="G16" s="4"/>
      <c r="H16" s="1575" t="s">
        <v>2644</v>
      </c>
      <c r="I16" s="1552"/>
      <c r="J16" s="1552"/>
      <c r="K16" s="1552"/>
      <c r="L16" s="1552"/>
      <c r="M16" s="1552"/>
      <c r="N16" s="1552"/>
      <c r="O16" s="1552"/>
      <c r="P16" s="1552"/>
      <c r="Q16" s="1552"/>
      <c r="R16" s="1552"/>
      <c r="S16" s="1552"/>
      <c r="T16" s="1552"/>
      <c r="U16" s="1552"/>
      <c r="V16" s="1552"/>
      <c r="W16" s="1552"/>
      <c r="X16" s="1552"/>
      <c r="Y16" s="1552"/>
      <c r="Z16" s="1552"/>
      <c r="AA16" s="1552"/>
      <c r="AB16" s="1552"/>
      <c r="AC16" s="1552"/>
      <c r="AD16" s="1552"/>
      <c r="AE16" s="1552"/>
      <c r="AF16" s="1552"/>
      <c r="AG16" s="1552"/>
      <c r="AH16" s="1552"/>
      <c r="AI16" s="1552"/>
      <c r="AJ16" s="1552"/>
      <c r="BD16" s="1182" t="s">
        <v>655</v>
      </c>
      <c r="BE16" s="1183" t="str">
        <f>Application!H18</f>
        <v>Bella Village Apartments</v>
      </c>
    </row>
    <row r="17" spans="1:58" ht="13" customHeight="1">
      <c r="BD17" s="1181" t="s">
        <v>2446</v>
      </c>
      <c r="BE17" s="1183">
        <f>Application!AA943</f>
        <v>0</v>
      </c>
    </row>
    <row r="18" spans="1:58" ht="13" customHeight="1">
      <c r="A18" s="57" t="s">
        <v>101</v>
      </c>
      <c r="C18" s="4"/>
      <c r="D18" s="4"/>
      <c r="E18" s="4"/>
      <c r="F18" s="4"/>
      <c r="G18" s="4"/>
      <c r="H18" s="1528" t="s">
        <v>2645</v>
      </c>
      <c r="I18" s="1530"/>
      <c r="J18" s="1530"/>
      <c r="K18" s="1530"/>
      <c r="L18" s="1530"/>
      <c r="M18" s="1530"/>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BD18" s="1182" t="s">
        <v>2447</v>
      </c>
      <c r="BE18" s="1183">
        <f>AA943</f>
        <v>0</v>
      </c>
    </row>
    <row r="19" spans="1:58" ht="13" customHeight="1">
      <c r="BD19" s="1181" t="s">
        <v>2448</v>
      </c>
      <c r="BE19" s="1183">
        <f>Application!M26</f>
        <v>3449200</v>
      </c>
    </row>
    <row r="20" spans="1:58" ht="13" customHeight="1">
      <c r="A20" s="1834" t="s">
        <v>872</v>
      </c>
      <c r="B20" s="1834"/>
      <c r="C20" s="1834"/>
      <c r="D20" s="1834"/>
      <c r="E20" s="1834"/>
      <c r="F20" s="1834"/>
      <c r="G20" s="1834"/>
      <c r="H20" s="1834"/>
      <c r="I20" s="1834"/>
      <c r="J20" s="1834"/>
      <c r="K20" s="1834"/>
      <c r="L20" s="1834"/>
      <c r="M20" s="1834"/>
      <c r="N20" s="1834"/>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c r="AL20" s="1834"/>
      <c r="AM20" s="1834"/>
      <c r="AN20" s="1834"/>
      <c r="AO20" s="1834"/>
      <c r="AP20" s="1834"/>
      <c r="AQ20" s="1834"/>
      <c r="AR20" s="1834"/>
      <c r="AS20" s="1834"/>
      <c r="AT20" s="1834"/>
      <c r="AU20" s="896"/>
      <c r="AV20" s="896"/>
      <c r="AW20" s="896"/>
      <c r="AX20" s="896"/>
      <c r="AY20" s="896"/>
      <c r="BD20" s="1182" t="s">
        <v>2449</v>
      </c>
      <c r="BE20" s="1183">
        <f>Application!M27</f>
        <v>6138843</v>
      </c>
    </row>
    <row r="21" spans="1:58" ht="13" customHeight="1">
      <c r="A21" s="1847" t="s">
        <v>1007</v>
      </c>
      <c r="B21" s="1847"/>
      <c r="C21" s="1847"/>
      <c r="D21" s="1847"/>
      <c r="E21" s="1847"/>
      <c r="F21" s="1847"/>
      <c r="G21" s="1847"/>
      <c r="H21" s="1847"/>
      <c r="I21" s="1847"/>
      <c r="J21" s="1847"/>
      <c r="K21" s="1847"/>
      <c r="L21" s="1847"/>
      <c r="M21" s="1847"/>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c r="AL21" s="1847"/>
      <c r="AM21" s="897"/>
      <c r="AN21" s="897"/>
      <c r="AO21" s="897"/>
      <c r="AP21" s="897"/>
      <c r="AQ21" s="897"/>
      <c r="AR21" s="897"/>
      <c r="AS21" s="897"/>
      <c r="AT21" s="897"/>
      <c r="AU21" s="897"/>
      <c r="AV21" s="897"/>
      <c r="AW21" s="897"/>
      <c r="AX21" s="897"/>
      <c r="AY21" s="897"/>
      <c r="BD21" s="1181" t="s">
        <v>2450</v>
      </c>
      <c r="BE21" s="1183">
        <f>Application!AM562</f>
        <v>18240960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282</v>
      </c>
      <c r="BE22" s="1183">
        <f>'Sources and Uses Budget'!B105</f>
        <v>67459439</v>
      </c>
      <c r="BF22" s="3" t="s">
        <v>2521</v>
      </c>
    </row>
    <row r="23" spans="1:58" ht="13" customHeight="1">
      <c r="A23" s="1332" t="s">
        <v>2099</v>
      </c>
      <c r="B23" s="1332"/>
      <c r="C23" s="1332"/>
      <c r="D23" s="1332"/>
      <c r="E23" s="1332"/>
      <c r="F23" s="1332"/>
      <c r="G23" s="1332"/>
      <c r="H23" s="1332"/>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c r="AL23" s="1332"/>
      <c r="AM23" s="1332"/>
      <c r="AN23" s="1332"/>
      <c r="AO23" s="1332"/>
      <c r="AP23" s="1332"/>
      <c r="AQ23" s="1332"/>
      <c r="AR23" s="1332"/>
      <c r="AS23" s="1332"/>
      <c r="AT23" s="1332"/>
      <c r="AU23" s="18"/>
      <c r="AV23" s="18"/>
      <c r="AW23" s="18"/>
      <c r="AX23" s="18"/>
      <c r="AY23" s="18"/>
      <c r="AZ23" s="18"/>
      <c r="BD23" s="1181" t="s">
        <v>2451</v>
      </c>
      <c r="BE23" s="1183">
        <f>'Sources and Uses Budget'!B4</f>
        <v>0</v>
      </c>
    </row>
    <row r="24" spans="1:58" ht="13" customHeight="1">
      <c r="A24" s="1332"/>
      <c r="B24" s="1332"/>
      <c r="C24" s="1332"/>
      <c r="D24" s="1332"/>
      <c r="E24" s="1332"/>
      <c r="F24" s="1332"/>
      <c r="G24" s="1332"/>
      <c r="H24" s="1332"/>
      <c r="I24" s="1332"/>
      <c r="J24" s="1332"/>
      <c r="K24" s="1332"/>
      <c r="L24" s="1332"/>
      <c r="M24" s="1332"/>
      <c r="N24" s="1332"/>
      <c r="O24" s="1332"/>
      <c r="P24" s="1332"/>
      <c r="Q24" s="1332"/>
      <c r="R24" s="1332"/>
      <c r="S24" s="1332"/>
      <c r="T24" s="1332"/>
      <c r="U24" s="1332"/>
      <c r="V24" s="1332"/>
      <c r="W24" s="1332"/>
      <c r="X24" s="1332"/>
      <c r="Y24" s="1332"/>
      <c r="Z24" s="1332"/>
      <c r="AA24" s="1332"/>
      <c r="AB24" s="1332"/>
      <c r="AC24" s="1332"/>
      <c r="AD24" s="1332"/>
      <c r="AE24" s="1332"/>
      <c r="AF24" s="1332"/>
      <c r="AG24" s="1332"/>
      <c r="AH24" s="1332"/>
      <c r="AI24" s="1332"/>
      <c r="AJ24" s="1332"/>
      <c r="AK24" s="1332"/>
      <c r="AL24" s="1332"/>
      <c r="AM24" s="1332"/>
      <c r="AN24" s="1332"/>
      <c r="AO24" s="1332"/>
      <c r="AP24" s="1332"/>
      <c r="AQ24" s="1332"/>
      <c r="AR24" s="1332"/>
      <c r="AS24" s="1332"/>
      <c r="AT24" s="1332"/>
      <c r="AU24" s="18"/>
      <c r="AV24" s="18"/>
      <c r="AW24" s="18"/>
      <c r="AX24" s="18"/>
      <c r="AY24" s="18"/>
      <c r="AZ24" s="18"/>
      <c r="BD24" s="1182" t="s">
        <v>2452</v>
      </c>
      <c r="BE24" s="1183">
        <f>Application!AG459</f>
        <v>155911</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2453</v>
      </c>
      <c r="BE25" s="1183" t="str">
        <f>Application!D208</f>
        <v>40%/60% Average Income</v>
      </c>
    </row>
    <row r="26" spans="1:58" ht="13" customHeight="1">
      <c r="A26" s="4"/>
      <c r="C26" s="4"/>
      <c r="D26" s="4"/>
      <c r="E26" s="4"/>
      <c r="F26" s="4"/>
      <c r="G26" s="4"/>
      <c r="H26" s="4"/>
      <c r="I26" s="4"/>
      <c r="J26" s="4"/>
      <c r="K26" s="4"/>
      <c r="L26" s="4"/>
      <c r="M26" s="1836">
        <f>'Basis &amp; Credits'!AB56</f>
        <v>3449200</v>
      </c>
      <c r="N26" s="1836"/>
      <c r="O26" s="1836"/>
      <c r="P26" s="1836"/>
      <c r="Q26" s="1836"/>
      <c r="R26" s="4" t="s">
        <v>758</v>
      </c>
      <c r="S26" s="4"/>
      <c r="T26" s="4"/>
      <c r="U26" s="4"/>
      <c r="V26" s="4"/>
      <c r="W26" s="4"/>
      <c r="X26" s="4"/>
      <c r="Y26" s="4"/>
      <c r="Z26" s="4"/>
      <c r="AF26" s="4"/>
      <c r="AG26" s="4"/>
      <c r="AH26" s="4"/>
      <c r="AI26" s="4"/>
      <c r="AJ26" s="4"/>
      <c r="AK26" s="4"/>
      <c r="BD26" s="1182" t="s">
        <v>1626</v>
      </c>
      <c r="BE26" s="1183" t="b">
        <f>Application!M365="Yes"</f>
        <v>0</v>
      </c>
    </row>
    <row r="27" spans="1:58" ht="13" customHeight="1">
      <c r="A27" s="4"/>
      <c r="C27" s="4"/>
      <c r="D27" s="4"/>
      <c r="E27" s="4"/>
      <c r="F27" s="4"/>
      <c r="G27" s="4"/>
      <c r="H27" s="4"/>
      <c r="I27" s="4"/>
      <c r="J27" s="4"/>
      <c r="K27" s="4"/>
      <c r="L27" s="4"/>
      <c r="M27" s="1366">
        <f>'Basis &amp; Credits'!AB78</f>
        <v>6138843</v>
      </c>
      <c r="N27" s="1366"/>
      <c r="O27" s="1366"/>
      <c r="P27" s="1366"/>
      <c r="Q27" s="1366"/>
      <c r="R27" s="3" t="s">
        <v>1265</v>
      </c>
      <c r="S27" s="4"/>
      <c r="T27" s="4"/>
      <c r="U27" s="4"/>
      <c r="V27" s="4"/>
      <c r="W27" s="4"/>
      <c r="X27" s="4"/>
      <c r="Y27" s="4"/>
      <c r="Z27" s="4"/>
      <c r="AF27" s="4"/>
      <c r="AG27" s="4"/>
      <c r="AH27" s="4"/>
      <c r="AI27" s="4"/>
      <c r="AJ27" s="4"/>
      <c r="AK27" s="4"/>
      <c r="BD27" s="1181" t="s">
        <v>2052</v>
      </c>
      <c r="BE27" s="1183" t="b">
        <f>Application!M364="Yes"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2454</v>
      </c>
      <c r="BE28" s="1183" t="b">
        <f>Application!M366="Yes"</f>
        <v>0</v>
      </c>
    </row>
    <row r="29" spans="1:58" ht="13" customHeight="1">
      <c r="A29" s="1545" t="s">
        <v>2100</v>
      </c>
      <c r="B29" s="1545"/>
      <c r="C29" s="1545"/>
      <c r="D29" s="1545"/>
      <c r="E29" s="1545"/>
      <c r="F29" s="1545"/>
      <c r="G29" s="1545"/>
      <c r="H29" s="1545"/>
      <c r="I29" s="1545"/>
      <c r="J29" s="1545"/>
      <c r="K29" s="1545"/>
      <c r="L29" s="1545"/>
      <c r="M29" s="1545"/>
      <c r="N29" s="1545"/>
      <c r="O29" s="1545"/>
      <c r="P29" s="1545"/>
      <c r="Q29" s="1545"/>
      <c r="R29" s="1545"/>
      <c r="S29" s="1545"/>
      <c r="T29" s="1545"/>
      <c r="U29" s="1545"/>
      <c r="V29" s="1545"/>
      <c r="W29" s="1545"/>
      <c r="X29" s="1545"/>
      <c r="Y29" s="1545"/>
      <c r="Z29" s="1545"/>
      <c r="AA29" s="1545"/>
      <c r="AB29" s="1545"/>
      <c r="AC29" s="1545"/>
      <c r="AD29" s="1545"/>
      <c r="AE29" s="1545"/>
      <c r="AF29" s="1545"/>
      <c r="AG29" s="1545"/>
      <c r="AH29" s="1545"/>
      <c r="AI29" s="1545"/>
      <c r="AJ29" s="1545"/>
      <c r="AK29" s="1545"/>
      <c r="AL29" s="1545"/>
      <c r="AM29" s="1545"/>
      <c r="AN29" s="1545"/>
      <c r="AO29" s="1545"/>
      <c r="AP29" s="1545"/>
      <c r="AQ29" s="1545"/>
      <c r="AR29" s="1545"/>
      <c r="AS29" s="1545"/>
      <c r="AT29" s="1545"/>
      <c r="BD29" s="1181" t="s">
        <v>2455</v>
      </c>
      <c r="BE29" s="1183" t="b">
        <f>Application!M367="Yes"</f>
        <v>0</v>
      </c>
    </row>
    <row r="30" spans="1:58" ht="13" customHeight="1">
      <c r="A30" s="1545"/>
      <c r="B30" s="1545"/>
      <c r="C30" s="1545"/>
      <c r="D30" s="1545"/>
      <c r="E30" s="1545"/>
      <c r="F30" s="1545"/>
      <c r="G30" s="1545"/>
      <c r="H30" s="1545"/>
      <c r="I30" s="1545"/>
      <c r="J30" s="1545"/>
      <c r="K30" s="1545"/>
      <c r="L30" s="1545"/>
      <c r="M30" s="1545"/>
      <c r="N30" s="1545"/>
      <c r="O30" s="1545"/>
      <c r="P30" s="1545"/>
      <c r="Q30" s="1545"/>
      <c r="R30" s="1545"/>
      <c r="S30" s="1545"/>
      <c r="T30" s="1545"/>
      <c r="U30" s="1545"/>
      <c r="V30" s="1545"/>
      <c r="W30" s="1545"/>
      <c r="X30" s="1545"/>
      <c r="Y30" s="1545"/>
      <c r="Z30" s="1545"/>
      <c r="AA30" s="1545"/>
      <c r="AB30" s="1545"/>
      <c r="AC30" s="1545"/>
      <c r="AD30" s="1545"/>
      <c r="AE30" s="1545"/>
      <c r="AF30" s="1545"/>
      <c r="AG30" s="1545"/>
      <c r="AH30" s="1545"/>
      <c r="AI30" s="1545"/>
      <c r="AJ30" s="1545"/>
      <c r="AK30" s="1545"/>
      <c r="AL30" s="1545"/>
      <c r="AM30" s="1545"/>
      <c r="AN30" s="1545"/>
      <c r="AO30" s="1545"/>
      <c r="AP30" s="1545"/>
      <c r="AQ30" s="1545"/>
      <c r="AR30" s="1545"/>
      <c r="AS30" s="1545"/>
      <c r="AT30" s="1545"/>
      <c r="AZ30" s="20"/>
      <c r="BD30" s="1182" t="s">
        <v>28</v>
      </c>
      <c r="BE30" s="1183" t="b">
        <f>Application!AJ364="Yes"</f>
        <v>1</v>
      </c>
    </row>
    <row r="31" spans="1:58" ht="13" customHeight="1">
      <c r="A31" s="1545"/>
      <c r="B31" s="1545"/>
      <c r="C31" s="1545"/>
      <c r="D31" s="1545"/>
      <c r="E31" s="1545"/>
      <c r="F31" s="1545"/>
      <c r="G31" s="1545"/>
      <c r="H31" s="1545"/>
      <c r="I31" s="1545"/>
      <c r="J31" s="1545"/>
      <c r="K31" s="1545"/>
      <c r="L31" s="1545"/>
      <c r="M31" s="1545"/>
      <c r="N31" s="1545"/>
      <c r="O31" s="1545"/>
      <c r="P31" s="1545"/>
      <c r="Q31" s="1545"/>
      <c r="R31" s="1545"/>
      <c r="S31" s="1545"/>
      <c r="T31" s="1545"/>
      <c r="U31" s="1545"/>
      <c r="V31" s="1545"/>
      <c r="W31" s="1545"/>
      <c r="X31" s="1545"/>
      <c r="Y31" s="1545"/>
      <c r="Z31" s="1545"/>
      <c r="AA31" s="1545"/>
      <c r="AB31" s="1545"/>
      <c r="AC31" s="1545"/>
      <c r="AD31" s="1545"/>
      <c r="AE31" s="1545"/>
      <c r="AF31" s="1545"/>
      <c r="AG31" s="1545"/>
      <c r="AH31" s="1545"/>
      <c r="AI31" s="1545"/>
      <c r="AJ31" s="1545"/>
      <c r="AK31" s="1545"/>
      <c r="AL31" s="1545"/>
      <c r="AM31" s="1545"/>
      <c r="AN31" s="1545"/>
      <c r="AO31" s="1545"/>
      <c r="AP31" s="1545"/>
      <c r="AQ31" s="1545"/>
      <c r="AR31" s="1545"/>
      <c r="AS31" s="1545"/>
      <c r="AT31" s="1545"/>
      <c r="AU31" s="20"/>
      <c r="AV31" s="20"/>
      <c r="AW31" s="20"/>
      <c r="AX31" s="20"/>
      <c r="AY31" s="20"/>
      <c r="AZ31" s="20"/>
      <c r="BD31" s="1181" t="s">
        <v>2456</v>
      </c>
      <c r="BE31" s="1183" t="str">
        <f>Application!D211</f>
        <v>Large Family</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2457</v>
      </c>
      <c r="BE32" s="1183">
        <f>IF(ISNUMBER(Application!W473),W473,0)</f>
        <v>0</v>
      </c>
    </row>
    <row r="33" spans="1:57" ht="13" hidden="1" customHeight="1">
      <c r="A33" s="519" t="s">
        <v>1276</v>
      </c>
      <c r="C33" s="519"/>
      <c r="D33" s="519"/>
      <c r="E33" s="519"/>
      <c r="F33" s="519"/>
      <c r="G33" s="519"/>
      <c r="H33" s="519"/>
      <c r="I33" s="519"/>
      <c r="J33" s="519"/>
      <c r="K33" s="519"/>
      <c r="L33" s="519"/>
      <c r="M33" s="519"/>
      <c r="N33" s="519"/>
      <c r="O33" s="1409" t="s">
        <v>668</v>
      </c>
      <c r="P33" s="1409"/>
      <c r="Q33" s="1835" t="s">
        <v>2101</v>
      </c>
      <c r="R33" s="1835"/>
      <c r="S33" s="1835"/>
      <c r="T33" s="1835"/>
      <c r="U33" s="1835"/>
      <c r="V33" s="1835"/>
      <c r="W33" s="1835"/>
      <c r="X33" s="1835"/>
      <c r="Y33" s="1835"/>
      <c r="Z33" s="1835"/>
      <c r="AA33" s="1835"/>
      <c r="AB33" s="1835"/>
      <c r="AC33" s="1835"/>
      <c r="AD33" s="1835"/>
      <c r="AE33" s="1835"/>
      <c r="AF33" s="1835"/>
      <c r="AG33" s="1835"/>
      <c r="AH33" s="1835"/>
      <c r="AI33" s="1835"/>
      <c r="AJ33" s="1835"/>
      <c r="AK33" s="1835"/>
      <c r="AL33" s="1835"/>
      <c r="AM33" s="1835"/>
      <c r="AN33" s="1835"/>
      <c r="AO33" s="1835"/>
      <c r="AP33" s="1835"/>
      <c r="AQ33" s="1835"/>
      <c r="AR33" s="1835"/>
      <c r="AS33" s="1835"/>
      <c r="AT33" s="1835"/>
      <c r="AU33" s="20"/>
      <c r="AV33" s="20"/>
      <c r="AW33" s="20"/>
      <c r="AX33" s="20"/>
      <c r="AY33" s="20"/>
      <c r="BD33" s="1181" t="s">
        <v>2522</v>
      </c>
      <c r="BE33" s="1183" t="str">
        <f>Application!D220</f>
        <v>East Bay Region: Alameda and Contra Costa Counties</v>
      </c>
    </row>
    <row r="34" spans="1:57" ht="13" hidden="1" customHeight="1">
      <c r="A34" s="1545" t="s">
        <v>2102</v>
      </c>
      <c r="B34" s="1545"/>
      <c r="C34" s="1545"/>
      <c r="D34" s="1545"/>
      <c r="E34" s="1545"/>
      <c r="F34" s="1545"/>
      <c r="G34" s="1545"/>
      <c r="H34" s="1545"/>
      <c r="I34" s="1545"/>
      <c r="J34" s="1545"/>
      <c r="K34" s="1545"/>
      <c r="L34" s="1545"/>
      <c r="M34" s="1545"/>
      <c r="N34" s="1545"/>
      <c r="O34" s="1545"/>
      <c r="P34" s="1545"/>
      <c r="Q34" s="1545"/>
      <c r="R34" s="1545"/>
      <c r="S34" s="1545"/>
      <c r="T34" s="1545"/>
      <c r="U34" s="1545"/>
      <c r="V34" s="1545"/>
      <c r="W34" s="1545"/>
      <c r="X34" s="1545"/>
      <c r="Y34" s="1545"/>
      <c r="Z34" s="1545"/>
      <c r="AA34" s="1545"/>
      <c r="AB34" s="1545"/>
      <c r="AC34" s="1545"/>
      <c r="AD34" s="1545"/>
      <c r="AE34" s="1545"/>
      <c r="AF34" s="1545"/>
      <c r="AG34" s="1545"/>
      <c r="AH34" s="1545"/>
      <c r="AI34" s="1545"/>
      <c r="AJ34" s="1545"/>
      <c r="AK34" s="1545"/>
      <c r="AL34" s="1545"/>
      <c r="AM34" s="1545"/>
      <c r="AN34" s="1545"/>
      <c r="AO34" s="1545"/>
      <c r="AP34" s="1545"/>
      <c r="AQ34" s="1545"/>
      <c r="AR34" s="1545"/>
      <c r="AS34" s="1545"/>
      <c r="AT34" s="1545"/>
      <c r="AU34" s="20"/>
      <c r="AV34" s="20"/>
      <c r="AW34" s="20"/>
      <c r="AX34" s="20"/>
      <c r="AY34" s="20"/>
      <c r="AZ34" s="20"/>
      <c r="BD34" s="1182" t="s">
        <v>2458</v>
      </c>
      <c r="BE34" s="1183" t="str">
        <f>Application!I185</f>
        <v>2233 San Ramon Valley Boulevard</v>
      </c>
    </row>
    <row r="35" spans="1:57" ht="13" hidden="1" customHeight="1">
      <c r="A35" s="1545"/>
      <c r="B35" s="1545"/>
      <c r="C35" s="1545"/>
      <c r="D35" s="1545"/>
      <c r="E35" s="1545"/>
      <c r="F35" s="1545"/>
      <c r="G35" s="1545"/>
      <c r="H35" s="1545"/>
      <c r="I35" s="1545"/>
      <c r="J35" s="1545"/>
      <c r="K35" s="1545"/>
      <c r="L35" s="1545"/>
      <c r="M35" s="1545"/>
      <c r="N35" s="1545"/>
      <c r="O35" s="1545"/>
      <c r="P35" s="1545"/>
      <c r="Q35" s="1545"/>
      <c r="R35" s="1545"/>
      <c r="S35" s="1545"/>
      <c r="T35" s="1545"/>
      <c r="U35" s="1545"/>
      <c r="V35" s="1545"/>
      <c r="W35" s="1545"/>
      <c r="X35" s="1545"/>
      <c r="Y35" s="1545"/>
      <c r="Z35" s="1545"/>
      <c r="AA35" s="1545"/>
      <c r="AB35" s="1545"/>
      <c r="AC35" s="1545"/>
      <c r="AD35" s="1545"/>
      <c r="AE35" s="1545"/>
      <c r="AF35" s="1545"/>
      <c r="AG35" s="1545"/>
      <c r="AH35" s="1545"/>
      <c r="AI35" s="1545"/>
      <c r="AJ35" s="1545"/>
      <c r="AK35" s="1545"/>
      <c r="AL35" s="1545"/>
      <c r="AM35" s="1545"/>
      <c r="AN35" s="1545"/>
      <c r="AO35" s="1545"/>
      <c r="AP35" s="1545"/>
      <c r="AQ35" s="1545"/>
      <c r="AR35" s="1545"/>
      <c r="AS35" s="1545"/>
      <c r="AT35" s="1545"/>
      <c r="AU35" s="20"/>
      <c r="AV35" s="20"/>
      <c r="AW35" s="20"/>
      <c r="AX35" s="20"/>
      <c r="AY35" s="20"/>
      <c r="AZ35" s="20"/>
      <c r="BD35" s="1181" t="s">
        <v>2459</v>
      </c>
      <c r="BE35" s="1183" t="str">
        <f>IF(Application!E187="","",Application!E187)</f>
        <v/>
      </c>
    </row>
    <row r="36" spans="1:57" ht="13" hidden="1" customHeight="1">
      <c r="A36" s="1545"/>
      <c r="B36" s="1545"/>
      <c r="C36" s="1545"/>
      <c r="D36" s="1545"/>
      <c r="E36" s="1545"/>
      <c r="F36" s="1545"/>
      <c r="G36" s="1545"/>
      <c r="H36" s="1545"/>
      <c r="I36" s="1545"/>
      <c r="J36" s="1545"/>
      <c r="K36" s="1545"/>
      <c r="L36" s="1545"/>
      <c r="M36" s="1545"/>
      <c r="N36" s="1545"/>
      <c r="O36" s="1545"/>
      <c r="P36" s="1545"/>
      <c r="Q36" s="1545"/>
      <c r="R36" s="1545"/>
      <c r="S36" s="1545"/>
      <c r="T36" s="1545"/>
      <c r="U36" s="1545"/>
      <c r="V36" s="1545"/>
      <c r="W36" s="1545"/>
      <c r="X36" s="1545"/>
      <c r="Y36" s="1545"/>
      <c r="Z36" s="1545"/>
      <c r="AA36" s="1545"/>
      <c r="AB36" s="1545"/>
      <c r="AC36" s="1545"/>
      <c r="AD36" s="1545"/>
      <c r="AE36" s="1545"/>
      <c r="AF36" s="1545"/>
      <c r="AG36" s="1545"/>
      <c r="AH36" s="1545"/>
      <c r="AI36" s="1545"/>
      <c r="AJ36" s="1545"/>
      <c r="AK36" s="1545"/>
      <c r="AL36" s="1545"/>
      <c r="AM36" s="1545"/>
      <c r="AN36" s="1545"/>
      <c r="AO36" s="1545"/>
      <c r="AP36" s="1545"/>
      <c r="AQ36" s="1545"/>
      <c r="AR36" s="1545"/>
      <c r="AS36" s="1545"/>
      <c r="AT36" s="1545"/>
      <c r="AU36" s="20"/>
      <c r="AV36" s="20"/>
      <c r="AW36" s="20"/>
      <c r="AX36" s="20"/>
      <c r="AY36" s="20"/>
      <c r="AZ36" s="20"/>
      <c r="BD36" s="1182" t="s">
        <v>2460</v>
      </c>
      <c r="BE36" s="1183" t="str">
        <f>Application!I189</f>
        <v>San Ramon</v>
      </c>
    </row>
    <row r="37" spans="1:57" ht="13" hidden="1" customHeight="1">
      <c r="A37" s="1545"/>
      <c r="B37" s="1545"/>
      <c r="C37" s="1545"/>
      <c r="D37" s="1545"/>
      <c r="E37" s="1545"/>
      <c r="F37" s="1545"/>
      <c r="G37" s="1545"/>
      <c r="H37" s="1545"/>
      <c r="I37" s="1545"/>
      <c r="J37" s="1545"/>
      <c r="K37" s="1545"/>
      <c r="L37" s="1545"/>
      <c r="M37" s="1545"/>
      <c r="N37" s="1545"/>
      <c r="O37" s="1545"/>
      <c r="P37" s="1545"/>
      <c r="Q37" s="1545"/>
      <c r="R37" s="1545"/>
      <c r="S37" s="1545"/>
      <c r="T37" s="1545"/>
      <c r="U37" s="1545"/>
      <c r="V37" s="1545"/>
      <c r="W37" s="1545"/>
      <c r="X37" s="1545"/>
      <c r="Y37" s="1545"/>
      <c r="Z37" s="1545"/>
      <c r="AA37" s="1545"/>
      <c r="AB37" s="1545"/>
      <c r="AC37" s="1545"/>
      <c r="AD37" s="1545"/>
      <c r="AE37" s="1545"/>
      <c r="AF37" s="1545"/>
      <c r="AG37" s="1545"/>
      <c r="AH37" s="1545"/>
      <c r="AI37" s="1545"/>
      <c r="AJ37" s="1545"/>
      <c r="AK37" s="1545"/>
      <c r="AL37" s="1545"/>
      <c r="AM37" s="1545"/>
      <c r="AN37" s="1545"/>
      <c r="AO37" s="1545"/>
      <c r="AP37" s="1545"/>
      <c r="AQ37" s="1545"/>
      <c r="AR37" s="1545"/>
      <c r="AS37" s="1545"/>
      <c r="AT37" s="1545"/>
      <c r="AZ37" s="20"/>
      <c r="BD37" s="1181" t="s">
        <v>2461</v>
      </c>
      <c r="BE37" s="1183" t="str">
        <f>Application!T189</f>
        <v>Contra Costa</v>
      </c>
    </row>
    <row r="38" spans="1:57" ht="13" hidden="1" customHeight="1">
      <c r="A38" s="3"/>
      <c r="AZ38" s="20"/>
      <c r="BD38" s="1182" t="s">
        <v>2462</v>
      </c>
      <c r="BE38" s="1183">
        <f>Application!I190</f>
        <v>94583</v>
      </c>
    </row>
    <row r="39" spans="1:57" ht="13" customHeight="1">
      <c r="A39" s="1266" t="s">
        <v>2103</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c r="BD39" s="1181" t="s">
        <v>2463</v>
      </c>
      <c r="BE39" s="1183">
        <f>Application!AG446</f>
        <v>131</v>
      </c>
    </row>
    <row r="40" spans="1:57" ht="13"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c r="BD40" s="1182" t="s">
        <v>383</v>
      </c>
      <c r="BE40" s="1183">
        <f>Application!AG449</f>
        <v>130</v>
      </c>
    </row>
    <row r="41" spans="1:57" ht="13"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c r="BD41" s="1181" t="s">
        <v>286</v>
      </c>
      <c r="BE41" s="1183">
        <f>Application!AG447</f>
        <v>0</v>
      </c>
    </row>
    <row r="42" spans="1:57" ht="13"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c r="BD42" s="1182" t="s">
        <v>2464</v>
      </c>
      <c r="BE42" s="1185">
        <f>Application!AC761</f>
        <v>0.596923076923077</v>
      </c>
    </row>
    <row r="43" spans="1:57" ht="13"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c r="BD43" s="1181" t="s">
        <v>2465</v>
      </c>
      <c r="BE43" s="1185">
        <f>Application!AH761</f>
        <v>0.58678378944477605</v>
      </c>
    </row>
    <row r="44" spans="1:57" ht="13"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c r="BD44" s="1182" t="s">
        <v>2466</v>
      </c>
      <c r="BE44" s="1183">
        <f>Application!AC463</f>
        <v>514957.5496183206</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2467</v>
      </c>
      <c r="BE45" s="1183">
        <f>Application!AE433</f>
        <v>3</v>
      </c>
    </row>
    <row r="46" spans="1:57" ht="13" customHeight="1">
      <c r="A46" s="1332" t="s">
        <v>2104</v>
      </c>
      <c r="B46" s="1332"/>
      <c r="C46" s="1332"/>
      <c r="D46" s="1332"/>
      <c r="E46" s="1332"/>
      <c r="F46" s="1332"/>
      <c r="G46" s="1332"/>
      <c r="H46" s="1332"/>
      <c r="I46" s="1332"/>
      <c r="J46" s="1332"/>
      <c r="K46" s="1332"/>
      <c r="L46" s="1332"/>
      <c r="M46" s="1332"/>
      <c r="N46" s="1332"/>
      <c r="O46" s="1332"/>
      <c r="P46" s="1332"/>
      <c r="Q46" s="1332"/>
      <c r="R46" s="1332"/>
      <c r="S46" s="1332"/>
      <c r="T46" s="1332"/>
      <c r="U46" s="1332"/>
      <c r="V46" s="1332"/>
      <c r="W46" s="1332"/>
      <c r="X46" s="1332"/>
      <c r="Y46" s="1332"/>
      <c r="Z46" s="1332"/>
      <c r="AA46" s="1332"/>
      <c r="AB46" s="1332"/>
      <c r="AC46" s="1332"/>
      <c r="AD46" s="1332"/>
      <c r="AE46" s="1332"/>
      <c r="AF46" s="1332"/>
      <c r="AG46" s="1332"/>
      <c r="AH46" s="1332"/>
      <c r="AI46" s="1332"/>
      <c r="AJ46" s="1332"/>
      <c r="AK46" s="1332"/>
      <c r="AL46" s="1332"/>
      <c r="AM46" s="1332"/>
      <c r="AN46" s="1332"/>
      <c r="AO46" s="1332"/>
      <c r="AP46" s="1332"/>
      <c r="AQ46" s="1332"/>
      <c r="AR46" s="1332"/>
      <c r="AS46" s="1332"/>
      <c r="AT46" s="1332"/>
      <c r="AU46" s="20"/>
      <c r="AV46" s="20"/>
      <c r="AW46" s="20"/>
      <c r="AX46" s="20"/>
      <c r="AY46" s="20"/>
      <c r="AZ46" s="20"/>
      <c r="BD46" s="1182" t="s">
        <v>2468</v>
      </c>
      <c r="BE46" s="1183" t="b">
        <f>Application!T195="Yes"</f>
        <v>1</v>
      </c>
    </row>
    <row r="47" spans="1:57" ht="13" customHeight="1">
      <c r="A47" s="1332"/>
      <c r="B47" s="1332"/>
      <c r="C47" s="1332"/>
      <c r="D47" s="1332"/>
      <c r="E47" s="1332"/>
      <c r="F47" s="1332"/>
      <c r="G47" s="1332"/>
      <c r="H47" s="1332"/>
      <c r="I47" s="1332"/>
      <c r="J47" s="1332"/>
      <c r="K47" s="1332"/>
      <c r="L47" s="1332"/>
      <c r="M47" s="1332"/>
      <c r="N47" s="1332"/>
      <c r="O47" s="1332"/>
      <c r="P47" s="1332"/>
      <c r="Q47" s="1332"/>
      <c r="R47" s="1332"/>
      <c r="S47" s="1332"/>
      <c r="T47" s="1332"/>
      <c r="U47" s="1332"/>
      <c r="V47" s="1332"/>
      <c r="W47" s="1332"/>
      <c r="X47" s="1332"/>
      <c r="Y47" s="1332"/>
      <c r="Z47" s="1332"/>
      <c r="AA47" s="1332"/>
      <c r="AB47" s="1332"/>
      <c r="AC47" s="1332"/>
      <c r="AD47" s="1332"/>
      <c r="AE47" s="1332"/>
      <c r="AF47" s="1332"/>
      <c r="AG47" s="1332"/>
      <c r="AH47" s="1332"/>
      <c r="AI47" s="1332"/>
      <c r="AJ47" s="1332"/>
      <c r="AK47" s="1332"/>
      <c r="AL47" s="1332"/>
      <c r="AM47" s="1332"/>
      <c r="AN47" s="1332"/>
      <c r="AO47" s="1332"/>
      <c r="AP47" s="1332"/>
      <c r="AQ47" s="1332"/>
      <c r="AR47" s="1332"/>
      <c r="AS47" s="1332"/>
      <c r="AT47" s="1332"/>
      <c r="AU47" s="20"/>
      <c r="AV47" s="20"/>
      <c r="AW47" s="20"/>
      <c r="AX47" s="20"/>
      <c r="AY47" s="20"/>
      <c r="AZ47" s="20"/>
      <c r="BD47" s="1181" t="s">
        <v>2469</v>
      </c>
      <c r="BE47" s="1183" t="b">
        <f>Application!T196="Yes"</f>
        <v>0</v>
      </c>
    </row>
    <row r="48" spans="1:57" ht="13" customHeight="1">
      <c r="A48" s="1332"/>
      <c r="B48" s="1332"/>
      <c r="C48" s="1332"/>
      <c r="D48" s="1332"/>
      <c r="E48" s="1332"/>
      <c r="F48" s="1332"/>
      <c r="G48" s="1332"/>
      <c r="H48" s="1332"/>
      <c r="I48" s="1332"/>
      <c r="J48" s="1332"/>
      <c r="K48" s="1332"/>
      <c r="L48" s="1332"/>
      <c r="M48" s="1332"/>
      <c r="N48" s="1332"/>
      <c r="O48" s="1332"/>
      <c r="P48" s="1332"/>
      <c r="Q48" s="1332"/>
      <c r="R48" s="1332"/>
      <c r="S48" s="1332"/>
      <c r="T48" s="1332"/>
      <c r="U48" s="1332"/>
      <c r="V48" s="1332"/>
      <c r="W48" s="1332"/>
      <c r="X48" s="1332"/>
      <c r="Y48" s="1332"/>
      <c r="Z48" s="1332"/>
      <c r="AA48" s="1332"/>
      <c r="AB48" s="1332"/>
      <c r="AC48" s="1332"/>
      <c r="AD48" s="1332"/>
      <c r="AE48" s="1332"/>
      <c r="AF48" s="1332"/>
      <c r="AG48" s="1332"/>
      <c r="AH48" s="1332"/>
      <c r="AI48" s="1332"/>
      <c r="AJ48" s="1332"/>
      <c r="AK48" s="1332"/>
      <c r="AL48" s="1332"/>
      <c r="AM48" s="1332"/>
      <c r="AN48" s="1332"/>
      <c r="AO48" s="1332"/>
      <c r="AP48" s="1332"/>
      <c r="AQ48" s="1332"/>
      <c r="AR48" s="1332"/>
      <c r="AS48" s="1332"/>
      <c r="AT48" s="1332"/>
      <c r="AU48" s="20"/>
      <c r="AV48" s="20"/>
      <c r="AW48" s="20"/>
      <c r="AX48" s="20"/>
      <c r="AY48" s="20"/>
      <c r="AZ48" s="20"/>
      <c r="BD48" s="1182" t="s">
        <v>2470</v>
      </c>
      <c r="BE48" s="1183" t="str">
        <f>Application!M252</f>
        <v>LIHTC Advisors, LLC</v>
      </c>
    </row>
    <row r="49" spans="1:57" ht="13" customHeight="1">
      <c r="A49" s="1332"/>
      <c r="B49" s="1332"/>
      <c r="C49" s="1332"/>
      <c r="D49" s="1332"/>
      <c r="E49" s="1332"/>
      <c r="F49" s="1332"/>
      <c r="G49" s="1332"/>
      <c r="H49" s="1332"/>
      <c r="I49" s="1332"/>
      <c r="J49" s="1332"/>
      <c r="K49" s="1332"/>
      <c r="L49" s="1332"/>
      <c r="M49" s="1332"/>
      <c r="N49" s="1332"/>
      <c r="O49" s="1332"/>
      <c r="P49" s="1332"/>
      <c r="Q49" s="1332"/>
      <c r="R49" s="1332"/>
      <c r="S49" s="1332"/>
      <c r="T49" s="1332"/>
      <c r="U49" s="1332"/>
      <c r="V49" s="1332"/>
      <c r="W49" s="1332"/>
      <c r="X49" s="1332"/>
      <c r="Y49" s="1332"/>
      <c r="Z49" s="1332"/>
      <c r="AA49" s="1332"/>
      <c r="AB49" s="1332"/>
      <c r="AC49" s="1332"/>
      <c r="AD49" s="1332"/>
      <c r="AE49" s="1332"/>
      <c r="AF49" s="1332"/>
      <c r="AG49" s="1332"/>
      <c r="AH49" s="1332"/>
      <c r="AI49" s="1332"/>
      <c r="AJ49" s="1332"/>
      <c r="AK49" s="1332"/>
      <c r="AL49" s="1332"/>
      <c r="AM49" s="1332"/>
      <c r="AN49" s="1332"/>
      <c r="AO49" s="1332"/>
      <c r="AP49" s="1332"/>
      <c r="AQ49" s="1332"/>
      <c r="AR49" s="1332"/>
      <c r="AS49" s="1332"/>
      <c r="AT49" s="1332"/>
      <c r="AU49" s="20"/>
      <c r="AV49" s="20"/>
      <c r="AW49" s="20"/>
      <c r="AX49" s="20"/>
      <c r="AY49" s="20"/>
      <c r="AZ49" s="20"/>
      <c r="BD49" s="1181" t="s">
        <v>2471</v>
      </c>
      <c r="BE49" s="1183" t="str">
        <f>Application!M255</f>
        <v>John Nicolas</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2472</v>
      </c>
      <c r="BE50" s="1183">
        <f>Application!AA258</f>
        <v>0</v>
      </c>
    </row>
    <row r="51" spans="1:57" ht="13" customHeight="1">
      <c r="A51" s="1266" t="s">
        <v>2105</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c r="BD51" s="1181" t="s">
        <v>2473</v>
      </c>
      <c r="BE51" s="1183" t="str">
        <f>Application!M260</f>
        <v>Central Valley Coalition for Affordable Housing</v>
      </c>
    </row>
    <row r="52" spans="1:57" ht="13"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c r="BD52" s="1182" t="s">
        <v>2474</v>
      </c>
      <c r="BE52" s="1183" t="str">
        <f>Application!M263</f>
        <v xml:space="preserve">Christina Alley </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2475</v>
      </c>
      <c r="BE53" s="1183">
        <f>Application!AA266</f>
        <v>0</v>
      </c>
    </row>
    <row r="54" spans="1:57" ht="13" customHeight="1">
      <c r="A54" s="1266" t="s">
        <v>2106</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c r="BD54" s="1182" t="s">
        <v>2476</v>
      </c>
      <c r="BE54" s="1183">
        <f>Application!M268</f>
        <v>0</v>
      </c>
    </row>
    <row r="55" spans="1:57" ht="13"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c r="BD55" s="1181" t="s">
        <v>2477</v>
      </c>
      <c r="BE55" s="1183">
        <f>Application!M271</f>
        <v>0</v>
      </c>
    </row>
    <row r="56" spans="1:57" ht="13"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c r="BD56" s="1182" t="s">
        <v>2478</v>
      </c>
      <c r="BE56" s="1183">
        <f>Application!AA274</f>
        <v>0</v>
      </c>
    </row>
    <row r="57" spans="1:57" ht="13"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c r="BD57" s="1181" t="s">
        <v>2479</v>
      </c>
      <c r="BE57" s="1183" t="str">
        <f>Application!H296</f>
        <v>LIHTC Advisors, LLC</v>
      </c>
    </row>
    <row r="58" spans="1:57" ht="13"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c r="BD58" s="1182" t="s">
        <v>2480</v>
      </c>
      <c r="BE58" s="1183" t="str">
        <f>Application!H297</f>
        <v xml:space="preserve">4509 Salix Drive </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2481</v>
      </c>
      <c r="BE59" s="1183" t="str">
        <f>Application!H298</f>
        <v>Meridian, ID 83646</v>
      </c>
    </row>
    <row r="60" spans="1:57" ht="13" customHeight="1">
      <c r="A60" s="1266" t="s">
        <v>2107</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c r="BD60" s="1182" t="s">
        <v>2482</v>
      </c>
      <c r="BE60" s="1183" t="str">
        <f>Application!H299</f>
        <v>John Nicolas</v>
      </c>
    </row>
    <row r="61" spans="1:57" ht="13"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c r="BD61" s="1181" t="s">
        <v>2483</v>
      </c>
      <c r="BE61" s="1183" t="str">
        <f>Application!H302</f>
        <v>john@lihtcadv.com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2484</v>
      </c>
      <c r="BE62" s="1186">
        <f>'Basis &amp; Credits'!AB50</f>
        <v>0.8</v>
      </c>
    </row>
    <row r="63" spans="1:57" ht="13" customHeight="1">
      <c r="A63" s="91" t="s">
        <v>2108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1248</v>
      </c>
      <c r="BE63" s="1186">
        <f>'Basis &amp; Credits'!AB72</f>
        <v>0.88953433400000004</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2485</v>
      </c>
      <c r="BE64" s="1183" t="b">
        <f>Application!X180="Yes"</f>
        <v>0</v>
      </c>
    </row>
    <row r="65" spans="1:57" ht="13" customHeight="1">
      <c r="A65" s="1531" t="s">
        <v>2109</v>
      </c>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21"/>
      <c r="AV65" s="21"/>
      <c r="AW65" s="21"/>
      <c r="AX65" s="21"/>
      <c r="AY65" s="21"/>
      <c r="AZ65" s="20"/>
      <c r="BD65" s="1181" t="s">
        <v>2519</v>
      </c>
      <c r="BE65" s="1183" t="str">
        <f>Z205</f>
        <v>$500M</v>
      </c>
    </row>
    <row r="66" spans="1:57" ht="13" customHeight="1">
      <c r="A66" s="1531"/>
      <c r="B66" s="1531"/>
      <c r="C66" s="1531"/>
      <c r="D66" s="1531"/>
      <c r="E66" s="1531"/>
      <c r="F66" s="1531"/>
      <c r="G66" s="1531"/>
      <c r="H66" s="1531"/>
      <c r="I66" s="1531"/>
      <c r="J66" s="1531"/>
      <c r="K66" s="153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21"/>
      <c r="AV66" s="21"/>
      <c r="AW66" s="21"/>
      <c r="AX66" s="21"/>
      <c r="AY66" s="21"/>
      <c r="AZ66" s="20"/>
      <c r="BD66" s="1182" t="s">
        <v>2486</v>
      </c>
      <c r="BE66" s="1183" t="b">
        <f>Application!Z205="State Farmworker Credit"</f>
        <v>0</v>
      </c>
    </row>
    <row r="67" spans="1:57" ht="13" customHeight="1">
      <c r="A67" s="1531"/>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Z67" s="20"/>
      <c r="BD67" s="1181" t="s">
        <v>2487</v>
      </c>
      <c r="BE67" s="118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2488</v>
      </c>
      <c r="BE68" s="1183">
        <f>'Sources and Uses Budget'!D105</f>
        <v>0</v>
      </c>
    </row>
    <row r="69" spans="1:57" ht="13" customHeight="1">
      <c r="A69" s="1531" t="s">
        <v>2110</v>
      </c>
      <c r="B69" s="1531"/>
      <c r="C69" s="1531"/>
      <c r="D69" s="1531"/>
      <c r="E69" s="1531"/>
      <c r="F69" s="1531"/>
      <c r="G69" s="1531"/>
      <c r="H69" s="1531"/>
      <c r="I69" s="1531"/>
      <c r="J69" s="1531"/>
      <c r="K69" s="1531"/>
      <c r="L69" s="1531"/>
      <c r="M69" s="1531"/>
      <c r="N69" s="1531"/>
      <c r="O69" s="1531"/>
      <c r="P69" s="1531"/>
      <c r="Q69" s="1531"/>
      <c r="R69" s="1531"/>
      <c r="S69" s="1531"/>
      <c r="T69" s="1531"/>
      <c r="U69" s="1531"/>
      <c r="V69" s="1531"/>
      <c r="W69" s="1531"/>
      <c r="X69" s="1531"/>
      <c r="Y69" s="1531"/>
      <c r="Z69" s="1531"/>
      <c r="AA69" s="1531"/>
      <c r="AB69" s="1531"/>
      <c r="AC69" s="1531"/>
      <c r="AD69" s="1531"/>
      <c r="AE69" s="1531"/>
      <c r="AF69" s="1531"/>
      <c r="AG69" s="1531"/>
      <c r="AH69" s="1531"/>
      <c r="AI69" s="1531"/>
      <c r="AJ69" s="1531"/>
      <c r="AK69" s="1531"/>
      <c r="AL69" s="1531"/>
      <c r="AM69" s="1531"/>
      <c r="AN69" s="1531"/>
      <c r="AO69" s="1531"/>
      <c r="AP69" s="1531"/>
      <c r="AQ69" s="1531"/>
      <c r="AR69" s="1531"/>
      <c r="AS69" s="1531"/>
      <c r="AT69" s="1531"/>
      <c r="AZ69" s="20"/>
      <c r="BD69" s="1181" t="s">
        <v>2489</v>
      </c>
      <c r="BE69" s="1183" t="str">
        <f>Application!W708</f>
        <v xml:space="preserve">California Municipal Finance Authority </v>
      </c>
    </row>
    <row r="70" spans="1:57" ht="13" customHeight="1">
      <c r="A70" s="1531"/>
      <c r="B70" s="1531"/>
      <c r="C70" s="1531"/>
      <c r="D70" s="1531"/>
      <c r="E70" s="1531"/>
      <c r="F70" s="1531"/>
      <c r="G70" s="1531"/>
      <c r="H70" s="1531"/>
      <c r="I70" s="1531"/>
      <c r="J70" s="1531"/>
      <c r="K70" s="1531"/>
      <c r="L70" s="1531"/>
      <c r="M70" s="1531"/>
      <c r="N70" s="1531"/>
      <c r="O70" s="1531"/>
      <c r="P70" s="1531"/>
      <c r="Q70" s="1531"/>
      <c r="R70" s="1531"/>
      <c r="S70" s="1531"/>
      <c r="T70" s="1531"/>
      <c r="U70" s="1531"/>
      <c r="V70" s="1531"/>
      <c r="W70" s="1531"/>
      <c r="X70" s="1531"/>
      <c r="Y70" s="1531"/>
      <c r="Z70" s="1531"/>
      <c r="AA70" s="1531"/>
      <c r="AB70" s="1531"/>
      <c r="AC70" s="1531"/>
      <c r="AD70" s="1531"/>
      <c r="AE70" s="1531"/>
      <c r="AF70" s="1531"/>
      <c r="AG70" s="1531"/>
      <c r="AH70" s="1531"/>
      <c r="AI70" s="1531"/>
      <c r="AJ70" s="1531"/>
      <c r="AK70" s="1531"/>
      <c r="AL70" s="1531"/>
      <c r="AM70" s="1531"/>
      <c r="AN70" s="1531"/>
      <c r="AO70" s="1531"/>
      <c r="AP70" s="1531"/>
      <c r="AQ70" s="1531"/>
      <c r="AR70" s="1531"/>
      <c r="AS70" s="1531"/>
      <c r="AT70" s="1531"/>
      <c r="AU70" s="20"/>
      <c r="AV70" s="20"/>
      <c r="AW70" s="20"/>
      <c r="AX70" s="20"/>
      <c r="AY70" s="20"/>
      <c r="AZ70" s="20"/>
      <c r="BD70" s="1182" t="s">
        <v>2490</v>
      </c>
      <c r="BE70" s="1183">
        <f ca="1">'Points System'!AF843</f>
        <v>112</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2615</v>
      </c>
      <c r="BE71" s="1183">
        <f>'Points System'!AF826</f>
        <v>0</v>
      </c>
    </row>
    <row r="72" spans="1:57" ht="13" customHeight="1">
      <c r="A72" s="1545" t="s">
        <v>2111</v>
      </c>
      <c r="B72" s="1545"/>
      <c r="C72" s="1545"/>
      <c r="D72" s="1545"/>
      <c r="E72" s="1545"/>
      <c r="F72" s="1545"/>
      <c r="G72" s="1545"/>
      <c r="H72" s="1545"/>
      <c r="I72" s="1545"/>
      <c r="J72" s="1545"/>
      <c r="K72" s="1545"/>
      <c r="L72" s="1545"/>
      <c r="M72" s="1545"/>
      <c r="N72" s="1545"/>
      <c r="O72" s="1545"/>
      <c r="P72" s="1545"/>
      <c r="Q72" s="1545"/>
      <c r="R72" s="1545"/>
      <c r="S72" s="1545"/>
      <c r="T72" s="1545"/>
      <c r="U72" s="1545"/>
      <c r="V72" s="1545"/>
      <c r="W72" s="1545"/>
      <c r="X72" s="1545"/>
      <c r="Y72" s="1545"/>
      <c r="Z72" s="1545"/>
      <c r="AA72" s="1545"/>
      <c r="AB72" s="1545"/>
      <c r="AC72" s="1545"/>
      <c r="AD72" s="1545"/>
      <c r="AE72" s="1545"/>
      <c r="AF72" s="1545"/>
      <c r="AG72" s="1545"/>
      <c r="AH72" s="1545"/>
      <c r="AI72" s="1545"/>
      <c r="AJ72" s="1545"/>
      <c r="AK72" s="1545"/>
      <c r="AL72" s="1545"/>
      <c r="AM72" s="1545"/>
      <c r="AN72" s="1545"/>
      <c r="AO72" s="1545"/>
      <c r="AP72" s="1545"/>
      <c r="AQ72" s="1545"/>
      <c r="AR72" s="1545"/>
      <c r="AS72" s="1545"/>
      <c r="AT72" s="1545"/>
      <c r="AU72" s="20"/>
      <c r="AV72" s="20"/>
      <c r="AW72" s="20"/>
      <c r="AX72" s="20"/>
      <c r="AY72" s="20"/>
      <c r="AZ72" s="20"/>
      <c r="BD72" s="1182" t="s">
        <v>2491</v>
      </c>
      <c r="BE72" s="1183">
        <f>'Points System'!AF827</f>
        <v>10</v>
      </c>
    </row>
    <row r="73" spans="1:57" ht="13" customHeight="1">
      <c r="A73" s="1545"/>
      <c r="B73" s="1545"/>
      <c r="C73" s="1545"/>
      <c r="D73" s="1545"/>
      <c r="E73" s="1545"/>
      <c r="F73" s="1545"/>
      <c r="G73" s="1545"/>
      <c r="H73" s="1545"/>
      <c r="I73" s="1545"/>
      <c r="J73" s="1545"/>
      <c r="K73" s="1545"/>
      <c r="L73" s="1545"/>
      <c r="M73" s="1545"/>
      <c r="N73" s="1545"/>
      <c r="O73" s="1545"/>
      <c r="P73" s="1545"/>
      <c r="Q73" s="1545"/>
      <c r="R73" s="1545"/>
      <c r="S73" s="1545"/>
      <c r="T73" s="1545"/>
      <c r="U73" s="1545"/>
      <c r="V73" s="1545"/>
      <c r="W73" s="1545"/>
      <c r="X73" s="1545"/>
      <c r="Y73" s="1545"/>
      <c r="Z73" s="1545"/>
      <c r="AA73" s="1545"/>
      <c r="AB73" s="1545"/>
      <c r="AC73" s="1545"/>
      <c r="AD73" s="1545"/>
      <c r="AE73" s="1545"/>
      <c r="AF73" s="1545"/>
      <c r="AG73" s="1545"/>
      <c r="AH73" s="1545"/>
      <c r="AI73" s="1545"/>
      <c r="AJ73" s="1545"/>
      <c r="AK73" s="1545"/>
      <c r="AL73" s="1545"/>
      <c r="AM73" s="1545"/>
      <c r="AN73" s="1545"/>
      <c r="AO73" s="1545"/>
      <c r="AP73" s="1545"/>
      <c r="AQ73" s="1545"/>
      <c r="AR73" s="1545"/>
      <c r="AS73" s="1545"/>
      <c r="AT73" s="1545"/>
      <c r="AU73" s="20"/>
      <c r="AV73" s="20"/>
      <c r="AW73" s="20"/>
      <c r="AX73" s="20"/>
      <c r="AY73" s="20"/>
      <c r="AZ73" s="20"/>
      <c r="BD73" s="1181" t="s">
        <v>2492</v>
      </c>
      <c r="BE73" s="1183">
        <f ca="1">'Points System'!AF828</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2493</v>
      </c>
      <c r="BE74" s="1183">
        <f>'Points System'!AF829</f>
        <v>10</v>
      </c>
    </row>
    <row r="75" spans="1:57" ht="13" customHeight="1">
      <c r="A75" s="1554" t="s">
        <v>2112</v>
      </c>
      <c r="B75" s="1554"/>
      <c r="C75" s="1554"/>
      <c r="D75" s="1554"/>
      <c r="E75" s="1554"/>
      <c r="F75" s="1554"/>
      <c r="G75" s="1554"/>
      <c r="H75" s="1554"/>
      <c r="I75" s="1554"/>
      <c r="J75" s="1554"/>
      <c r="K75" s="1554"/>
      <c r="L75" s="1554"/>
      <c r="M75" s="1554"/>
      <c r="N75" s="1554"/>
      <c r="O75" s="1554"/>
      <c r="P75" s="1554"/>
      <c r="Q75" s="1554"/>
      <c r="R75" s="1554"/>
      <c r="S75" s="1554"/>
      <c r="T75" s="1554"/>
      <c r="U75" s="1554"/>
      <c r="V75" s="1554"/>
      <c r="W75" s="1554"/>
      <c r="X75" s="1554"/>
      <c r="Y75" s="1554"/>
      <c r="Z75" s="1554"/>
      <c r="AA75" s="1554"/>
      <c r="AB75" s="1554"/>
      <c r="AC75" s="1554"/>
      <c r="AD75" s="1554"/>
      <c r="AE75" s="1554"/>
      <c r="AF75" s="1554"/>
      <c r="AG75" s="1554"/>
      <c r="AH75" s="1554"/>
      <c r="AI75" s="1554"/>
      <c r="AJ75" s="1554"/>
      <c r="AK75" s="1554"/>
      <c r="AL75" s="1554"/>
      <c r="AM75" s="1554"/>
      <c r="AN75" s="1554"/>
      <c r="AO75" s="1554"/>
      <c r="AP75" s="1554"/>
      <c r="AQ75" s="1554"/>
      <c r="AR75" s="1554"/>
      <c r="AS75" s="1554"/>
      <c r="AT75" s="1554"/>
      <c r="AU75" s="20"/>
      <c r="AV75" s="20"/>
      <c r="AW75" s="20"/>
      <c r="AX75" s="20"/>
      <c r="AY75" s="20"/>
      <c r="AZ75" s="20"/>
      <c r="BD75" s="1181" t="s">
        <v>2494</v>
      </c>
      <c r="BE75" s="1183">
        <f>'Points System'!AF830</f>
        <v>10</v>
      </c>
    </row>
    <row r="76" spans="1:57" ht="13" customHeight="1">
      <c r="A76" s="1554"/>
      <c r="B76" s="1554"/>
      <c r="C76" s="1554"/>
      <c r="D76" s="1554"/>
      <c r="E76" s="1554"/>
      <c r="F76" s="1554"/>
      <c r="G76" s="1554"/>
      <c r="H76" s="1554"/>
      <c r="I76" s="1554"/>
      <c r="J76" s="1554"/>
      <c r="K76" s="1554"/>
      <c r="L76" s="1554"/>
      <c r="M76" s="1554"/>
      <c r="N76" s="1554"/>
      <c r="O76" s="1554"/>
      <c r="P76" s="1554"/>
      <c r="Q76" s="1554"/>
      <c r="R76" s="1554"/>
      <c r="S76" s="1554"/>
      <c r="T76" s="1554"/>
      <c r="U76" s="1554"/>
      <c r="V76" s="1554"/>
      <c r="W76" s="1554"/>
      <c r="X76" s="1554"/>
      <c r="Y76" s="1554"/>
      <c r="Z76" s="1554"/>
      <c r="AA76" s="1554"/>
      <c r="AB76" s="1554"/>
      <c r="AC76" s="1554"/>
      <c r="AD76" s="1554"/>
      <c r="AE76" s="1554"/>
      <c r="AF76" s="1554"/>
      <c r="AG76" s="1554"/>
      <c r="AH76" s="1554"/>
      <c r="AI76" s="1554"/>
      <c r="AJ76" s="1554"/>
      <c r="AK76" s="1554"/>
      <c r="AL76" s="1554"/>
      <c r="AM76" s="1554"/>
      <c r="AN76" s="1554"/>
      <c r="AO76" s="1554"/>
      <c r="AP76" s="1554"/>
      <c r="AQ76" s="1554"/>
      <c r="AR76" s="1554"/>
      <c r="AS76" s="1554"/>
      <c r="AT76" s="1554"/>
      <c r="AU76" s="20"/>
      <c r="AV76" s="20"/>
      <c r="AW76" s="20"/>
      <c r="AX76" s="20"/>
      <c r="AY76" s="20"/>
      <c r="AZ76" s="17"/>
      <c r="BD76" s="1182" t="s">
        <v>2495</v>
      </c>
      <c r="BE76" s="1183">
        <f>'Points System'!AF833</f>
        <v>10</v>
      </c>
    </row>
    <row r="77" spans="1:57" ht="13" customHeight="1">
      <c r="A77" s="1554"/>
      <c r="B77" s="1554"/>
      <c r="C77" s="1554"/>
      <c r="D77" s="1554"/>
      <c r="E77" s="1554"/>
      <c r="F77" s="1554"/>
      <c r="G77" s="1554"/>
      <c r="H77" s="1554"/>
      <c r="I77" s="1554"/>
      <c r="J77" s="1554"/>
      <c r="K77" s="1554"/>
      <c r="L77" s="1554"/>
      <c r="M77" s="1554"/>
      <c r="N77" s="1554"/>
      <c r="O77" s="1554"/>
      <c r="P77" s="1554"/>
      <c r="Q77" s="1554"/>
      <c r="R77" s="1554"/>
      <c r="S77" s="1554"/>
      <c r="T77" s="1554"/>
      <c r="U77" s="1554"/>
      <c r="V77" s="1554"/>
      <c r="W77" s="1554"/>
      <c r="X77" s="1554"/>
      <c r="Y77" s="1554"/>
      <c r="Z77" s="1554"/>
      <c r="AA77" s="1554"/>
      <c r="AB77" s="1554"/>
      <c r="AC77" s="1554"/>
      <c r="AD77" s="1554"/>
      <c r="AE77" s="1554"/>
      <c r="AF77" s="1554"/>
      <c r="AG77" s="1554"/>
      <c r="AH77" s="1554"/>
      <c r="AI77" s="1554"/>
      <c r="AJ77" s="1554"/>
      <c r="AK77" s="1554"/>
      <c r="AL77" s="1554"/>
      <c r="AM77" s="1554"/>
      <c r="AN77" s="1554"/>
      <c r="AO77" s="1554"/>
      <c r="AP77" s="1554"/>
      <c r="AQ77" s="1554"/>
      <c r="AR77" s="1554"/>
      <c r="AS77" s="1554"/>
      <c r="AT77" s="1554"/>
      <c r="AU77" s="20"/>
      <c r="AV77" s="20"/>
      <c r="AW77" s="20"/>
      <c r="AX77" s="20"/>
      <c r="AY77" s="20"/>
      <c r="AZ77" s="17"/>
      <c r="BD77" s="1181" t="s">
        <v>2496</v>
      </c>
      <c r="BE77" s="1183">
        <f>'Points System'!AF834</f>
        <v>0</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2497</v>
      </c>
      <c r="BE78" s="1183">
        <f>'Points System'!AF836</f>
        <v>10</v>
      </c>
    </row>
    <row r="79" spans="1:57" ht="13" customHeight="1">
      <c r="A79" s="1531" t="s">
        <v>2113</v>
      </c>
      <c r="B79" s="1531"/>
      <c r="C79" s="1531"/>
      <c r="D79" s="1531"/>
      <c r="E79" s="1531"/>
      <c r="F79" s="1531"/>
      <c r="G79" s="1531"/>
      <c r="H79" s="1531"/>
      <c r="I79" s="1531"/>
      <c r="J79" s="1531"/>
      <c r="K79" s="1531"/>
      <c r="L79" s="1531"/>
      <c r="M79" s="1531"/>
      <c r="N79" s="1531"/>
      <c r="O79" s="1531"/>
      <c r="P79" s="1531"/>
      <c r="Q79" s="1531"/>
      <c r="R79" s="1531"/>
      <c r="S79" s="1531"/>
      <c r="T79" s="1531"/>
      <c r="U79" s="1531"/>
      <c r="V79" s="1531"/>
      <c r="W79" s="1531"/>
      <c r="X79" s="1531"/>
      <c r="Y79" s="1531"/>
      <c r="Z79" s="1531"/>
      <c r="AA79" s="1531"/>
      <c r="AB79" s="1531"/>
      <c r="AC79" s="1531"/>
      <c r="AD79" s="1531"/>
      <c r="AE79" s="1531"/>
      <c r="AF79" s="1531"/>
      <c r="AG79" s="1531"/>
      <c r="AH79" s="1531"/>
      <c r="AI79" s="1531"/>
      <c r="AJ79" s="1531"/>
      <c r="AK79" s="1531"/>
      <c r="AL79" s="1531"/>
      <c r="AM79" s="1531"/>
      <c r="AN79" s="1531"/>
      <c r="AO79" s="1531"/>
      <c r="AP79" s="1531"/>
      <c r="AQ79" s="1531"/>
      <c r="AR79" s="1531"/>
      <c r="AS79" s="1531"/>
      <c r="AT79" s="1531"/>
      <c r="AU79" s="20"/>
      <c r="AV79" s="20"/>
      <c r="AW79" s="20"/>
      <c r="AX79" s="20"/>
      <c r="AY79" s="20"/>
      <c r="AZ79" s="20"/>
      <c r="BD79" s="1181" t="s">
        <v>2616</v>
      </c>
      <c r="BE79" s="1183">
        <f>'Points System'!AF837</f>
        <v>10</v>
      </c>
    </row>
    <row r="80" spans="1:57" ht="13" customHeight="1">
      <c r="A80" s="1531"/>
      <c r="B80" s="1531"/>
      <c r="C80" s="1531"/>
      <c r="D80" s="1531"/>
      <c r="E80" s="1531"/>
      <c r="F80" s="1531"/>
      <c r="G80" s="1531"/>
      <c r="H80" s="1531"/>
      <c r="I80" s="1531"/>
      <c r="J80" s="1531"/>
      <c r="K80" s="1531"/>
      <c r="L80" s="1531"/>
      <c r="M80" s="1531"/>
      <c r="N80" s="1531"/>
      <c r="O80" s="1531"/>
      <c r="P80" s="1531"/>
      <c r="Q80" s="1531"/>
      <c r="R80" s="1531"/>
      <c r="S80" s="1531"/>
      <c r="T80" s="1531"/>
      <c r="U80" s="1531"/>
      <c r="V80" s="1531"/>
      <c r="W80" s="1531"/>
      <c r="X80" s="1531"/>
      <c r="Y80" s="1531"/>
      <c r="Z80" s="1531"/>
      <c r="AA80" s="1531"/>
      <c r="AB80" s="1531"/>
      <c r="AC80" s="1531"/>
      <c r="AD80" s="1531"/>
      <c r="AE80" s="1531"/>
      <c r="AF80" s="1531"/>
      <c r="AG80" s="1531"/>
      <c r="AH80" s="1531"/>
      <c r="AI80" s="1531"/>
      <c r="AJ80" s="1531"/>
      <c r="AK80" s="1531"/>
      <c r="AL80" s="1531"/>
      <c r="AM80" s="1531"/>
      <c r="AN80" s="1531"/>
      <c r="AO80" s="1531"/>
      <c r="AP80" s="1531"/>
      <c r="AQ80" s="1531"/>
      <c r="AR80" s="1531"/>
      <c r="AS80" s="1531"/>
      <c r="AT80" s="1531"/>
      <c r="AU80" s="20"/>
      <c r="AV80" s="20"/>
      <c r="AW80" s="20"/>
      <c r="AX80" s="20"/>
      <c r="AY80" s="20"/>
      <c r="AZ80" s="20"/>
      <c r="BD80" s="1182" t="s">
        <v>2498</v>
      </c>
      <c r="BE80" s="1183">
        <f>'Points System'!AF839</f>
        <v>10</v>
      </c>
    </row>
    <row r="81" spans="1:57" ht="13" customHeight="1">
      <c r="A81" s="1531"/>
      <c r="B81" s="1531"/>
      <c r="C81" s="1531"/>
      <c r="D81" s="1531"/>
      <c r="E81" s="1531"/>
      <c r="F81" s="1531"/>
      <c r="G81" s="1531"/>
      <c r="H81" s="1531"/>
      <c r="I81" s="1531"/>
      <c r="J81" s="1531"/>
      <c r="K81" s="1531"/>
      <c r="L81" s="1531"/>
      <c r="M81" s="1531"/>
      <c r="N81" s="1531"/>
      <c r="O81" s="1531"/>
      <c r="P81" s="1531"/>
      <c r="Q81" s="1531"/>
      <c r="R81" s="1531"/>
      <c r="S81" s="1531"/>
      <c r="T81" s="1531"/>
      <c r="U81" s="1531"/>
      <c r="V81" s="1531"/>
      <c r="W81" s="1531"/>
      <c r="X81" s="1531"/>
      <c r="Y81" s="1531"/>
      <c r="Z81" s="1531"/>
      <c r="AA81" s="1531"/>
      <c r="AB81" s="1531"/>
      <c r="AC81" s="1531"/>
      <c r="AD81" s="1531"/>
      <c r="AE81" s="1531"/>
      <c r="AF81" s="1531"/>
      <c r="AG81" s="1531"/>
      <c r="AH81" s="1531"/>
      <c r="AI81" s="1531"/>
      <c r="AJ81" s="1531"/>
      <c r="AK81" s="1531"/>
      <c r="AL81" s="1531"/>
      <c r="AM81" s="1531"/>
      <c r="AN81" s="1531"/>
      <c r="AO81" s="1531"/>
      <c r="AP81" s="1531"/>
      <c r="AQ81" s="1531"/>
      <c r="AR81" s="1531"/>
      <c r="AS81" s="1531"/>
      <c r="AT81" s="1531"/>
      <c r="AU81" s="20"/>
      <c r="AV81" s="20"/>
      <c r="AW81" s="20"/>
      <c r="AX81" s="20"/>
      <c r="AY81" s="20"/>
      <c r="AZ81" s="20"/>
      <c r="BD81" s="1181" t="s">
        <v>2499</v>
      </c>
      <c r="BE81" s="1183">
        <f>'Points System'!AF840</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2500</v>
      </c>
      <c r="BE82" s="1183">
        <f>'Points System'!AF841</f>
        <v>10</v>
      </c>
    </row>
    <row r="83" spans="1:57" ht="13" customHeight="1">
      <c r="A83" s="1266" t="s">
        <v>2114</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c r="BD83" s="1181" t="s">
        <v>2501</v>
      </c>
      <c r="BE83" s="1187">
        <f>'Tie Breaker'!H5</f>
        <v>1.7065961423548091</v>
      </c>
    </row>
    <row r="84" spans="1:57" ht="13"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c r="BD84" s="1182" t="s">
        <v>2502</v>
      </c>
      <c r="BE84" s="1183" t="str">
        <f>Application!O153</f>
        <v>City of San Ramon</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2503</v>
      </c>
      <c r="BE85" s="1183" t="str">
        <f>Application!O154</f>
        <v>Brooke Litman</v>
      </c>
    </row>
    <row r="86" spans="1:57" ht="13" customHeight="1">
      <c r="A86" s="1266" t="s">
        <v>2115</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c r="BD86" s="1182" t="s">
        <v>2504</v>
      </c>
      <c r="BE86" s="1183" t="str">
        <f>Application!O155</f>
        <v>City Manager</v>
      </c>
    </row>
    <row r="87" spans="1:57" ht="13"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c r="BD87" s="1181" t="s">
        <v>2505</v>
      </c>
      <c r="BE87" s="1183" t="str">
        <f>Application!O156</f>
        <v>2222 Camino Ramon</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2506</v>
      </c>
      <c r="BE88" s="1183" t="str">
        <f>Application!O157</f>
        <v>San Ramon</v>
      </c>
    </row>
    <row r="89" spans="1:57" ht="13" customHeight="1">
      <c r="A89" s="1562" t="s">
        <v>2116</v>
      </c>
      <c r="B89" s="1562"/>
      <c r="C89" s="1562"/>
      <c r="D89" s="1562"/>
      <c r="E89" s="1562"/>
      <c r="F89" s="1562"/>
      <c r="G89" s="1562"/>
      <c r="H89" s="1562"/>
      <c r="I89" s="1562"/>
      <c r="J89" s="1562"/>
      <c r="K89" s="1562"/>
      <c r="L89" s="1562"/>
      <c r="M89" s="1562"/>
      <c r="N89" s="1562"/>
      <c r="O89" s="1562"/>
      <c r="P89" s="1562"/>
      <c r="Q89" s="1562"/>
      <c r="R89" s="1562"/>
      <c r="S89" s="1562"/>
      <c r="T89" s="1562"/>
      <c r="U89" s="1562"/>
      <c r="V89" s="1562"/>
      <c r="W89" s="1562"/>
      <c r="X89" s="1562"/>
      <c r="Y89" s="1562"/>
      <c r="Z89" s="1562"/>
      <c r="AA89" s="1562"/>
      <c r="AB89" s="1562"/>
      <c r="AC89" s="1562"/>
      <c r="AD89" s="1562"/>
      <c r="AE89" s="1562"/>
      <c r="AF89" s="1562"/>
      <c r="AG89" s="1562"/>
      <c r="AH89" s="1562"/>
      <c r="AI89" s="1562"/>
      <c r="AJ89" s="1562"/>
      <c r="AK89" s="1562"/>
      <c r="AL89" s="1562"/>
      <c r="AM89" s="1562"/>
      <c r="AN89" s="1562"/>
      <c r="AO89" s="1562"/>
      <c r="AP89" s="1562"/>
      <c r="AQ89" s="1562"/>
      <c r="AR89" s="1562"/>
      <c r="AS89" s="1562"/>
      <c r="AT89" s="1562"/>
      <c r="AU89" s="17"/>
      <c r="AV89" s="17"/>
      <c r="AW89" s="17"/>
      <c r="AX89" s="17"/>
      <c r="AY89" s="17"/>
      <c r="AZ89" s="20"/>
      <c r="BD89" s="1181" t="s">
        <v>2507</v>
      </c>
      <c r="BE89" s="1183">
        <f>Application!O158</f>
        <v>94583</v>
      </c>
    </row>
    <row r="90" spans="1:57" ht="13" customHeight="1">
      <c r="A90" s="1562"/>
      <c r="B90" s="1562"/>
      <c r="C90" s="1562"/>
      <c r="D90" s="1562"/>
      <c r="E90" s="1562"/>
      <c r="F90" s="1562"/>
      <c r="G90" s="1562"/>
      <c r="H90" s="1562"/>
      <c r="I90" s="1562"/>
      <c r="J90" s="1562"/>
      <c r="K90" s="1562"/>
      <c r="L90" s="1562"/>
      <c r="M90" s="1562"/>
      <c r="N90" s="1562"/>
      <c r="O90" s="1562"/>
      <c r="P90" s="1562"/>
      <c r="Q90" s="1562"/>
      <c r="R90" s="1562"/>
      <c r="S90" s="1562"/>
      <c r="T90" s="1562"/>
      <c r="U90" s="1562"/>
      <c r="V90" s="1562"/>
      <c r="W90" s="1562"/>
      <c r="X90" s="1562"/>
      <c r="Y90" s="1562"/>
      <c r="Z90" s="1562"/>
      <c r="AA90" s="1562"/>
      <c r="AB90" s="1562"/>
      <c r="AC90" s="1562"/>
      <c r="AD90" s="1562"/>
      <c r="AE90" s="1562"/>
      <c r="AF90" s="1562"/>
      <c r="AG90" s="1562"/>
      <c r="AH90" s="1562"/>
      <c r="AI90" s="1562"/>
      <c r="AJ90" s="1562"/>
      <c r="AK90" s="1562"/>
      <c r="AL90" s="1562"/>
      <c r="AM90" s="1562"/>
      <c r="AN90" s="1562"/>
      <c r="AO90" s="1562"/>
      <c r="AP90" s="1562"/>
      <c r="AQ90" s="1562"/>
      <c r="AR90" s="1562"/>
      <c r="AS90" s="1562"/>
      <c r="AT90" s="1562"/>
      <c r="AU90" s="17"/>
      <c r="AV90" s="17"/>
      <c r="AW90" s="17"/>
      <c r="AX90" s="17"/>
      <c r="AY90" s="17"/>
      <c r="AZ90" s="20"/>
      <c r="BD90" s="1182" t="s">
        <v>2508</v>
      </c>
      <c r="BE90" s="1183" t="str">
        <f>Application!H16</f>
        <v>LIHTC Advisors, LLC</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2509</v>
      </c>
      <c r="BE91" s="1183" t="str">
        <f>Application!M242</f>
        <v>4509 W Salix Drive</v>
      </c>
    </row>
    <row r="92" spans="1:57" ht="13" customHeight="1">
      <c r="A92" s="1554" t="s">
        <v>2117</v>
      </c>
      <c r="B92" s="1554"/>
      <c r="C92" s="1554"/>
      <c r="D92" s="1554"/>
      <c r="E92" s="1554"/>
      <c r="F92" s="1554"/>
      <c r="G92" s="1554"/>
      <c r="H92" s="1554"/>
      <c r="I92" s="1554"/>
      <c r="J92" s="1554"/>
      <c r="K92" s="1554"/>
      <c r="L92" s="1554"/>
      <c r="M92" s="1554"/>
      <c r="N92" s="1554"/>
      <c r="O92" s="1554"/>
      <c r="P92" s="1554"/>
      <c r="Q92" s="1554"/>
      <c r="R92" s="1554"/>
      <c r="S92" s="1554"/>
      <c r="T92" s="1554"/>
      <c r="U92" s="1554"/>
      <c r="V92" s="1554"/>
      <c r="W92" s="1554"/>
      <c r="X92" s="1554"/>
      <c r="Y92" s="1554"/>
      <c r="Z92" s="1554"/>
      <c r="AA92" s="1554"/>
      <c r="AB92" s="1554"/>
      <c r="AC92" s="1554"/>
      <c r="AD92" s="1554"/>
      <c r="AE92" s="1554"/>
      <c r="AF92" s="1554"/>
      <c r="AG92" s="1554"/>
      <c r="AH92" s="1554"/>
      <c r="AI92" s="1554"/>
      <c r="AJ92" s="1554"/>
      <c r="AK92" s="1554"/>
      <c r="AL92" s="1554"/>
      <c r="AM92" s="1554"/>
      <c r="AN92" s="1554"/>
      <c r="AO92" s="1554"/>
      <c r="AP92" s="1554"/>
      <c r="AQ92" s="1554"/>
      <c r="AR92" s="1554"/>
      <c r="AS92" s="1554"/>
      <c r="AT92" s="1554"/>
      <c r="AU92" s="20"/>
      <c r="AV92" s="20"/>
      <c r="AW92" s="20"/>
      <c r="AX92" s="20"/>
      <c r="AY92" s="20"/>
      <c r="AZ92" s="20"/>
      <c r="BD92" s="1182" t="s">
        <v>2510</v>
      </c>
      <c r="BE92" s="1183" t="str">
        <f>Application!M243</f>
        <v>Meridian</v>
      </c>
    </row>
    <row r="93" spans="1:57" ht="13" customHeight="1">
      <c r="A93" s="1554"/>
      <c r="B93" s="1554"/>
      <c r="C93" s="1554"/>
      <c r="D93" s="1554"/>
      <c r="E93" s="1554"/>
      <c r="F93" s="1554"/>
      <c r="G93" s="1554"/>
      <c r="H93" s="1554"/>
      <c r="I93" s="1554"/>
      <c r="J93" s="1554"/>
      <c r="K93" s="1554"/>
      <c r="L93" s="1554"/>
      <c r="M93" s="1554"/>
      <c r="N93" s="1554"/>
      <c r="O93" s="1554"/>
      <c r="P93" s="1554"/>
      <c r="Q93" s="1554"/>
      <c r="R93" s="1554"/>
      <c r="S93" s="1554"/>
      <c r="T93" s="1554"/>
      <c r="U93" s="1554"/>
      <c r="V93" s="1554"/>
      <c r="W93" s="1554"/>
      <c r="X93" s="1554"/>
      <c r="Y93" s="1554"/>
      <c r="Z93" s="1554"/>
      <c r="AA93" s="1554"/>
      <c r="AB93" s="1554"/>
      <c r="AC93" s="1554"/>
      <c r="AD93" s="1554"/>
      <c r="AE93" s="1554"/>
      <c r="AF93" s="1554"/>
      <c r="AG93" s="1554"/>
      <c r="AH93" s="1554"/>
      <c r="AI93" s="1554"/>
      <c r="AJ93" s="1554"/>
      <c r="AK93" s="1554"/>
      <c r="AL93" s="1554"/>
      <c r="AM93" s="1554"/>
      <c r="AN93" s="1554"/>
      <c r="AO93" s="1554"/>
      <c r="AP93" s="1554"/>
      <c r="AQ93" s="1554"/>
      <c r="AR93" s="1554"/>
      <c r="AS93" s="1554"/>
      <c r="AT93" s="1554"/>
      <c r="AU93" s="20"/>
      <c r="AV93" s="20"/>
      <c r="AW93" s="20"/>
      <c r="AX93" s="20"/>
      <c r="AY93" s="20"/>
      <c r="AZ93" s="20"/>
      <c r="BD93" s="1181" t="s">
        <v>2511</v>
      </c>
      <c r="BE93" s="1183" t="str">
        <f>Application!W243</f>
        <v>ID</v>
      </c>
    </row>
    <row r="94" spans="1:57" ht="13" customHeight="1">
      <c r="A94" s="1554"/>
      <c r="B94" s="1554"/>
      <c r="C94" s="1554"/>
      <c r="D94" s="1554"/>
      <c r="E94" s="1554"/>
      <c r="F94" s="1554"/>
      <c r="G94" s="1554"/>
      <c r="H94" s="1554"/>
      <c r="I94" s="1554"/>
      <c r="J94" s="1554"/>
      <c r="K94" s="1554"/>
      <c r="L94" s="1554"/>
      <c r="M94" s="1554"/>
      <c r="N94" s="1554"/>
      <c r="O94" s="1554"/>
      <c r="P94" s="1554"/>
      <c r="Q94" s="1554"/>
      <c r="R94" s="1554"/>
      <c r="S94" s="1554"/>
      <c r="T94" s="1554"/>
      <c r="U94" s="1554"/>
      <c r="V94" s="1554"/>
      <c r="W94" s="1554"/>
      <c r="X94" s="1554"/>
      <c r="Y94" s="1554"/>
      <c r="Z94" s="1554"/>
      <c r="AA94" s="1554"/>
      <c r="AB94" s="1554"/>
      <c r="AC94" s="1554"/>
      <c r="AD94" s="1554"/>
      <c r="AE94" s="1554"/>
      <c r="AF94" s="1554"/>
      <c r="AG94" s="1554"/>
      <c r="AH94" s="1554"/>
      <c r="AI94" s="1554"/>
      <c r="AJ94" s="1554"/>
      <c r="AK94" s="1554"/>
      <c r="AL94" s="1554"/>
      <c r="AM94" s="1554"/>
      <c r="AN94" s="1554"/>
      <c r="AO94" s="1554"/>
      <c r="AP94" s="1554"/>
      <c r="AQ94" s="1554"/>
      <c r="AR94" s="1554"/>
      <c r="AS94" s="1554"/>
      <c r="AT94" s="1554"/>
      <c r="AU94" s="20"/>
      <c r="AV94" s="20"/>
      <c r="AW94" s="20"/>
      <c r="AX94" s="20"/>
      <c r="AY94" s="20"/>
      <c r="AZ94" s="20"/>
      <c r="BD94" s="1182" t="s">
        <v>2512</v>
      </c>
      <c r="BE94" s="1183">
        <f>Application!AC243</f>
        <v>83646</v>
      </c>
    </row>
    <row r="95" spans="1:57" ht="13" customHeight="1">
      <c r="A95" s="1554"/>
      <c r="B95" s="1554"/>
      <c r="C95" s="1554"/>
      <c r="D95" s="1554"/>
      <c r="E95" s="1554"/>
      <c r="F95" s="1554"/>
      <c r="G95" s="1554"/>
      <c r="H95" s="1554"/>
      <c r="I95" s="1554"/>
      <c r="J95" s="1554"/>
      <c r="K95" s="1554"/>
      <c r="L95" s="1554"/>
      <c r="M95" s="1554"/>
      <c r="N95" s="1554"/>
      <c r="O95" s="1554"/>
      <c r="P95" s="1554"/>
      <c r="Q95" s="1554"/>
      <c r="R95" s="1554"/>
      <c r="S95" s="1554"/>
      <c r="T95" s="1554"/>
      <c r="U95" s="1554"/>
      <c r="V95" s="1554"/>
      <c r="W95" s="1554"/>
      <c r="X95" s="1554"/>
      <c r="Y95" s="1554"/>
      <c r="Z95" s="1554"/>
      <c r="AA95" s="1554"/>
      <c r="AB95" s="1554"/>
      <c r="AC95" s="1554"/>
      <c r="AD95" s="1554"/>
      <c r="AE95" s="1554"/>
      <c r="AF95" s="1554"/>
      <c r="AG95" s="1554"/>
      <c r="AH95" s="1554"/>
      <c r="AI95" s="1554"/>
      <c r="AJ95" s="1554"/>
      <c r="AK95" s="1554"/>
      <c r="AL95" s="1554"/>
      <c r="AM95" s="1554"/>
      <c r="AN95" s="1554"/>
      <c r="AO95" s="1554"/>
      <c r="AP95" s="1554"/>
      <c r="AQ95" s="1554"/>
      <c r="AR95" s="1554"/>
      <c r="AS95" s="1554"/>
      <c r="AT95" s="1554"/>
      <c r="AU95" s="20"/>
      <c r="AV95" s="20"/>
      <c r="AW95" s="20"/>
      <c r="AX95" s="20"/>
      <c r="AY95" s="20"/>
      <c r="AZ95" s="20"/>
      <c r="BD95" s="1181" t="s">
        <v>2513</v>
      </c>
      <c r="BE95" s="1183" t="str">
        <f>Application!M244</f>
        <v>John Nicolas</v>
      </c>
    </row>
    <row r="96" spans="1:57" ht="13" customHeight="1">
      <c r="A96" s="1554"/>
      <c r="B96" s="1554"/>
      <c r="C96" s="1554"/>
      <c r="D96" s="1554"/>
      <c r="E96" s="1554"/>
      <c r="F96" s="1554"/>
      <c r="G96" s="1554"/>
      <c r="H96" s="1554"/>
      <c r="I96" s="1554"/>
      <c r="J96" s="1554"/>
      <c r="K96" s="1554"/>
      <c r="L96" s="1554"/>
      <c r="M96" s="1554"/>
      <c r="N96" s="1554"/>
      <c r="O96" s="1554"/>
      <c r="P96" s="1554"/>
      <c r="Q96" s="1554"/>
      <c r="R96" s="1554"/>
      <c r="S96" s="1554"/>
      <c r="T96" s="1554"/>
      <c r="U96" s="1554"/>
      <c r="V96" s="1554"/>
      <c r="W96" s="1554"/>
      <c r="X96" s="1554"/>
      <c r="Y96" s="1554"/>
      <c r="Z96" s="1554"/>
      <c r="AA96" s="1554"/>
      <c r="AB96" s="1554"/>
      <c r="AC96" s="1554"/>
      <c r="AD96" s="1554"/>
      <c r="AE96" s="1554"/>
      <c r="AF96" s="1554"/>
      <c r="AG96" s="1554"/>
      <c r="AH96" s="1554"/>
      <c r="AI96" s="1554"/>
      <c r="AJ96" s="1554"/>
      <c r="AK96" s="1554"/>
      <c r="AL96" s="1554"/>
      <c r="AM96" s="1554"/>
      <c r="AN96" s="1554"/>
      <c r="AO96" s="1554"/>
      <c r="AP96" s="1554"/>
      <c r="AQ96" s="1554"/>
      <c r="AR96" s="1554"/>
      <c r="AS96" s="1554"/>
      <c r="AT96" s="1554"/>
      <c r="AU96" s="20"/>
      <c r="AV96" s="20"/>
      <c r="AW96" s="20"/>
      <c r="AX96" s="20"/>
      <c r="AY96" s="20"/>
      <c r="AZ96" s="20"/>
      <c r="BD96" s="1182" t="s">
        <v>2514</v>
      </c>
      <c r="BE96" s="1183" t="str">
        <f>Application!M246</f>
        <v>john@lihtcadv.com</v>
      </c>
    </row>
    <row r="97" spans="1:57" ht="13" customHeight="1">
      <c r="A97" s="1554"/>
      <c r="B97" s="1554"/>
      <c r="C97" s="1554"/>
      <c r="D97" s="1554"/>
      <c r="E97" s="1554"/>
      <c r="F97" s="1554"/>
      <c r="G97" s="1554"/>
      <c r="H97" s="1554"/>
      <c r="I97" s="1554"/>
      <c r="J97" s="1554"/>
      <c r="K97" s="1554"/>
      <c r="L97" s="1554"/>
      <c r="M97" s="1554"/>
      <c r="N97" s="1554"/>
      <c r="O97" s="1554"/>
      <c r="P97" s="1554"/>
      <c r="Q97" s="1554"/>
      <c r="R97" s="1554"/>
      <c r="S97" s="1554"/>
      <c r="T97" s="1554"/>
      <c r="U97" s="1554"/>
      <c r="V97" s="1554"/>
      <c r="W97" s="1554"/>
      <c r="X97" s="1554"/>
      <c r="Y97" s="1554"/>
      <c r="Z97" s="1554"/>
      <c r="AA97" s="1554"/>
      <c r="AB97" s="1554"/>
      <c r="AC97" s="1554"/>
      <c r="AD97" s="1554"/>
      <c r="AE97" s="1554"/>
      <c r="AF97" s="1554"/>
      <c r="AG97" s="1554"/>
      <c r="AH97" s="1554"/>
      <c r="AI97" s="1554"/>
      <c r="AJ97" s="1554"/>
      <c r="AK97" s="1554"/>
      <c r="AL97" s="1554"/>
      <c r="AM97" s="1554"/>
      <c r="AN97" s="1554"/>
      <c r="AO97" s="1554"/>
      <c r="AP97" s="1554"/>
      <c r="AQ97" s="1554"/>
      <c r="AR97" s="1554"/>
      <c r="AS97" s="1554"/>
      <c r="AT97" s="1554"/>
      <c r="AU97" s="20"/>
      <c r="AV97" s="20"/>
      <c r="AW97" s="20"/>
      <c r="AX97" s="20"/>
      <c r="AY97" s="20"/>
      <c r="AZ97" s="20"/>
      <c r="BD97" s="1181" t="s">
        <v>2515</v>
      </c>
      <c r="BE97" s="1183" t="str">
        <f>Application!M257</f>
        <v>john@lihtcadv.com</v>
      </c>
    </row>
    <row r="98" spans="1:57" ht="13" customHeight="1">
      <c r="A98" s="1554"/>
      <c r="B98" s="1554"/>
      <c r="C98" s="1554"/>
      <c r="D98" s="1554"/>
      <c r="E98" s="1554"/>
      <c r="F98" s="1554"/>
      <c r="G98" s="1554"/>
      <c r="H98" s="1554"/>
      <c r="I98" s="1554"/>
      <c r="J98" s="1554"/>
      <c r="K98" s="1554"/>
      <c r="L98" s="1554"/>
      <c r="M98" s="1554"/>
      <c r="N98" s="1554"/>
      <c r="O98" s="1554"/>
      <c r="P98" s="1554"/>
      <c r="Q98" s="1554"/>
      <c r="R98" s="1554"/>
      <c r="S98" s="1554"/>
      <c r="T98" s="1554"/>
      <c r="U98" s="1554"/>
      <c r="V98" s="1554"/>
      <c r="W98" s="1554"/>
      <c r="X98" s="1554"/>
      <c r="Y98" s="1554"/>
      <c r="Z98" s="1554"/>
      <c r="AA98" s="1554"/>
      <c r="AB98" s="1554"/>
      <c r="AC98" s="1554"/>
      <c r="AD98" s="1554"/>
      <c r="AE98" s="1554"/>
      <c r="AF98" s="1554"/>
      <c r="AG98" s="1554"/>
      <c r="AH98" s="1554"/>
      <c r="AI98" s="1554"/>
      <c r="AJ98" s="1554"/>
      <c r="AK98" s="1554"/>
      <c r="AL98" s="1554"/>
      <c r="AM98" s="1554"/>
      <c r="AN98" s="1554"/>
      <c r="AO98" s="1554"/>
      <c r="AP98" s="1554"/>
      <c r="AQ98" s="1554"/>
      <c r="AR98" s="1554"/>
      <c r="AS98" s="1554"/>
      <c r="AT98" s="1554"/>
      <c r="AU98" s="20"/>
      <c r="AV98" s="20"/>
      <c r="AW98" s="20"/>
      <c r="AX98" s="20"/>
      <c r="AY98" s="20"/>
      <c r="AZ98" s="20"/>
      <c r="BD98" s="1182" t="s">
        <v>2516</v>
      </c>
      <c r="BE98" s="1183" t="str">
        <f>Application!M265</f>
        <v>chris@centralvalleycoalition.com</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2517</v>
      </c>
      <c r="BE99" s="1183">
        <f>Application!M273</f>
        <v>0</v>
      </c>
    </row>
    <row r="100" spans="1:57" ht="13" customHeight="1">
      <c r="A100" s="1563" t="s">
        <v>2118</v>
      </c>
      <c r="B100" s="1563"/>
      <c r="C100" s="1563"/>
      <c r="D100" s="1563"/>
      <c r="E100" s="1563"/>
      <c r="F100" s="1563"/>
      <c r="G100" s="1563"/>
      <c r="H100" s="1563"/>
      <c r="I100" s="1563"/>
      <c r="J100" s="1563"/>
      <c r="K100" s="1563"/>
      <c r="L100" s="1563"/>
      <c r="M100" s="1563"/>
      <c r="N100" s="1563"/>
      <c r="O100" s="1563"/>
      <c r="P100" s="1563"/>
      <c r="Q100" s="1563"/>
      <c r="R100" s="1563"/>
      <c r="S100" s="1563"/>
      <c r="T100" s="1563"/>
      <c r="U100" s="1563"/>
      <c r="V100" s="1563"/>
      <c r="W100" s="1563"/>
      <c r="X100" s="1563"/>
      <c r="Y100" s="1563"/>
      <c r="Z100" s="1563"/>
      <c r="AA100" s="1563"/>
      <c r="AB100" s="1563"/>
      <c r="AC100" s="1563"/>
      <c r="AD100" s="1563"/>
      <c r="AE100" s="1563"/>
      <c r="AF100" s="1563"/>
      <c r="AG100" s="1563"/>
      <c r="AH100" s="1563"/>
      <c r="AI100" s="1563"/>
      <c r="AJ100" s="1563"/>
      <c r="AK100" s="1563"/>
      <c r="AL100" s="1563"/>
      <c r="AM100" s="1563"/>
      <c r="AN100" s="1563"/>
      <c r="AO100" s="1563"/>
      <c r="AP100" s="1563"/>
      <c r="AQ100" s="1563"/>
      <c r="AR100" s="1563"/>
      <c r="AS100" s="1563"/>
      <c r="AT100" s="1563"/>
      <c r="AU100" s="20"/>
      <c r="AV100" s="20"/>
      <c r="AW100" s="20"/>
      <c r="AX100" s="20"/>
      <c r="AY100" s="20"/>
      <c r="AZ100" s="20"/>
      <c r="BD100" s="1182" t="s">
        <v>2518</v>
      </c>
      <c r="BE100" s="1183" t="str">
        <f>Application!L288</f>
        <v>sstrain@sabelhauslaw.com</v>
      </c>
    </row>
    <row r="101" spans="1:57" ht="13" customHeight="1">
      <c r="A101" s="1563"/>
      <c r="B101" s="1563"/>
      <c r="C101" s="1563"/>
      <c r="D101" s="1563"/>
      <c r="E101" s="1563"/>
      <c r="F101" s="1563"/>
      <c r="G101" s="1563"/>
      <c r="H101" s="1563"/>
      <c r="I101" s="1563"/>
      <c r="J101" s="1563"/>
      <c r="K101" s="1563"/>
      <c r="L101" s="1563"/>
      <c r="M101" s="1563"/>
      <c r="N101" s="1563"/>
      <c r="O101" s="1563"/>
      <c r="P101" s="1563"/>
      <c r="Q101" s="1563"/>
      <c r="R101" s="1563"/>
      <c r="S101" s="1563"/>
      <c r="T101" s="1563"/>
      <c r="U101" s="1563"/>
      <c r="V101" s="1563"/>
      <c r="W101" s="1563"/>
      <c r="X101" s="1563"/>
      <c r="Y101" s="1563"/>
      <c r="Z101" s="1563"/>
      <c r="AA101" s="1563"/>
      <c r="AB101" s="1563"/>
      <c r="AC101" s="1563"/>
      <c r="AD101" s="1563"/>
      <c r="AE101" s="1563"/>
      <c r="AF101" s="1563"/>
      <c r="AG101" s="1563"/>
      <c r="AH101" s="1563"/>
      <c r="AI101" s="1563"/>
      <c r="AJ101" s="1563"/>
      <c r="AK101" s="1563"/>
      <c r="AL101" s="1563"/>
      <c r="AM101" s="1563"/>
      <c r="AN101" s="1563"/>
      <c r="AO101" s="1563"/>
      <c r="AP101" s="1563"/>
      <c r="AQ101" s="1563"/>
      <c r="AR101" s="1563"/>
      <c r="AS101" s="1563"/>
      <c r="AT101" s="1563"/>
      <c r="AU101" s="20"/>
      <c r="AV101" s="20"/>
      <c r="AW101" s="20"/>
      <c r="AX101" s="20"/>
      <c r="AY101" s="20"/>
      <c r="AZ101" s="20"/>
      <c r="BD101" s="3" t="s">
        <v>2523</v>
      </c>
      <c r="BE101">
        <f>'Sources and Uses Budget'!C105</f>
        <v>67459439</v>
      </c>
    </row>
    <row r="102" spans="1:57" ht="13" customHeight="1">
      <c r="A102" s="1563"/>
      <c r="B102" s="1563"/>
      <c r="C102" s="1563"/>
      <c r="D102" s="1563"/>
      <c r="E102" s="1563"/>
      <c r="F102" s="1563"/>
      <c r="G102" s="1563"/>
      <c r="H102" s="1563"/>
      <c r="I102" s="1563"/>
      <c r="J102" s="1563"/>
      <c r="K102" s="1563"/>
      <c r="L102" s="1563"/>
      <c r="M102" s="1563"/>
      <c r="N102" s="1563"/>
      <c r="O102" s="1563"/>
      <c r="P102" s="1563"/>
      <c r="Q102" s="1563"/>
      <c r="R102" s="1563"/>
      <c r="S102" s="1563"/>
      <c r="T102" s="1563"/>
      <c r="U102" s="1563"/>
      <c r="V102" s="1563"/>
      <c r="W102" s="1563"/>
      <c r="X102" s="1563"/>
      <c r="Y102" s="1563"/>
      <c r="Z102" s="1563"/>
      <c r="AA102" s="1563"/>
      <c r="AB102" s="1563"/>
      <c r="AC102" s="1563"/>
      <c r="AD102" s="1563"/>
      <c r="AE102" s="1563"/>
      <c r="AF102" s="1563"/>
      <c r="AG102" s="1563"/>
      <c r="AH102" s="1563"/>
      <c r="AI102" s="1563"/>
      <c r="AJ102" s="1563"/>
      <c r="AK102" s="1563"/>
      <c r="AL102" s="1563"/>
      <c r="AM102" s="1563"/>
      <c r="AN102" s="1563"/>
      <c r="AO102" s="1563"/>
      <c r="AP102" s="1563"/>
      <c r="AQ102" s="1563"/>
      <c r="AR102" s="1563"/>
      <c r="AS102" s="1563"/>
      <c r="AT102" s="1563"/>
      <c r="AU102" s="20"/>
      <c r="AV102" s="20"/>
      <c r="AW102" s="20"/>
      <c r="AX102" s="20"/>
      <c r="AY102" s="20"/>
      <c r="AZ102" s="20"/>
      <c r="BD102" s="3" t="s">
        <v>2524</v>
      </c>
      <c r="BE102" t="b">
        <f>T197="Yes"</f>
        <v>0</v>
      </c>
    </row>
    <row r="103" spans="1:57" ht="13" customHeight="1">
      <c r="A103" s="1563"/>
      <c r="B103" s="1563"/>
      <c r="C103" s="1563"/>
      <c r="D103" s="1563"/>
      <c r="E103" s="1563"/>
      <c r="F103" s="1563"/>
      <c r="G103" s="1563"/>
      <c r="H103" s="1563"/>
      <c r="I103" s="1563"/>
      <c r="J103" s="1563"/>
      <c r="K103" s="1563"/>
      <c r="L103" s="1563"/>
      <c r="M103" s="1563"/>
      <c r="N103" s="1563"/>
      <c r="O103" s="1563"/>
      <c r="P103" s="1563"/>
      <c r="Q103" s="1563"/>
      <c r="R103" s="1563"/>
      <c r="S103" s="1563"/>
      <c r="T103" s="1563"/>
      <c r="U103" s="1563"/>
      <c r="V103" s="1563"/>
      <c r="W103" s="1563"/>
      <c r="X103" s="1563"/>
      <c r="Y103" s="1563"/>
      <c r="Z103" s="1563"/>
      <c r="AA103" s="1563"/>
      <c r="AB103" s="1563"/>
      <c r="AC103" s="1563"/>
      <c r="AD103" s="1563"/>
      <c r="AE103" s="1563"/>
      <c r="AF103" s="1563"/>
      <c r="AG103" s="1563"/>
      <c r="AH103" s="1563"/>
      <c r="AI103" s="1563"/>
      <c r="AJ103" s="1563"/>
      <c r="AK103" s="1563"/>
      <c r="AL103" s="1563"/>
      <c r="AM103" s="1563"/>
      <c r="AN103" s="1563"/>
      <c r="AO103" s="1563"/>
      <c r="AP103" s="1563"/>
      <c r="AQ103" s="1563"/>
      <c r="AR103" s="1563"/>
      <c r="AS103" s="1563"/>
      <c r="AT103" s="1563"/>
      <c r="AU103" s="20"/>
      <c r="AV103" s="20"/>
      <c r="AW103" s="20"/>
      <c r="AX103" s="20"/>
      <c r="AY103" s="20"/>
      <c r="BD103" t="s">
        <v>2128</v>
      </c>
      <c r="BE103" s="1183"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2535</v>
      </c>
      <c r="BE104" s="1183" t="b">
        <f>T200="Yes"</f>
        <v>0</v>
      </c>
    </row>
    <row r="105" spans="1:57" ht="13" customHeight="1">
      <c r="A105" s="1563" t="s">
        <v>2119</v>
      </c>
      <c r="B105" s="1563"/>
      <c r="C105" s="1563"/>
      <c r="D105" s="1563"/>
      <c r="E105" s="1563"/>
      <c r="F105" s="1563"/>
      <c r="G105" s="1563"/>
      <c r="H105" s="1563"/>
      <c r="I105" s="1563"/>
      <c r="J105" s="1563"/>
      <c r="K105" s="1563"/>
      <c r="L105" s="1563"/>
      <c r="M105" s="1563"/>
      <c r="N105" s="1563"/>
      <c r="O105" s="1563"/>
      <c r="P105" s="1563"/>
      <c r="Q105" s="1563"/>
      <c r="R105" s="1563"/>
      <c r="S105" s="1563"/>
      <c r="T105" s="1563"/>
      <c r="U105" s="1563"/>
      <c r="V105" s="1563"/>
      <c r="W105" s="1563"/>
      <c r="X105" s="1563"/>
      <c r="Y105" s="1563"/>
      <c r="Z105" s="1563"/>
      <c r="AA105" s="1563"/>
      <c r="AB105" s="1563"/>
      <c r="AC105" s="1563"/>
      <c r="AD105" s="1563"/>
      <c r="AE105" s="1563"/>
      <c r="AF105" s="1563"/>
      <c r="AG105" s="1563"/>
      <c r="AH105" s="1563"/>
      <c r="AI105" s="1563"/>
      <c r="AJ105" s="1563"/>
      <c r="AK105" s="1563"/>
      <c r="AL105" s="1563"/>
      <c r="AM105" s="1563"/>
      <c r="AN105" s="1563"/>
      <c r="AO105" s="1563"/>
      <c r="AP105" s="1563"/>
      <c r="AQ105" s="1563"/>
      <c r="AR105" s="1563"/>
      <c r="AS105" s="1563"/>
      <c r="AT105" s="1563"/>
      <c r="AU105" s="20"/>
      <c r="AV105" s="20"/>
      <c r="AW105" s="20"/>
      <c r="AX105" s="20"/>
      <c r="AY105" s="20"/>
      <c r="BD105" s="3" t="s">
        <v>2540</v>
      </c>
      <c r="BE105" s="1183" t="b">
        <f>V224="Yes"</f>
        <v>1</v>
      </c>
    </row>
    <row r="106" spans="1:57" ht="13" customHeight="1">
      <c r="A106" s="1563"/>
      <c r="B106" s="1563"/>
      <c r="C106" s="1563"/>
      <c r="D106" s="1563"/>
      <c r="E106" s="1563"/>
      <c r="F106" s="1563"/>
      <c r="G106" s="1563"/>
      <c r="H106" s="1563"/>
      <c r="I106" s="1563"/>
      <c r="J106" s="1563"/>
      <c r="K106" s="1563"/>
      <c r="L106" s="1563"/>
      <c r="M106" s="1563"/>
      <c r="N106" s="1563"/>
      <c r="O106" s="1563"/>
      <c r="P106" s="1563"/>
      <c r="Q106" s="1563"/>
      <c r="R106" s="1563"/>
      <c r="S106" s="1563"/>
      <c r="T106" s="1563"/>
      <c r="U106" s="1563"/>
      <c r="V106" s="1563"/>
      <c r="W106" s="1563"/>
      <c r="X106" s="1563"/>
      <c r="Y106" s="1563"/>
      <c r="Z106" s="1563"/>
      <c r="AA106" s="1563"/>
      <c r="AB106" s="1563"/>
      <c r="AC106" s="1563"/>
      <c r="AD106" s="1563"/>
      <c r="AE106" s="1563"/>
      <c r="AF106" s="1563"/>
      <c r="AG106" s="1563"/>
      <c r="AH106" s="1563"/>
      <c r="AI106" s="1563"/>
      <c r="AJ106" s="1563"/>
      <c r="AK106" s="1563"/>
      <c r="AL106" s="1563"/>
      <c r="AM106" s="1563"/>
      <c r="AN106" s="1563"/>
      <c r="AO106" s="1563"/>
      <c r="AP106" s="1563"/>
      <c r="AQ106" s="1563"/>
      <c r="AR106" s="1563"/>
      <c r="AS106" s="1563"/>
      <c r="AT106" s="1563"/>
      <c r="AU106" s="20"/>
      <c r="AV106" s="20"/>
      <c r="AW106" s="20"/>
      <c r="AX106" s="20"/>
      <c r="AY106" s="20"/>
      <c r="BD106" s="3" t="s">
        <v>2541</v>
      </c>
      <c r="BE106" s="1183" t="b">
        <f t="shared" ref="BE106:BE110" si="0">V225="Yes"</f>
        <v>0</v>
      </c>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2542</v>
      </c>
      <c r="BE107" s="1183" t="b">
        <f t="shared" si="0"/>
        <v>0</v>
      </c>
    </row>
    <row r="108" spans="1:57" ht="13" customHeight="1">
      <c r="A108" s="517" t="s">
        <v>2120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2543</v>
      </c>
      <c r="BE108" s="1183" t="b">
        <f t="shared" si="0"/>
        <v>0</v>
      </c>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2544</v>
      </c>
      <c r="BE109" s="1183" t="b">
        <f t="shared" si="0"/>
        <v>0</v>
      </c>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2545</v>
      </c>
      <c r="BE110" s="1183" t="b">
        <f t="shared" si="0"/>
        <v>0</v>
      </c>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180</v>
      </c>
      <c r="G113" s="1556"/>
      <c r="H113" s="1556"/>
      <c r="I113" s="3" t="s">
        <v>181</v>
      </c>
      <c r="L113" s="1556"/>
      <c r="M113" s="1556"/>
      <c r="N113" s="1556"/>
      <c r="O113" s="1556"/>
      <c r="P113" s="1570" t="s">
        <v>2608</v>
      </c>
      <c r="Q113" s="1570"/>
      <c r="R113" s="1570"/>
      <c r="S113" s="1570"/>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557"/>
      <c r="D115" s="1557"/>
      <c r="E115" s="1557"/>
      <c r="F115" s="1557"/>
      <c r="G115" s="1557"/>
      <c r="H115" s="1557"/>
      <c r="I115" s="1557"/>
      <c r="J115" s="1557"/>
      <c r="K115" s="1557"/>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627</v>
      </c>
      <c r="Y117" s="1556"/>
      <c r="Z117" s="1556"/>
      <c r="AA117" s="1556"/>
      <c r="AB117" s="1556"/>
      <c r="AC117" s="1556"/>
      <c r="AD117" s="1556"/>
      <c r="AE117" s="1556"/>
      <c r="AF117" s="1556"/>
      <c r="AG117" s="1556"/>
      <c r="AH117" s="1556"/>
      <c r="AI117" s="1556"/>
      <c r="AJ117" s="1556"/>
      <c r="AK117" s="1556"/>
    </row>
    <row r="118" spans="1:117" ht="13" customHeight="1">
      <c r="X118" s="3"/>
      <c r="Y118" s="3"/>
      <c r="Z118" s="3" t="s">
        <v>628</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556"/>
      <c r="Z120" s="1556"/>
      <c r="AA120" s="1556"/>
      <c r="AB120" s="1556"/>
      <c r="AC120" s="1556"/>
      <c r="AD120" s="1556"/>
      <c r="AE120" s="1556"/>
      <c r="AF120" s="1556"/>
      <c r="AG120" s="1556"/>
      <c r="AH120" s="1556"/>
      <c r="AI120" s="1556"/>
      <c r="AJ120" s="1556"/>
      <c r="AK120" s="1556"/>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81" t="s">
        <v>468</v>
      </c>
      <c r="CV122" s="1682"/>
      <c r="CW122" s="14"/>
      <c r="CX122" s="14" t="s">
        <v>633</v>
      </c>
      <c r="CY122" s="14"/>
      <c r="CZ122" s="14"/>
      <c r="DA122" s="14"/>
      <c r="DB122" s="14"/>
      <c r="DC122" s="14"/>
      <c r="DD122" s="14"/>
      <c r="DE122" s="14"/>
      <c r="DF122" s="14"/>
      <c r="DG122" s="1678" t="str">
        <f>T189</f>
        <v>Contra Costa</v>
      </c>
      <c r="DH122" s="1679"/>
      <c r="DI122" s="1679"/>
      <c r="DJ122" s="1679"/>
      <c r="DK122" s="1679"/>
      <c r="DL122" s="1679"/>
      <c r="DM122" s="1680"/>
    </row>
    <row r="123" spans="1:117" ht="13" customHeight="1">
      <c r="A123" s="3"/>
      <c r="B123" s="3"/>
      <c r="T123" s="3"/>
      <c r="U123" s="3"/>
      <c r="V123" s="3"/>
      <c r="W123" s="3"/>
      <c r="X123" s="3"/>
      <c r="Y123" s="1556"/>
      <c r="Z123" s="1556"/>
      <c r="AA123" s="1556"/>
      <c r="AB123" s="1556"/>
      <c r="AC123" s="1556"/>
      <c r="AD123" s="1556"/>
      <c r="AE123" s="1556"/>
      <c r="AF123" s="1556"/>
      <c r="AG123" s="1556"/>
      <c r="AH123" s="1556"/>
      <c r="AI123" s="1556"/>
      <c r="AJ123" s="1556"/>
      <c r="AK123" s="1556"/>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3" customHeight="1">
      <c r="A150" s="3"/>
      <c r="B150" s="3"/>
      <c r="D150" s="3"/>
      <c r="E150" s="3"/>
      <c r="F150" s="1399"/>
      <c r="G150" s="1399"/>
      <c r="H150" s="1399"/>
      <c r="I150" s="1399"/>
      <c r="J150" s="1399"/>
      <c r="K150" s="1399"/>
      <c r="L150" s="1399"/>
      <c r="M150" s="1399"/>
      <c r="N150" s="1399"/>
      <c r="O150" s="1399"/>
      <c r="P150" s="1399"/>
      <c r="Q150" s="1399"/>
      <c r="R150" s="1399"/>
      <c r="S150" s="1399"/>
      <c r="T150" s="13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2394</v>
      </c>
    </row>
    <row r="152" spans="1:108" ht="13" customHeight="1">
      <c r="BM152">
        <v>4</v>
      </c>
      <c r="BN152" s="3" t="s">
        <v>2393</v>
      </c>
    </row>
    <row r="153" spans="1:108" ht="13" customHeight="1">
      <c r="D153" t="s">
        <v>644</v>
      </c>
      <c r="O153" s="1528" t="s">
        <v>2646</v>
      </c>
      <c r="P153" s="1530"/>
      <c r="Q153" s="1530"/>
      <c r="R153" s="1530"/>
      <c r="S153" s="1530"/>
      <c r="T153" s="1530"/>
      <c r="U153" s="1530"/>
      <c r="V153" s="1530"/>
      <c r="W153" s="1530"/>
      <c r="X153" s="1530"/>
      <c r="Y153" s="1530"/>
      <c r="Z153" s="1530"/>
      <c r="AA153" s="1530"/>
      <c r="AB153" s="1530"/>
      <c r="AC153" s="1530"/>
      <c r="AD153" s="1530"/>
      <c r="AE153" s="1530"/>
      <c r="AF153" s="1530"/>
      <c r="AG153" s="1530"/>
      <c r="AH153" s="1530"/>
      <c r="BM153">
        <v>5</v>
      </c>
      <c r="BN153" s="3" t="s">
        <v>2395</v>
      </c>
      <c r="CR153" s="31" t="s">
        <v>2637</v>
      </c>
      <c r="CS153" s="32"/>
      <c r="CT153" s="32"/>
      <c r="CU153" s="32"/>
      <c r="CV153" s="32"/>
      <c r="CW153" s="32"/>
      <c r="CX153" s="14"/>
      <c r="CY153" s="31" t="s">
        <v>2638</v>
      </c>
      <c r="CZ153" s="14"/>
      <c r="DA153" s="14"/>
      <c r="DB153" s="14"/>
      <c r="DC153" s="14"/>
      <c r="DD153" s="14"/>
    </row>
    <row r="154" spans="1:108" ht="13" customHeight="1">
      <c r="D154" s="303" t="s">
        <v>438</v>
      </c>
      <c r="O154" s="1542" t="s">
        <v>2647</v>
      </c>
      <c r="P154" s="1470"/>
      <c r="Q154" s="1470"/>
      <c r="R154" s="1470"/>
      <c r="S154" s="1470"/>
      <c r="T154" s="1470"/>
      <c r="U154" s="1470"/>
      <c r="V154" s="1470"/>
      <c r="W154" s="1470"/>
      <c r="X154" s="1470"/>
      <c r="Y154" s="1470"/>
      <c r="Z154" s="1470"/>
      <c r="AA154" s="1470"/>
      <c r="AB154" s="1470"/>
      <c r="AC154" s="1470"/>
      <c r="AD154" s="1470"/>
      <c r="AE154" s="1470"/>
      <c r="AF154" s="1470"/>
      <c r="AG154" s="1470"/>
      <c r="AH154" s="1470"/>
      <c r="BM154">
        <v>6</v>
      </c>
      <c r="BN154" s="3" t="s">
        <v>2396</v>
      </c>
      <c r="CR154" s="31"/>
      <c r="CS154" s="32"/>
      <c r="CT154" s="32"/>
      <c r="CU154" s="32"/>
      <c r="CV154" s="32"/>
      <c r="CW154" s="32"/>
      <c r="CX154" s="14"/>
      <c r="CY154" s="31"/>
      <c r="CZ154" s="14"/>
      <c r="DA154" s="14"/>
      <c r="DB154" s="14"/>
      <c r="DC154" s="14"/>
      <c r="DD154" s="14"/>
    </row>
    <row r="155" spans="1:108" ht="13" customHeight="1">
      <c r="D155" s="8" t="s">
        <v>440</v>
      </c>
      <c r="F155" s="8"/>
      <c r="G155" s="8"/>
      <c r="H155" s="8"/>
      <c r="I155" s="8"/>
      <c r="J155" s="8"/>
      <c r="K155" s="8"/>
      <c r="L155" s="8"/>
      <c r="M155" s="8"/>
      <c r="N155" s="8"/>
      <c r="O155" s="1541" t="s">
        <v>439</v>
      </c>
      <c r="P155" s="1541"/>
      <c r="Q155" s="1541"/>
      <c r="R155" s="1541"/>
      <c r="S155" s="1541"/>
      <c r="T155" s="1541"/>
      <c r="U155" s="1541"/>
      <c r="V155" s="1541"/>
      <c r="W155" s="1541"/>
      <c r="X155" s="1541"/>
      <c r="Y155" s="1541"/>
      <c r="Z155" s="1541"/>
      <c r="AA155" s="1541"/>
      <c r="AB155" s="1541"/>
      <c r="AC155" s="1541"/>
      <c r="AD155" s="1541"/>
      <c r="AE155" s="1541"/>
      <c r="AF155" s="1541"/>
      <c r="AG155" s="1541"/>
      <c r="AH155" s="1541"/>
      <c r="BM155">
        <v>7</v>
      </c>
      <c r="BN155" s="3" t="s">
        <v>590</v>
      </c>
      <c r="CR155" s="31"/>
      <c r="CS155" s="32"/>
      <c r="CT155" s="32"/>
      <c r="CU155" s="32"/>
      <c r="CV155" s="32"/>
      <c r="CW155" s="32"/>
      <c r="CX155" s="14"/>
      <c r="CY155" s="31"/>
      <c r="CZ155" s="14"/>
      <c r="DA155" s="14"/>
      <c r="DB155" s="14"/>
      <c r="DC155" s="14"/>
      <c r="DD155" s="14"/>
    </row>
    <row r="156" spans="1:108" ht="13" customHeight="1">
      <c r="D156" t="s">
        <v>312</v>
      </c>
      <c r="O156" s="1401" t="s">
        <v>2648</v>
      </c>
      <c r="P156" s="1401"/>
      <c r="Q156" s="1401"/>
      <c r="R156" s="1401"/>
      <c r="S156" s="1401"/>
      <c r="T156" s="1401"/>
      <c r="U156" s="1401"/>
      <c r="V156" s="1401"/>
      <c r="W156" s="1401"/>
      <c r="X156" s="1401"/>
      <c r="Y156" s="1401"/>
      <c r="Z156" s="1401"/>
      <c r="AA156" s="1401"/>
      <c r="AB156" s="1401"/>
      <c r="AC156" s="1401"/>
      <c r="AD156" s="1401"/>
      <c r="AE156" s="1401"/>
      <c r="AF156" s="1401"/>
      <c r="AG156" s="1401"/>
      <c r="AH156" s="1401"/>
      <c r="BT156" t="s">
        <v>306</v>
      </c>
      <c r="CB156" s="195" t="s">
        <v>2533</v>
      </c>
      <c r="CC156" s="196"/>
      <c r="CD156" s="196"/>
      <c r="CE156" s="196"/>
      <c r="CF156" s="196"/>
      <c r="CG156" s="196"/>
      <c r="CH156" s="196"/>
      <c r="CI156" s="3"/>
      <c r="CJ156" s="195" t="s">
        <v>2531</v>
      </c>
      <c r="CK156" s="3"/>
      <c r="CL156" s="3"/>
      <c r="CM156" s="3"/>
      <c r="CN156" s="3"/>
      <c r="CR156" s="31"/>
      <c r="CS156" s="32"/>
      <c r="CT156" s="32"/>
      <c r="CU156" s="32"/>
      <c r="CV156" s="32"/>
      <c r="CW156" s="32"/>
      <c r="CX156" s="14"/>
      <c r="CY156" s="31"/>
      <c r="CZ156" s="14"/>
      <c r="DA156" s="14"/>
      <c r="DB156" s="14"/>
      <c r="DC156" s="14"/>
      <c r="DD156" s="14"/>
    </row>
    <row r="157" spans="1:108" ht="13" customHeight="1">
      <c r="D157" t="s">
        <v>313</v>
      </c>
      <c r="O157" s="1528" t="s">
        <v>2649</v>
      </c>
      <c r="P157" s="1530"/>
      <c r="Q157" s="1530"/>
      <c r="R157" s="1530"/>
      <c r="S157" s="1530"/>
      <c r="T157" s="1530"/>
      <c r="U157" s="1530"/>
      <c r="V157" s="1530"/>
      <c r="W157" s="1530"/>
      <c r="X157" s="1530"/>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1904</v>
      </c>
      <c r="CK157" s="3"/>
      <c r="CL157" s="3"/>
      <c r="CM157" s="3"/>
      <c r="CN157" s="3"/>
      <c r="CR157" s="14"/>
      <c r="CS157" s="32"/>
      <c r="CT157" s="32"/>
      <c r="CU157" s="32"/>
      <c r="CV157" s="32"/>
      <c r="CW157" s="32"/>
      <c r="CX157" s="14"/>
      <c r="CY157" s="14"/>
      <c r="CZ157" s="14"/>
      <c r="DA157" s="14"/>
      <c r="DB157" s="14"/>
      <c r="DC157" s="14"/>
      <c r="DD157" s="14"/>
    </row>
    <row r="158" spans="1:108" ht="13" customHeight="1">
      <c r="D158" t="s">
        <v>314</v>
      </c>
      <c r="O158" s="1566">
        <v>94583</v>
      </c>
      <c r="P158" s="1566"/>
      <c r="Q158" s="1566"/>
      <c r="R158" s="1566"/>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315</v>
      </c>
      <c r="O159" s="1561" t="s">
        <v>2650</v>
      </c>
      <c r="P159" s="1561"/>
      <c r="Q159" s="1561"/>
      <c r="R159" s="1561"/>
      <c r="S159" s="1561"/>
      <c r="T159" s="1561"/>
      <c r="V159" s="97" t="s">
        <v>270</v>
      </c>
      <c r="W159" s="1567"/>
      <c r="X159" s="1567"/>
      <c r="Y159" s="10"/>
      <c r="Z159" s="10"/>
      <c r="AA159" s="10"/>
      <c r="AB159" s="10"/>
      <c r="AC159" s="10"/>
      <c r="AD159" s="10"/>
      <c r="AE159" s="10"/>
      <c r="AF159" s="10"/>
      <c r="BN159" s="23" t="s">
        <v>338</v>
      </c>
      <c r="BS159">
        <v>7</v>
      </c>
      <c r="BT159" t="s">
        <v>477</v>
      </c>
      <c r="CB159" s="347" t="s">
        <v>647</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632</v>
      </c>
      <c r="CT159" s="72" t="s">
        <v>324</v>
      </c>
      <c r="CU159" s="72" t="s">
        <v>163</v>
      </c>
      <c r="CV159" s="72" t="s">
        <v>164</v>
      </c>
      <c r="CW159" s="72" t="s">
        <v>459</v>
      </c>
      <c r="CX159" s="14"/>
      <c r="CY159" s="14"/>
      <c r="CZ159" s="71" t="s">
        <v>632</v>
      </c>
      <c r="DA159" s="72" t="s">
        <v>324</v>
      </c>
      <c r="DB159" s="72" t="s">
        <v>163</v>
      </c>
      <c r="DC159" s="72" t="s">
        <v>164</v>
      </c>
      <c r="DD159" s="72" t="s">
        <v>459</v>
      </c>
    </row>
    <row r="160" spans="1:108" ht="13" customHeight="1">
      <c r="D160" t="s">
        <v>316</v>
      </c>
      <c r="O160" s="1561" t="s">
        <v>2651</v>
      </c>
      <c r="P160" s="1561"/>
      <c r="Q160" s="1561"/>
      <c r="R160" s="1561"/>
      <c r="S160" s="1561"/>
      <c r="T160" s="1561"/>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635</v>
      </c>
      <c r="CS160" s="323">
        <v>491221</v>
      </c>
      <c r="CT160" s="323">
        <v>566373</v>
      </c>
      <c r="CU160" s="323">
        <v>683200</v>
      </c>
      <c r="CV160" s="323">
        <v>874496</v>
      </c>
      <c r="CW160" s="323">
        <v>974243</v>
      </c>
      <c r="CX160" s="14"/>
      <c r="CY160" s="23" t="s">
        <v>635</v>
      </c>
      <c r="CZ160" s="323">
        <v>491221</v>
      </c>
      <c r="DA160" s="323">
        <v>566373</v>
      </c>
      <c r="DB160" s="323">
        <v>683200</v>
      </c>
      <c r="DC160" s="323">
        <v>874496</v>
      </c>
      <c r="DD160" s="323">
        <v>974243</v>
      </c>
    </row>
    <row r="161" spans="1:108" ht="13" customHeight="1">
      <c r="D161" t="s">
        <v>317</v>
      </c>
      <c r="O161" s="1550" t="s">
        <v>2652</v>
      </c>
      <c r="P161" s="1550"/>
      <c r="Q161" s="1550"/>
      <c r="R161" s="1550"/>
      <c r="S161" s="1550"/>
      <c r="T161" s="1550"/>
      <c r="U161" s="1550"/>
      <c r="V161" s="1550"/>
      <c r="W161" s="1550"/>
      <c r="X161" s="1550"/>
      <c r="Y161" s="1550"/>
      <c r="Z161" s="1550"/>
      <c r="AA161" s="1550"/>
      <c r="AB161" s="1550"/>
      <c r="AC161" s="1550"/>
      <c r="AD161" s="1550"/>
      <c r="AE161" s="1550"/>
      <c r="AF161" s="1550"/>
      <c r="AG161" s="1550"/>
      <c r="AH161" s="1550"/>
      <c r="BJ161" t="s">
        <v>668</v>
      </c>
      <c r="BN161" s="23" t="s">
        <v>660</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636</v>
      </c>
      <c r="CS161" s="321">
        <v>402640</v>
      </c>
      <c r="CT161" s="321">
        <v>464240</v>
      </c>
      <c r="CU161" s="321">
        <v>560000</v>
      </c>
      <c r="CV161" s="321">
        <v>716800</v>
      </c>
      <c r="CW161" s="321">
        <v>798560</v>
      </c>
      <c r="CX161" s="14"/>
      <c r="CY161" s="23" t="s">
        <v>636</v>
      </c>
      <c r="CZ161" s="321">
        <v>402640</v>
      </c>
      <c r="DA161" s="321">
        <v>464240</v>
      </c>
      <c r="DB161" s="321">
        <v>560000</v>
      </c>
      <c r="DC161" s="321">
        <v>716800</v>
      </c>
      <c r="DD161" s="321">
        <v>798560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338</v>
      </c>
      <c r="CS162" s="323">
        <v>402640</v>
      </c>
      <c r="CT162" s="323">
        <v>464240</v>
      </c>
      <c r="CU162" s="323">
        <v>560000</v>
      </c>
      <c r="CV162" s="323">
        <v>716800</v>
      </c>
      <c r="CW162" s="323">
        <v>798560</v>
      </c>
      <c r="CX162" s="14"/>
      <c r="CY162" s="23" t="s">
        <v>338</v>
      </c>
      <c r="CZ162" s="323">
        <v>402640</v>
      </c>
      <c r="DA162" s="323">
        <v>464240</v>
      </c>
      <c r="DB162" s="323">
        <v>560000</v>
      </c>
      <c r="DC162" s="323">
        <v>716800</v>
      </c>
      <c r="DD162" s="323">
        <v>798560</v>
      </c>
    </row>
    <row r="163" spans="1:108" ht="13" customHeight="1">
      <c r="C163" s="27" t="s">
        <v>82</v>
      </c>
      <c r="D163" s="3" t="s">
        <v>2050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659</v>
      </c>
      <c r="CS163" s="321">
        <v>369278</v>
      </c>
      <c r="CT163" s="321">
        <v>425774</v>
      </c>
      <c r="CU163" s="321">
        <v>513600</v>
      </c>
      <c r="CV163" s="321">
        <v>657408</v>
      </c>
      <c r="CW163" s="321">
        <v>732394</v>
      </c>
      <c r="CX163" s="14"/>
      <c r="CY163" s="23" t="s">
        <v>659</v>
      </c>
      <c r="CZ163" s="321">
        <v>369278</v>
      </c>
      <c r="DA163" s="321">
        <v>425774</v>
      </c>
      <c r="DB163" s="321">
        <v>513600</v>
      </c>
      <c r="DC163" s="321">
        <v>657408</v>
      </c>
      <c r="DD163" s="321">
        <v>732394</v>
      </c>
    </row>
    <row r="164" spans="1:108" ht="13" customHeight="1">
      <c r="C164" s="27"/>
      <c r="D164" s="1558" t="s">
        <v>2169</v>
      </c>
      <c r="E164" s="1558"/>
      <c r="F164" s="1558"/>
      <c r="G164" s="1558"/>
      <c r="H164" s="1558"/>
      <c r="I164" s="1558"/>
      <c r="J164" s="1558"/>
      <c r="K164" s="1558"/>
      <c r="L164" s="1558"/>
      <c r="M164" s="1558"/>
      <c r="N164" s="1558"/>
      <c r="O164" s="1558"/>
      <c r="P164" s="1558"/>
      <c r="Q164" s="1558"/>
      <c r="R164" s="1558"/>
      <c r="S164" s="1558"/>
      <c r="T164" s="1558"/>
      <c r="U164" s="1558"/>
      <c r="V164" s="1558"/>
      <c r="W164" s="1558"/>
      <c r="X164" s="1558"/>
      <c r="Y164" s="1558"/>
      <c r="Z164" s="1558"/>
      <c r="AA164" s="1558"/>
      <c r="AB164" s="1558"/>
      <c r="AC164" s="1558"/>
      <c r="AD164" s="1558"/>
      <c r="AE164" s="1558"/>
      <c r="AF164" s="1558"/>
      <c r="AG164" s="1558"/>
      <c r="AH164" s="1558"/>
      <c r="BN164" s="23" t="s">
        <v>663</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660</v>
      </c>
      <c r="CS164" s="323">
        <v>402640</v>
      </c>
      <c r="CT164" s="323">
        <v>464240</v>
      </c>
      <c r="CU164" s="323">
        <v>560000</v>
      </c>
      <c r="CV164" s="323">
        <v>716800</v>
      </c>
      <c r="CW164" s="323">
        <v>798560</v>
      </c>
      <c r="CX164" s="14"/>
      <c r="CY164" s="23" t="s">
        <v>660</v>
      </c>
      <c r="CZ164" s="323">
        <v>402640</v>
      </c>
      <c r="DA164" s="323">
        <v>464240</v>
      </c>
      <c r="DB164" s="323">
        <v>560000</v>
      </c>
      <c r="DC164" s="323">
        <v>716800</v>
      </c>
      <c r="DD164" s="323">
        <v>798560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661</v>
      </c>
      <c r="CS165" s="321">
        <v>402640</v>
      </c>
      <c r="CT165" s="321">
        <v>464240</v>
      </c>
      <c r="CU165" s="321">
        <v>560000</v>
      </c>
      <c r="CV165" s="321">
        <v>716800</v>
      </c>
      <c r="CW165" s="321">
        <v>798560</v>
      </c>
      <c r="CX165" s="14"/>
      <c r="CY165" s="23" t="s">
        <v>661</v>
      </c>
      <c r="CZ165" s="321">
        <v>402640</v>
      </c>
      <c r="DA165" s="321">
        <v>464240</v>
      </c>
      <c r="DB165" s="321">
        <v>560000</v>
      </c>
      <c r="DC165" s="321">
        <v>716800</v>
      </c>
      <c r="DD165" s="321">
        <v>798560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662</v>
      </c>
      <c r="CS166" s="323">
        <v>491221</v>
      </c>
      <c r="CT166" s="323">
        <v>566373</v>
      </c>
      <c r="CU166" s="323">
        <v>683200</v>
      </c>
      <c r="CV166" s="323">
        <v>874496</v>
      </c>
      <c r="CW166" s="323">
        <v>974243</v>
      </c>
      <c r="CX166" s="14"/>
      <c r="CY166" s="23" t="s">
        <v>662</v>
      </c>
      <c r="CZ166" s="323">
        <v>491221</v>
      </c>
      <c r="DA166" s="323">
        <v>566373</v>
      </c>
      <c r="DB166" s="323">
        <v>683200</v>
      </c>
      <c r="DC166" s="323">
        <v>874496</v>
      </c>
      <c r="DD166" s="323">
        <v>974243</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663</v>
      </c>
      <c r="CS167" s="321">
        <v>402640</v>
      </c>
      <c r="CT167" s="321">
        <v>464240</v>
      </c>
      <c r="CU167" s="321">
        <v>560000</v>
      </c>
      <c r="CV167" s="321">
        <v>716800</v>
      </c>
      <c r="CW167" s="321">
        <v>798560</v>
      </c>
      <c r="CX167" s="14"/>
      <c r="CY167" s="23" t="s">
        <v>663</v>
      </c>
      <c r="CZ167" s="321">
        <v>402640</v>
      </c>
      <c r="DA167" s="321">
        <v>464240</v>
      </c>
      <c r="DB167" s="321">
        <v>560000</v>
      </c>
      <c r="DC167" s="321">
        <v>716800</v>
      </c>
      <c r="DD167" s="321">
        <v>798560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664</v>
      </c>
      <c r="CS168" s="323">
        <v>360075</v>
      </c>
      <c r="CT168" s="323">
        <v>415163</v>
      </c>
      <c r="CU168" s="323">
        <v>500800</v>
      </c>
      <c r="CV168" s="323">
        <v>641024</v>
      </c>
      <c r="CW168" s="323">
        <v>714141</v>
      </c>
      <c r="CX168" s="14"/>
      <c r="CY168" s="23" t="s">
        <v>664</v>
      </c>
      <c r="CZ168" s="323">
        <v>360075</v>
      </c>
      <c r="DA168" s="323">
        <v>415163</v>
      </c>
      <c r="DB168" s="323">
        <v>500800</v>
      </c>
      <c r="DC168" s="323">
        <v>641024</v>
      </c>
      <c r="DD168" s="323">
        <v>714141</v>
      </c>
    </row>
    <row r="169" spans="1:108" ht="13" customHeight="1">
      <c r="A169" s="1544" t="s">
        <v>538</v>
      </c>
      <c r="B169" s="1544"/>
      <c r="C169" s="1544"/>
      <c r="D169" s="1544"/>
      <c r="E169" s="1544"/>
      <c r="F169" s="1544"/>
      <c r="G169" s="1544"/>
      <c r="H169" s="1544"/>
      <c r="I169" s="1544"/>
      <c r="J169" s="1544"/>
      <c r="K169" s="1544"/>
      <c r="L169" s="1544"/>
      <c r="M169" s="1544"/>
      <c r="N169" s="1544"/>
      <c r="O169" s="1544"/>
      <c r="P169" s="1544"/>
      <c r="Q169" s="1544"/>
      <c r="R169" s="1544"/>
      <c r="S169" s="1544"/>
      <c r="T169" s="1544"/>
      <c r="U169" s="1544"/>
      <c r="V169" s="1544"/>
      <c r="W169" s="1544"/>
      <c r="X169" s="1544"/>
      <c r="Y169" s="1544"/>
      <c r="Z169" s="1544"/>
      <c r="AA169" s="1544"/>
      <c r="AB169" s="1544"/>
      <c r="AC169" s="1544"/>
      <c r="AD169" s="1544"/>
      <c r="AE169" s="1544"/>
      <c r="AF169" s="1544"/>
      <c r="AG169" s="1544"/>
      <c r="AH169" s="1544"/>
      <c r="AI169" s="1544"/>
      <c r="AJ169" s="1544"/>
      <c r="AK169" s="1544"/>
      <c r="AL169" s="1544"/>
      <c r="AM169" s="1544"/>
      <c r="AN169" s="1544"/>
      <c r="AO169" s="1544"/>
      <c r="AP169" s="1544"/>
      <c r="AQ169" s="1544"/>
      <c r="AR169" s="1544"/>
      <c r="AS169" s="1544"/>
      <c r="AT169" s="1544"/>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666</v>
      </c>
      <c r="CS169" s="321">
        <v>323262</v>
      </c>
      <c r="CT169" s="321">
        <v>372718</v>
      </c>
      <c r="CU169" s="321">
        <v>449600</v>
      </c>
      <c r="CV169" s="321">
        <v>575488</v>
      </c>
      <c r="CW169" s="321">
        <v>641130</v>
      </c>
      <c r="CX169" s="14"/>
      <c r="CY169" s="23" t="s">
        <v>666</v>
      </c>
      <c r="CZ169" s="321">
        <v>323262</v>
      </c>
      <c r="DA169" s="321">
        <v>372718</v>
      </c>
      <c r="DB169" s="321">
        <v>449600</v>
      </c>
      <c r="DC169" s="321">
        <v>575488</v>
      </c>
      <c r="DD169" s="321">
        <v>641130</v>
      </c>
    </row>
    <row r="170" spans="1:108" ht="13" customHeight="1">
      <c r="A170" s="1544"/>
      <c r="B170" s="1544"/>
      <c r="C170" s="1544"/>
      <c r="D170" s="1544"/>
      <c r="E170" s="1544"/>
      <c r="F170" s="1544"/>
      <c r="G170" s="1544"/>
      <c r="H170" s="1544"/>
      <c r="I170" s="1544"/>
      <c r="J170" s="1544"/>
      <c r="K170" s="1544"/>
      <c r="L170" s="1544"/>
      <c r="M170" s="1544"/>
      <c r="N170" s="1544"/>
      <c r="O170" s="1544"/>
      <c r="P170" s="1544"/>
      <c r="Q170" s="1544"/>
      <c r="R170" s="1544"/>
      <c r="S170" s="1544"/>
      <c r="T170" s="1544"/>
      <c r="U170" s="1544"/>
      <c r="V170" s="1544"/>
      <c r="W170" s="1544"/>
      <c r="X170" s="1544"/>
      <c r="Y170" s="1544"/>
      <c r="Z170" s="1544"/>
      <c r="AA170" s="1544"/>
      <c r="AB170" s="1544"/>
      <c r="AC170" s="1544"/>
      <c r="AD170" s="1544"/>
      <c r="AE170" s="1544"/>
      <c r="AF170" s="1544"/>
      <c r="AG170" s="1544"/>
      <c r="AH170" s="1544"/>
      <c r="AI170" s="1544"/>
      <c r="AJ170" s="1544"/>
      <c r="AK170" s="1544"/>
      <c r="AL170" s="1544"/>
      <c r="AM170" s="1544"/>
      <c r="AN170" s="1544"/>
      <c r="AO170" s="1544"/>
      <c r="AP170" s="1544"/>
      <c r="AQ170" s="1544"/>
      <c r="AR170" s="1544"/>
      <c r="AS170" s="1544"/>
      <c r="AT170" s="1544"/>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669</v>
      </c>
      <c r="CS170" s="323">
        <v>402640</v>
      </c>
      <c r="CT170" s="323">
        <v>464240</v>
      </c>
      <c r="CU170" s="323">
        <v>560000</v>
      </c>
      <c r="CV170" s="323">
        <v>716800</v>
      </c>
      <c r="CW170" s="323">
        <v>798560</v>
      </c>
      <c r="CX170" s="14"/>
      <c r="CY170" s="23" t="s">
        <v>669</v>
      </c>
      <c r="CZ170" s="323">
        <v>402640</v>
      </c>
      <c r="DA170" s="323">
        <v>464240</v>
      </c>
      <c r="DB170" s="323">
        <v>560000</v>
      </c>
      <c r="DC170" s="323">
        <v>716800</v>
      </c>
      <c r="DD170" s="323">
        <v>798560</v>
      </c>
    </row>
    <row r="171" spans="1:108" ht="13" customHeight="1">
      <c r="BN171" s="23" t="s">
        <v>210</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670</v>
      </c>
      <c r="CS171" s="321">
        <v>402640</v>
      </c>
      <c r="CT171" s="321">
        <v>464240</v>
      </c>
      <c r="CU171" s="321">
        <v>560000</v>
      </c>
      <c r="CV171" s="321">
        <v>716800</v>
      </c>
      <c r="CW171" s="321">
        <v>798560</v>
      </c>
      <c r="CX171" s="14"/>
      <c r="CY171" s="23" t="s">
        <v>670</v>
      </c>
      <c r="CZ171" s="321">
        <v>402640</v>
      </c>
      <c r="DA171" s="321">
        <v>464240</v>
      </c>
      <c r="DB171" s="321">
        <v>560000</v>
      </c>
      <c r="DC171" s="321">
        <v>716800</v>
      </c>
      <c r="DD171" s="321">
        <v>798560</v>
      </c>
    </row>
    <row r="172" spans="1:108" ht="13"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672</v>
      </c>
      <c r="CS172" s="323">
        <v>381933</v>
      </c>
      <c r="CT172" s="323">
        <v>440365</v>
      </c>
      <c r="CU172" s="323">
        <v>531200</v>
      </c>
      <c r="CV172" s="323">
        <v>679936</v>
      </c>
      <c r="CW172" s="323">
        <v>757491</v>
      </c>
      <c r="CX172" s="14"/>
      <c r="CY172" s="23" t="s">
        <v>672</v>
      </c>
      <c r="CZ172" s="323">
        <v>381933</v>
      </c>
      <c r="DA172" s="323">
        <v>440365</v>
      </c>
      <c r="DB172" s="323">
        <v>531200</v>
      </c>
      <c r="DC172" s="323">
        <v>679936</v>
      </c>
      <c r="DD172" s="323">
        <v>757491</v>
      </c>
    </row>
    <row r="173" spans="1:108" ht="13" customHeight="1">
      <c r="C173" s="24"/>
      <c r="D173" t="s">
        <v>320</v>
      </c>
      <c r="J173" s="1540" t="s">
        <v>370</v>
      </c>
      <c r="K173" s="1540"/>
      <c r="L173" s="1540"/>
      <c r="M173" s="1540"/>
      <c r="N173" s="1540"/>
      <c r="O173" s="1540"/>
      <c r="P173" s="1540"/>
      <c r="Q173" s="1540"/>
      <c r="R173" s="1540"/>
      <c r="S173" s="1540"/>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673</v>
      </c>
      <c r="CS173" s="321">
        <v>402640</v>
      </c>
      <c r="CT173" s="321">
        <v>464240</v>
      </c>
      <c r="CU173" s="321">
        <v>560000</v>
      </c>
      <c r="CV173" s="321">
        <v>716800</v>
      </c>
      <c r="CW173" s="321">
        <v>798560</v>
      </c>
      <c r="CX173" s="14"/>
      <c r="CY173" s="23" t="s">
        <v>673</v>
      </c>
      <c r="CZ173" s="321">
        <v>402640</v>
      </c>
      <c r="DA173" s="321">
        <v>464240</v>
      </c>
      <c r="DB173" s="321">
        <v>560000</v>
      </c>
      <c r="DC173" s="321">
        <v>716800</v>
      </c>
      <c r="DD173" s="321">
        <v>798560</v>
      </c>
    </row>
    <row r="174" spans="1:108" ht="13" customHeight="1">
      <c r="C174" s="24"/>
      <c r="D174" s="3" t="s">
        <v>1200</v>
      </c>
      <c r="J174" s="1401" t="s">
        <v>2055</v>
      </c>
      <c r="K174" s="1401"/>
      <c r="L174" s="1401"/>
      <c r="M174" s="1401"/>
      <c r="N174" s="1401"/>
      <c r="O174" s="1401"/>
      <c r="P174" s="1401"/>
      <c r="Q174" s="1401"/>
      <c r="R174" s="1401"/>
      <c r="S174" s="1401"/>
      <c r="T174" s="1401"/>
      <c r="U174" s="1401"/>
      <c r="V174" s="1401"/>
      <c r="W174" s="1401"/>
      <c r="X174" s="1401"/>
      <c r="Y174" s="1401"/>
      <c r="Z174" s="1401"/>
      <c r="AA174" s="1401"/>
      <c r="AB174" s="1401"/>
      <c r="BB174" t="s">
        <v>1941</v>
      </c>
      <c r="BN174" s="23" t="s">
        <v>215</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210</v>
      </c>
      <c r="CS174" s="323">
        <v>323262</v>
      </c>
      <c r="CT174" s="323">
        <v>372718</v>
      </c>
      <c r="CU174" s="323">
        <v>449600</v>
      </c>
      <c r="CV174" s="323">
        <v>575488</v>
      </c>
      <c r="CW174" s="323">
        <v>641130</v>
      </c>
      <c r="CX174" s="14"/>
      <c r="CY174" s="23" t="s">
        <v>210</v>
      </c>
      <c r="CZ174" s="323">
        <v>323262</v>
      </c>
      <c r="DA174" s="323">
        <v>372718</v>
      </c>
      <c r="DB174" s="323">
        <v>449600</v>
      </c>
      <c r="DC174" s="323">
        <v>575488</v>
      </c>
      <c r="DD174" s="323">
        <v>641130</v>
      </c>
    </row>
    <row r="175" spans="1:108" ht="13" customHeight="1">
      <c r="C175" s="8"/>
      <c r="D175" s="3" t="s">
        <v>321</v>
      </c>
      <c r="O175" s="27"/>
      <c r="U175" s="1409" t="s">
        <v>544</v>
      </c>
      <c r="V175" s="1409"/>
      <c r="BB175" t="s">
        <v>1909</v>
      </c>
      <c r="BN175" s="23" t="s">
        <v>216</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212</v>
      </c>
      <c r="CS175" s="321">
        <v>323262</v>
      </c>
      <c r="CT175" s="321">
        <v>372718</v>
      </c>
      <c r="CU175" s="321">
        <v>449600</v>
      </c>
      <c r="CV175" s="321">
        <v>575488</v>
      </c>
      <c r="CW175" s="321">
        <v>641130</v>
      </c>
      <c r="CX175" s="14"/>
      <c r="CY175" s="23" t="s">
        <v>212</v>
      </c>
      <c r="CZ175" s="321">
        <v>323262</v>
      </c>
      <c r="DA175" s="321">
        <v>372718</v>
      </c>
      <c r="DB175" s="321">
        <v>449600</v>
      </c>
      <c r="DC175" s="321">
        <v>575488</v>
      </c>
      <c r="DD175" s="321">
        <v>641130</v>
      </c>
    </row>
    <row r="176" spans="1:108" ht="13" customHeight="1">
      <c r="C176" s="8"/>
      <c r="D176" s="26"/>
      <c r="E176" t="s">
        <v>303</v>
      </c>
      <c r="O176" s="27"/>
      <c r="P176" t="s">
        <v>2034</v>
      </c>
      <c r="T176" s="27" t="s">
        <v>304</v>
      </c>
      <c r="U176" s="1508">
        <v>25</v>
      </c>
      <c r="V176" s="1508"/>
      <c r="W176" s="1" t="s">
        <v>305</v>
      </c>
      <c r="X176" s="1574">
        <v>793</v>
      </c>
      <c r="Y176" s="1574"/>
      <c r="BB176" t="s">
        <v>1942</v>
      </c>
      <c r="BN176" s="23" t="s">
        <v>218</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213</v>
      </c>
      <c r="CS176" s="323">
        <v>402640</v>
      </c>
      <c r="CT176" s="323">
        <v>464240</v>
      </c>
      <c r="CU176" s="323">
        <v>560000</v>
      </c>
      <c r="CV176" s="323">
        <v>716800</v>
      </c>
      <c r="CW176" s="323">
        <v>798560</v>
      </c>
      <c r="CX176" s="14"/>
      <c r="CY176" s="23" t="s">
        <v>213</v>
      </c>
      <c r="CZ176" s="323">
        <v>402640</v>
      </c>
      <c r="DA176" s="323">
        <v>464240</v>
      </c>
      <c r="DB176" s="323">
        <v>560000</v>
      </c>
      <c r="DC176" s="323">
        <v>716800</v>
      </c>
      <c r="DD176" s="323">
        <v>798560</v>
      </c>
    </row>
    <row r="177" spans="1:108" ht="13" customHeight="1">
      <c r="C177" s="24"/>
      <c r="D177" t="s">
        <v>248</v>
      </c>
      <c r="R177" s="1409" t="s">
        <v>668</v>
      </c>
      <c r="S177" s="1409"/>
      <c r="BB177" t="s">
        <v>2166</v>
      </c>
      <c r="BN177" s="23" t="s">
        <v>219</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215</v>
      </c>
      <c r="CS177" s="321">
        <v>402640</v>
      </c>
      <c r="CT177" s="321">
        <v>464240</v>
      </c>
      <c r="CU177" s="321">
        <v>560000</v>
      </c>
      <c r="CV177" s="321">
        <v>716800</v>
      </c>
      <c r="CW177" s="321">
        <v>798560</v>
      </c>
      <c r="CX177" s="14"/>
      <c r="CY177" s="23" t="s">
        <v>215</v>
      </c>
      <c r="CZ177" s="321">
        <v>402640</v>
      </c>
      <c r="DA177" s="321">
        <v>464240</v>
      </c>
      <c r="DB177" s="321">
        <v>560000</v>
      </c>
      <c r="DC177" s="321">
        <v>716800</v>
      </c>
      <c r="DD177" s="321">
        <v>798560</v>
      </c>
    </row>
    <row r="178" spans="1:108" ht="13" customHeight="1">
      <c r="C178" s="24"/>
      <c r="D178" s="3" t="s">
        <v>1201</v>
      </c>
      <c r="AA178" t="s">
        <v>2034</v>
      </c>
      <c r="AE178" s="27" t="s">
        <v>304</v>
      </c>
      <c r="AF178" s="1573"/>
      <c r="AG178" s="1573"/>
      <c r="AH178" s="1" t="s">
        <v>305</v>
      </c>
      <c r="AI178" s="1536"/>
      <c r="AJ178" s="1536"/>
      <c r="AK178" s="1536"/>
      <c r="BB178" t="s">
        <v>2167</v>
      </c>
      <c r="BN178" s="23" t="s">
        <v>220</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3" customHeight="1">
      <c r="C179" s="24"/>
      <c r="BN179" s="23" t="s">
        <v>221</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218</v>
      </c>
      <c r="CS179" s="321">
        <v>323262</v>
      </c>
      <c r="CT179" s="321">
        <v>372718</v>
      </c>
      <c r="CU179" s="321">
        <v>449600</v>
      </c>
      <c r="CV179" s="321">
        <v>575488</v>
      </c>
      <c r="CW179" s="321">
        <v>641130</v>
      </c>
      <c r="CX179" s="14"/>
      <c r="CY179" s="23" t="s">
        <v>218</v>
      </c>
      <c r="CZ179" s="321">
        <v>323262</v>
      </c>
      <c r="DA179" s="321">
        <v>372718</v>
      </c>
      <c r="DB179" s="321">
        <v>449600</v>
      </c>
      <c r="DC179" s="321">
        <v>575488</v>
      </c>
      <c r="DD179" s="321">
        <v>641130</v>
      </c>
    </row>
    <row r="180" spans="1:108" ht="13" customHeight="1">
      <c r="C180" s="24"/>
      <c r="D180" s="3" t="s">
        <v>2633</v>
      </c>
      <c r="X180" s="1409" t="s">
        <v>668</v>
      </c>
      <c r="Y180" s="1409"/>
      <c r="BN180" s="23" t="s">
        <v>223</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219</v>
      </c>
      <c r="CS180" s="323">
        <v>406666</v>
      </c>
      <c r="CT180" s="323">
        <v>468882</v>
      </c>
      <c r="CU180" s="323">
        <v>565600</v>
      </c>
      <c r="CV180" s="323">
        <v>723968</v>
      </c>
      <c r="CW180" s="323">
        <v>806546</v>
      </c>
      <c r="CX180" s="14"/>
      <c r="CY180" s="23" t="s">
        <v>219</v>
      </c>
      <c r="CZ180" s="323">
        <v>406666</v>
      </c>
      <c r="DA180" s="323">
        <v>468882</v>
      </c>
      <c r="DB180" s="323">
        <v>565600</v>
      </c>
      <c r="DC180" s="323">
        <v>723968</v>
      </c>
      <c r="DD180" s="323">
        <v>806546</v>
      </c>
    </row>
    <row r="181" spans="1:108" ht="13" customHeight="1">
      <c r="C181" s="8"/>
      <c r="E181" s="4" t="s">
        <v>974</v>
      </c>
      <c r="BN181" s="23" t="s">
        <v>224</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220</v>
      </c>
      <c r="CS181" s="321">
        <v>402640</v>
      </c>
      <c r="CT181" s="321">
        <v>464240</v>
      </c>
      <c r="CU181" s="321">
        <v>560000</v>
      </c>
      <c r="CV181" s="321">
        <v>716800</v>
      </c>
      <c r="CW181" s="321">
        <v>798560</v>
      </c>
      <c r="CX181" s="14"/>
      <c r="CY181" s="23" t="s">
        <v>220</v>
      </c>
      <c r="CZ181" s="321">
        <v>402640</v>
      </c>
      <c r="DA181" s="321">
        <v>464240</v>
      </c>
      <c r="DB181" s="321">
        <v>560000</v>
      </c>
      <c r="DC181" s="321">
        <v>716800</v>
      </c>
      <c r="DD181" s="321">
        <v>798560</v>
      </c>
    </row>
    <row r="182" spans="1:108" ht="13" customHeight="1">
      <c r="C182" s="530"/>
      <c r="BN182" s="23" t="s">
        <v>225</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221</v>
      </c>
      <c r="CS182" s="323">
        <v>402640</v>
      </c>
      <c r="CT182" s="323">
        <v>464240</v>
      </c>
      <c r="CU182" s="323">
        <v>560000</v>
      </c>
      <c r="CV182" s="323">
        <v>716800</v>
      </c>
      <c r="CW182" s="323">
        <v>798560</v>
      </c>
      <c r="CX182" s="14"/>
      <c r="CY182" s="23" t="s">
        <v>221</v>
      </c>
      <c r="CZ182" s="323">
        <v>402640</v>
      </c>
      <c r="DA182" s="323">
        <v>464240</v>
      </c>
      <c r="DB182" s="323">
        <v>560000</v>
      </c>
      <c r="DC182" s="323">
        <v>716800</v>
      </c>
      <c r="DD182" s="323">
        <v>798560</v>
      </c>
    </row>
    <row r="183" spans="1:108" ht="13"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223</v>
      </c>
      <c r="CS183" s="321">
        <v>323262</v>
      </c>
      <c r="CT183" s="321">
        <v>372718</v>
      </c>
      <c r="CU183" s="321">
        <v>449600</v>
      </c>
      <c r="CV183" s="321">
        <v>575488</v>
      </c>
      <c r="CW183" s="321">
        <v>641130</v>
      </c>
      <c r="CX183" s="14"/>
      <c r="CY183" s="23" t="s">
        <v>223</v>
      </c>
      <c r="CZ183" s="321">
        <v>323262</v>
      </c>
      <c r="DA183" s="321">
        <v>372718</v>
      </c>
      <c r="DB183" s="321">
        <v>449600</v>
      </c>
      <c r="DC183" s="321">
        <v>575488</v>
      </c>
      <c r="DD183" s="321">
        <v>641130</v>
      </c>
    </row>
    <row r="184" spans="1:108" ht="13" customHeight="1">
      <c r="C184" s="21"/>
      <c r="D184" t="s">
        <v>577</v>
      </c>
      <c r="I184" s="1479" t="str">
        <f>H18</f>
        <v>Bella Village Apartments</v>
      </c>
      <c r="J184" s="1479"/>
      <c r="K184" s="1479"/>
      <c r="L184" s="1479"/>
      <c r="M184" s="1479"/>
      <c r="N184" s="1479"/>
      <c r="O184" s="1479"/>
      <c r="P184" s="1479"/>
      <c r="Q184" s="1479"/>
      <c r="R184" s="1479"/>
      <c r="S184" s="1479"/>
      <c r="T184" s="1479"/>
      <c r="U184" s="1479"/>
      <c r="V184" s="1479"/>
      <c r="W184" s="1479"/>
      <c r="X184" s="1479"/>
      <c r="Y184" s="1479"/>
      <c r="Z184" s="1479"/>
      <c r="AA184" s="1479"/>
      <c r="AB184" s="1479"/>
      <c r="AC184" s="1479"/>
      <c r="AD184" s="1479"/>
      <c r="AE184" s="1479"/>
      <c r="BC184" t="s">
        <v>586</v>
      </c>
      <c r="BN184" s="23" t="s">
        <v>229</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224</v>
      </c>
      <c r="CS184" s="323">
        <v>402640</v>
      </c>
      <c r="CT184" s="323">
        <v>464240</v>
      </c>
      <c r="CU184" s="323">
        <v>560000</v>
      </c>
      <c r="CV184" s="323">
        <v>716800</v>
      </c>
      <c r="CW184" s="323">
        <v>798560</v>
      </c>
      <c r="CX184" s="14"/>
      <c r="CY184" s="23" t="s">
        <v>224</v>
      </c>
      <c r="CZ184" s="323">
        <v>402640</v>
      </c>
      <c r="DA184" s="323">
        <v>464240</v>
      </c>
      <c r="DB184" s="323">
        <v>560000</v>
      </c>
      <c r="DC184" s="323">
        <v>716800</v>
      </c>
      <c r="DD184" s="323">
        <v>798560</v>
      </c>
    </row>
    <row r="185" spans="1:108" ht="13" customHeight="1">
      <c r="C185" s="21"/>
      <c r="D185" t="s">
        <v>578</v>
      </c>
      <c r="I185" s="1428" t="s">
        <v>2653</v>
      </c>
      <c r="J185" s="1428"/>
      <c r="K185" s="1428"/>
      <c r="L185" s="1428"/>
      <c r="M185" s="1428"/>
      <c r="N185" s="1428"/>
      <c r="O185" s="1428"/>
      <c r="P185" s="1428"/>
      <c r="Q185" s="1428"/>
      <c r="R185" s="1428"/>
      <c r="S185" s="1428"/>
      <c r="T185" s="1428"/>
      <c r="U185" s="1428"/>
      <c r="V185" s="1428"/>
      <c r="W185" s="1428"/>
      <c r="X185" s="1428"/>
      <c r="Y185" s="1428"/>
      <c r="Z185" s="1428"/>
      <c r="AA185" s="1428"/>
      <c r="AB185" s="1428"/>
      <c r="AC185" s="1428"/>
      <c r="AD185" s="1428"/>
      <c r="AE185" s="1428"/>
      <c r="BC185" t="s">
        <v>587</v>
      </c>
      <c r="BN185" s="23" t="s">
        <v>230</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225</v>
      </c>
      <c r="CS185" s="321">
        <v>402640</v>
      </c>
      <c r="CT185" s="321">
        <v>464240</v>
      </c>
      <c r="CU185" s="321">
        <v>560000</v>
      </c>
      <c r="CV185" s="321">
        <v>716800</v>
      </c>
      <c r="CW185" s="321">
        <v>798560</v>
      </c>
      <c r="CX185" s="14"/>
      <c r="CY185" s="23" t="s">
        <v>225</v>
      </c>
      <c r="CZ185" s="321">
        <v>402640</v>
      </c>
      <c r="DA185" s="321">
        <v>464240</v>
      </c>
      <c r="DB185" s="321">
        <v>560000</v>
      </c>
      <c r="DC185" s="321">
        <v>716800</v>
      </c>
      <c r="DD185" s="321">
        <v>798560</v>
      </c>
    </row>
    <row r="186" spans="1:108" ht="13"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227</v>
      </c>
      <c r="CS186" s="323">
        <v>442904</v>
      </c>
      <c r="CT186" s="323">
        <v>510664</v>
      </c>
      <c r="CU186" s="323">
        <v>616000</v>
      </c>
      <c r="CV186" s="323">
        <v>788480</v>
      </c>
      <c r="CW186" s="323">
        <v>878416</v>
      </c>
      <c r="CX186" s="14"/>
      <c r="CY186" s="23" t="s">
        <v>227</v>
      </c>
      <c r="CZ186" s="323">
        <v>442904</v>
      </c>
      <c r="DA186" s="323">
        <v>510664</v>
      </c>
      <c r="DB186" s="323">
        <v>616000</v>
      </c>
      <c r="DC186" s="323">
        <v>788480</v>
      </c>
      <c r="DD186" s="323">
        <v>878416</v>
      </c>
    </row>
    <row r="187" spans="1:108" ht="13" customHeight="1">
      <c r="C187" s="21"/>
      <c r="E187" s="1533"/>
      <c r="F187" s="1533"/>
      <c r="G187" s="1533"/>
      <c r="H187" s="1533"/>
      <c r="I187" s="1533"/>
      <c r="J187" s="1533"/>
      <c r="K187" s="1533"/>
      <c r="L187" s="1533"/>
      <c r="M187" s="1533"/>
      <c r="N187" s="1533"/>
      <c r="O187" s="1533"/>
      <c r="P187" s="1533"/>
      <c r="Q187" s="1533"/>
      <c r="R187" s="1533"/>
      <c r="S187" s="1533"/>
      <c r="T187" s="1533"/>
      <c r="U187" s="1533"/>
      <c r="V187" s="1533"/>
      <c r="W187" s="1533"/>
      <c r="X187" s="1533"/>
      <c r="Y187" s="1533"/>
      <c r="Z187" s="1533"/>
      <c r="AA187" s="1533"/>
      <c r="AB187" s="1533"/>
      <c r="AC187" s="1533"/>
      <c r="AD187" s="1533"/>
      <c r="AE187" s="1533"/>
      <c r="BN187" s="23" t="s">
        <v>232</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229</v>
      </c>
      <c r="CS187" s="321">
        <v>406666</v>
      </c>
      <c r="CT187" s="321">
        <v>468882</v>
      </c>
      <c r="CU187" s="321">
        <v>565600</v>
      </c>
      <c r="CV187" s="321">
        <v>723968</v>
      </c>
      <c r="CW187" s="321">
        <v>806546</v>
      </c>
      <c r="CX187" s="14"/>
      <c r="CY187" s="23" t="s">
        <v>229</v>
      </c>
      <c r="CZ187" s="321">
        <v>406666</v>
      </c>
      <c r="DA187" s="321">
        <v>468882</v>
      </c>
      <c r="DB187" s="321">
        <v>565600</v>
      </c>
      <c r="DC187" s="321">
        <v>723968</v>
      </c>
      <c r="DD187" s="321">
        <v>806546</v>
      </c>
    </row>
    <row r="188" spans="1:108" ht="13" customHeight="1">
      <c r="C188" s="21"/>
      <c r="E188" s="1534"/>
      <c r="F188" s="1534"/>
      <c r="G188" s="1534"/>
      <c r="H188" s="1534"/>
      <c r="I188" s="1534"/>
      <c r="J188" s="1534"/>
      <c r="K188" s="1534"/>
      <c r="L188" s="1534"/>
      <c r="M188" s="1534"/>
      <c r="N188" s="1534"/>
      <c r="O188" s="1534"/>
      <c r="P188" s="1534"/>
      <c r="Q188" s="1534"/>
      <c r="R188" s="1534"/>
      <c r="S188" s="1534"/>
      <c r="T188" s="1534"/>
      <c r="U188" s="1534"/>
      <c r="V188" s="1534"/>
      <c r="W188" s="1534"/>
      <c r="X188" s="1534"/>
      <c r="Y188" s="1534"/>
      <c r="Z188" s="1534"/>
      <c r="AA188" s="1534"/>
      <c r="AB188" s="1534"/>
      <c r="AC188" s="1534"/>
      <c r="AD188" s="1534"/>
      <c r="AE188" s="1534"/>
      <c r="BN188" s="23" t="s">
        <v>234</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230</v>
      </c>
      <c r="CS188" s="323">
        <v>402640</v>
      </c>
      <c r="CT188" s="323">
        <v>464240</v>
      </c>
      <c r="CU188" s="323">
        <v>560000</v>
      </c>
      <c r="CV188" s="323">
        <v>716800</v>
      </c>
      <c r="CW188" s="323">
        <v>798560</v>
      </c>
      <c r="CX188" s="14"/>
      <c r="CY188" s="23" t="s">
        <v>230</v>
      </c>
      <c r="CZ188" s="323">
        <v>402640</v>
      </c>
      <c r="DA188" s="323">
        <v>464240</v>
      </c>
      <c r="DB188" s="323">
        <v>560000</v>
      </c>
      <c r="DC188" s="323">
        <v>716800</v>
      </c>
      <c r="DD188" s="323">
        <v>798560</v>
      </c>
    </row>
    <row r="189" spans="1:108" ht="13" customHeight="1">
      <c r="C189" s="21"/>
      <c r="D189" t="s">
        <v>579</v>
      </c>
      <c r="I189" s="1528" t="s">
        <v>2649</v>
      </c>
      <c r="J189" s="1401"/>
      <c r="K189" s="1401"/>
      <c r="L189" s="1401"/>
      <c r="M189" s="1401"/>
      <c r="N189" s="1401"/>
      <c r="O189" s="1401"/>
      <c r="P189" s="1401"/>
      <c r="Q189" t="s">
        <v>581</v>
      </c>
      <c r="T189" s="1401" t="s">
        <v>481</v>
      </c>
      <c r="U189" s="1401"/>
      <c r="V189" s="1401"/>
      <c r="W189" s="1401"/>
      <c r="X189" s="1401"/>
      <c r="Y189" s="1401"/>
      <c r="Z189" s="1401"/>
      <c r="AA189" s="1401"/>
      <c r="AB189" s="1401"/>
      <c r="AC189" s="1401"/>
      <c r="AD189" s="1401"/>
      <c r="AE189" s="1401"/>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231</v>
      </c>
      <c r="CS189" s="321">
        <v>402065</v>
      </c>
      <c r="CT189" s="321">
        <v>463577</v>
      </c>
      <c r="CU189" s="321">
        <v>559200</v>
      </c>
      <c r="CV189" s="321">
        <v>715776</v>
      </c>
      <c r="CW189" s="321">
        <v>797419</v>
      </c>
      <c r="CX189" s="14"/>
      <c r="CY189" s="23" t="s">
        <v>231</v>
      </c>
      <c r="CZ189" s="321">
        <v>402065</v>
      </c>
      <c r="DA189" s="321">
        <v>463577</v>
      </c>
      <c r="DB189" s="321">
        <v>559200</v>
      </c>
      <c r="DC189" s="321">
        <v>715776</v>
      </c>
      <c r="DD189" s="321">
        <v>797419</v>
      </c>
    </row>
    <row r="190" spans="1:108" ht="13" customHeight="1">
      <c r="C190" s="21"/>
      <c r="D190" t="s">
        <v>582</v>
      </c>
      <c r="I190" s="1428">
        <v>94583</v>
      </c>
      <c r="J190" s="1428"/>
      <c r="K190" s="1428"/>
      <c r="L190" s="1428"/>
      <c r="M190" s="1428"/>
      <c r="N190" s="1428"/>
      <c r="O190" t="s">
        <v>584</v>
      </c>
      <c r="T190" s="1564">
        <v>3452.05</v>
      </c>
      <c r="U190" s="1564"/>
      <c r="V190" s="1564"/>
      <c r="W190" s="1564"/>
      <c r="X190" s="1564"/>
      <c r="Y190" s="1564"/>
      <c r="Z190" s="1564"/>
      <c r="AA190" s="1564"/>
      <c r="AB190" s="1564"/>
      <c r="AC190" s="1564"/>
      <c r="AD190" s="1564"/>
      <c r="AE190" s="1564"/>
      <c r="BC190" t="s">
        <v>1039</v>
      </c>
      <c r="BH190" t="s">
        <v>1039</v>
      </c>
      <c r="BN190" s="23" t="s">
        <v>634</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232</v>
      </c>
      <c r="CS190" s="323">
        <v>360075</v>
      </c>
      <c r="CT190" s="323">
        <v>415163</v>
      </c>
      <c r="CU190" s="323">
        <v>500800</v>
      </c>
      <c r="CV190" s="323">
        <v>641024</v>
      </c>
      <c r="CW190" s="323">
        <v>714141</v>
      </c>
      <c r="CX190" s="14"/>
      <c r="CY190" s="23" t="s">
        <v>232</v>
      </c>
      <c r="CZ190" s="323">
        <v>360075</v>
      </c>
      <c r="DA190" s="323">
        <v>415163</v>
      </c>
      <c r="DB190" s="323">
        <v>500800</v>
      </c>
      <c r="DC190" s="323">
        <v>641024</v>
      </c>
      <c r="DD190" s="323">
        <v>714141</v>
      </c>
    </row>
    <row r="191" spans="1:108" ht="13" customHeight="1">
      <c r="C191" s="21"/>
      <c r="D191" t="s">
        <v>461</v>
      </c>
      <c r="N191" s="1533"/>
      <c r="O191" s="1533"/>
      <c r="P191" s="1533"/>
      <c r="Q191" s="1533"/>
      <c r="R191" s="1533"/>
      <c r="S191" s="1533"/>
      <c r="T191" s="1533"/>
      <c r="U191" s="1533"/>
      <c r="V191" s="1533"/>
      <c r="W191" s="1533"/>
      <c r="X191" s="1533"/>
      <c r="Y191" s="1533"/>
      <c r="Z191" s="1533"/>
      <c r="AA191" s="1533"/>
      <c r="AB191" s="1533"/>
      <c r="AC191" s="1533"/>
      <c r="AD191" s="1533"/>
      <c r="AE191" s="1533"/>
      <c r="BC191" t="s">
        <v>1038</v>
      </c>
      <c r="BH191" t="s">
        <v>1038</v>
      </c>
      <c r="BN191" s="23" t="s">
        <v>687</v>
      </c>
      <c r="BS191">
        <v>4</v>
      </c>
      <c r="BT191" t="s">
        <v>726</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234</v>
      </c>
      <c r="CS191" s="321">
        <v>402640</v>
      </c>
      <c r="CT191" s="321">
        <v>464240</v>
      </c>
      <c r="CU191" s="321">
        <v>560000</v>
      </c>
      <c r="CV191" s="321">
        <v>716800</v>
      </c>
      <c r="CW191" s="321">
        <v>798560</v>
      </c>
      <c r="CX191" s="14"/>
      <c r="CY191" s="23" t="s">
        <v>234</v>
      </c>
      <c r="CZ191" s="321">
        <v>402640</v>
      </c>
      <c r="DA191" s="321">
        <v>464240</v>
      </c>
      <c r="DB191" s="321">
        <v>560000</v>
      </c>
      <c r="DC191" s="321">
        <v>716800</v>
      </c>
      <c r="DD191" s="321">
        <v>798560</v>
      </c>
    </row>
    <row r="192" spans="1:108" ht="13" customHeight="1">
      <c r="C192" s="21"/>
      <c r="M192" s="40"/>
      <c r="N192" s="1534"/>
      <c r="O192" s="1534"/>
      <c r="P192" s="1534"/>
      <c r="Q192" s="1534"/>
      <c r="R192" s="1534"/>
      <c r="S192" s="1534"/>
      <c r="T192" s="1534"/>
      <c r="U192" s="1534"/>
      <c r="V192" s="1534"/>
      <c r="W192" s="1534"/>
      <c r="X192" s="1534"/>
      <c r="Y192" s="1534"/>
      <c r="Z192" s="1534"/>
      <c r="AA192" s="1534"/>
      <c r="AB192" s="1534"/>
      <c r="AC192" s="1534"/>
      <c r="AD192" s="1534"/>
      <c r="AE192" s="1534"/>
      <c r="BC192" t="s">
        <v>1041</v>
      </c>
      <c r="BH192" s="3" t="s">
        <v>1356</v>
      </c>
      <c r="BN192" s="23" t="s">
        <v>688</v>
      </c>
      <c r="BS192">
        <v>5</v>
      </c>
      <c r="BT192" t="s">
        <v>727</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235</v>
      </c>
      <c r="CS192" s="323">
        <v>381933</v>
      </c>
      <c r="CT192" s="323">
        <v>440365</v>
      </c>
      <c r="CU192" s="323">
        <v>531200</v>
      </c>
      <c r="CV192" s="323">
        <v>679936</v>
      </c>
      <c r="CW192" s="323">
        <v>757491</v>
      </c>
      <c r="CX192" s="14"/>
      <c r="CY192" s="23" t="s">
        <v>235</v>
      </c>
      <c r="CZ192" s="323">
        <v>381933</v>
      </c>
      <c r="DA192" s="323">
        <v>440365</v>
      </c>
      <c r="DB192" s="323">
        <v>531200</v>
      </c>
      <c r="DC192" s="323">
        <v>679936</v>
      </c>
      <c r="DD192" s="323">
        <v>757491</v>
      </c>
    </row>
    <row r="193" spans="1:108" ht="13" customHeight="1">
      <c r="C193" s="21"/>
      <c r="D193" t="s">
        <v>2035</v>
      </c>
      <c r="M193" s="40"/>
      <c r="N193" s="890"/>
      <c r="O193" s="890"/>
      <c r="P193" s="890"/>
      <c r="Q193" s="890"/>
      <c r="R193" s="890"/>
      <c r="S193" s="890"/>
      <c r="T193" s="1568" t="s">
        <v>1941</v>
      </c>
      <c r="U193" s="1568"/>
      <c r="V193" s="1568"/>
      <c r="W193" s="1568"/>
      <c r="X193" s="1568"/>
      <c r="Y193" s="1568"/>
      <c r="Z193" s="1568"/>
      <c r="AA193" s="1568"/>
      <c r="AB193" s="1568"/>
      <c r="AC193" s="1568"/>
      <c r="AD193" s="1568"/>
      <c r="AE193" s="1568"/>
      <c r="AF193" s="1568"/>
      <c r="AG193" s="1568"/>
      <c r="AH193" s="1568"/>
      <c r="AI193" s="1568"/>
      <c r="BC193" t="s">
        <v>1040</v>
      </c>
      <c r="BH193" s="3" t="s">
        <v>1616</v>
      </c>
      <c r="BN193" s="23" t="s">
        <v>689</v>
      </c>
      <c r="BS193">
        <v>4</v>
      </c>
      <c r="BT193" t="s">
        <v>728</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634</v>
      </c>
      <c r="CS193" s="321">
        <v>360075</v>
      </c>
      <c r="CT193" s="321">
        <v>415163</v>
      </c>
      <c r="CU193" s="321">
        <v>500800</v>
      </c>
      <c r="CV193" s="321">
        <v>641024</v>
      </c>
      <c r="CW193" s="321">
        <v>714141</v>
      </c>
      <c r="CX193" s="14"/>
      <c r="CY193" s="23" t="s">
        <v>634</v>
      </c>
      <c r="CZ193" s="321">
        <v>360075</v>
      </c>
      <c r="DA193" s="321">
        <v>415163</v>
      </c>
      <c r="DB193" s="321">
        <v>500800</v>
      </c>
      <c r="DC193" s="321">
        <v>641024</v>
      </c>
      <c r="DD193" s="321">
        <v>714141</v>
      </c>
    </row>
    <row r="194" spans="1:108" ht="13" customHeight="1">
      <c r="C194" s="21"/>
      <c r="D194" s="3" t="s">
        <v>2168</v>
      </c>
      <c r="M194" s="40"/>
      <c r="N194" s="890"/>
      <c r="O194" s="890"/>
      <c r="P194" s="890"/>
      <c r="Q194" s="890"/>
      <c r="R194" s="890"/>
      <c r="S194" s="890"/>
      <c r="AH194" s="1409" t="s">
        <v>668</v>
      </c>
      <c r="AI194" s="1409"/>
      <c r="BC194" t="s">
        <v>1356</v>
      </c>
      <c r="BN194" s="23" t="s">
        <v>690</v>
      </c>
      <c r="BS194">
        <v>2</v>
      </c>
      <c r="BT194" t="s">
        <v>729</v>
      </c>
      <c r="CB194" s="350" t="s">
        <v>726</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687</v>
      </c>
      <c r="CS194" s="323">
        <v>402640</v>
      </c>
      <c r="CT194" s="323">
        <v>464240</v>
      </c>
      <c r="CU194" s="323">
        <v>560000</v>
      </c>
      <c r="CV194" s="323">
        <v>716800</v>
      </c>
      <c r="CW194" s="323">
        <v>798560</v>
      </c>
      <c r="CX194" s="14"/>
      <c r="CY194" s="23" t="s">
        <v>687</v>
      </c>
      <c r="CZ194" s="323">
        <v>402640</v>
      </c>
      <c r="DA194" s="323">
        <v>464240</v>
      </c>
      <c r="DB194" s="323">
        <v>560000</v>
      </c>
      <c r="DC194" s="323">
        <v>716800</v>
      </c>
      <c r="DD194" s="323">
        <v>798560</v>
      </c>
    </row>
    <row r="195" spans="1:108" ht="13" customHeight="1">
      <c r="C195" s="21"/>
      <c r="D195" t="s">
        <v>330</v>
      </c>
      <c r="T195" s="1409" t="s">
        <v>544</v>
      </c>
      <c r="U195" s="1409"/>
      <c r="W195" t="s">
        <v>683</v>
      </c>
      <c r="AH195" s="1409">
        <v>10</v>
      </c>
      <c r="AI195" s="1409"/>
      <c r="BC195" t="s">
        <v>1830</v>
      </c>
      <c r="BN195" s="23" t="s">
        <v>241</v>
      </c>
      <c r="BS195">
        <v>6</v>
      </c>
      <c r="BT195" t="s">
        <v>730</v>
      </c>
      <c r="CB195" s="350" t="s">
        <v>727</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688</v>
      </c>
      <c r="CS195" s="321">
        <v>381933</v>
      </c>
      <c r="CT195" s="321">
        <v>440365</v>
      </c>
      <c r="CU195" s="321">
        <v>531200</v>
      </c>
      <c r="CV195" s="321">
        <v>679936</v>
      </c>
      <c r="CW195" s="321">
        <v>757491</v>
      </c>
      <c r="CX195" s="14"/>
      <c r="CY195" s="23" t="s">
        <v>688</v>
      </c>
      <c r="CZ195" s="321">
        <v>381933</v>
      </c>
      <c r="DA195" s="321">
        <v>440365</v>
      </c>
      <c r="DB195" s="321">
        <v>531200</v>
      </c>
      <c r="DC195" s="321">
        <v>679936</v>
      </c>
      <c r="DD195" s="321">
        <v>757491</v>
      </c>
    </row>
    <row r="196" spans="1:108" ht="13" customHeight="1">
      <c r="C196" s="21"/>
      <c r="D196" t="s">
        <v>385</v>
      </c>
      <c r="T196" s="1412" t="s">
        <v>668</v>
      </c>
      <c r="U196" s="1412"/>
      <c r="W196" t="s">
        <v>684</v>
      </c>
      <c r="AH196" s="1409">
        <v>16</v>
      </c>
      <c r="AI196" s="1409"/>
      <c r="BN196" s="23" t="s">
        <v>242</v>
      </c>
      <c r="BS196">
        <v>4</v>
      </c>
      <c r="BT196" t="s">
        <v>69</v>
      </c>
      <c r="CB196" s="350" t="s">
        <v>728</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689</v>
      </c>
      <c r="CS196" s="323">
        <v>392286</v>
      </c>
      <c r="CT196" s="323">
        <v>452302</v>
      </c>
      <c r="CU196" s="323">
        <v>545600</v>
      </c>
      <c r="CV196" s="323">
        <v>698368</v>
      </c>
      <c r="CW196" s="323">
        <v>778026</v>
      </c>
      <c r="CX196" s="14"/>
      <c r="CY196" s="23" t="s">
        <v>689</v>
      </c>
      <c r="CZ196" s="323">
        <v>392286</v>
      </c>
      <c r="DA196" s="323">
        <v>452302</v>
      </c>
      <c r="DB196" s="323">
        <v>545600</v>
      </c>
      <c r="DC196" s="323">
        <v>698368</v>
      </c>
      <c r="DD196" s="323">
        <v>778026</v>
      </c>
    </row>
    <row r="197" spans="1:108" ht="13" customHeight="1">
      <c r="C197" s="21"/>
      <c r="D197" s="3" t="s">
        <v>168</v>
      </c>
      <c r="T197" s="1412" t="s">
        <v>668</v>
      </c>
      <c r="U197" s="1412"/>
      <c r="W197" t="s">
        <v>685</v>
      </c>
      <c r="AH197" s="1409">
        <v>9</v>
      </c>
      <c r="AI197" s="1409"/>
      <c r="BC197" t="s">
        <v>306</v>
      </c>
      <c r="BN197" s="23" t="s">
        <v>243</v>
      </c>
      <c r="BS197">
        <v>2</v>
      </c>
      <c r="BT197" t="s">
        <v>70</v>
      </c>
      <c r="CB197" s="350" t="s">
        <v>729</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690</v>
      </c>
      <c r="CS197" s="321">
        <v>694266</v>
      </c>
      <c r="CT197" s="321">
        <v>800482</v>
      </c>
      <c r="CU197" s="321">
        <v>965600</v>
      </c>
      <c r="CV197" s="321">
        <v>1235968</v>
      </c>
      <c r="CW197" s="321">
        <v>1376946</v>
      </c>
      <c r="CX197" s="14"/>
      <c r="CY197" s="23" t="s">
        <v>690</v>
      </c>
      <c r="CZ197" s="321">
        <v>694266</v>
      </c>
      <c r="DA197" s="321">
        <v>800482</v>
      </c>
      <c r="DB197" s="321">
        <v>965600</v>
      </c>
      <c r="DC197" s="321">
        <v>1235968</v>
      </c>
      <c r="DD197" s="321">
        <v>1376946</v>
      </c>
    </row>
    <row r="198" spans="1:108" s="14" customFormat="1" ht="13" customHeight="1">
      <c r="A198"/>
      <c r="B198"/>
      <c r="C198" s="21"/>
      <c r="D198" s="3" t="s">
        <v>1639</v>
      </c>
      <c r="E198"/>
      <c r="F198"/>
      <c r="G198"/>
      <c r="H198"/>
      <c r="I198"/>
      <c r="J198"/>
      <c r="K198"/>
      <c r="L198"/>
      <c r="M198"/>
      <c r="N198"/>
      <c r="O198"/>
      <c r="P198"/>
      <c r="Q198"/>
      <c r="R198"/>
      <c r="S198"/>
      <c r="T198" s="1412" t="s">
        <v>590</v>
      </c>
      <c r="U198" s="1412"/>
      <c r="V198"/>
      <c r="X198" s="1545" t="s">
        <v>2442</v>
      </c>
      <c r="Y198" s="1545"/>
      <c r="Z198" s="1545"/>
      <c r="AA198" s="1545"/>
      <c r="AB198" s="1545"/>
      <c r="AC198" s="1545"/>
      <c r="AD198" s="1545"/>
      <c r="AE198" s="1545"/>
      <c r="AF198" s="1545"/>
      <c r="AG198" s="1545"/>
      <c r="AH198" s="1545"/>
      <c r="AI198" s="1545"/>
      <c r="AJ198" s="1545"/>
      <c r="AK198" s="1545"/>
      <c r="AL198" s="1545"/>
      <c r="AM198" s="1545"/>
      <c r="AN198" s="1545"/>
      <c r="AO198" s="1545"/>
      <c r="AP198" s="1545"/>
      <c r="AQ198" s="1545"/>
      <c r="AR198" s="1545"/>
      <c r="AS198" s="1545"/>
      <c r="AT198" s="1545"/>
      <c r="AU198"/>
      <c r="AV198"/>
      <c r="AW198"/>
      <c r="AX198"/>
      <c r="AY198"/>
      <c r="AZ198" s="30"/>
      <c r="BA198" s="30"/>
      <c r="BC198" s="14" t="s">
        <v>590</v>
      </c>
      <c r="BD198"/>
      <c r="BN198" s="23" t="s">
        <v>696</v>
      </c>
      <c r="BO198"/>
      <c r="BP198"/>
      <c r="BQ198"/>
      <c r="BR198"/>
      <c r="BS198">
        <v>4</v>
      </c>
      <c r="BT198" t="s">
        <v>190</v>
      </c>
      <c r="BU198"/>
      <c r="BV198" s="31"/>
      <c r="CB198" s="350" t="s">
        <v>730</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241</v>
      </c>
      <c r="CS198" s="323">
        <v>323262</v>
      </c>
      <c r="CT198" s="323">
        <v>372718</v>
      </c>
      <c r="CU198" s="323">
        <v>449600</v>
      </c>
      <c r="CV198" s="323">
        <v>575488</v>
      </c>
      <c r="CW198" s="323">
        <v>641130</v>
      </c>
      <c r="CY198" s="23" t="s">
        <v>241</v>
      </c>
      <c r="CZ198" s="323">
        <v>323262</v>
      </c>
      <c r="DA198" s="323">
        <v>372718</v>
      </c>
      <c r="DB198" s="323">
        <v>449600</v>
      </c>
      <c r="DC198" s="323">
        <v>575488</v>
      </c>
      <c r="DD198" s="323">
        <v>641130</v>
      </c>
    </row>
    <row r="199" spans="1:108" s="14" customFormat="1" ht="13" customHeight="1">
      <c r="A199"/>
      <c r="B199"/>
      <c r="C199" s="21"/>
      <c r="D199" s="118" t="s">
        <v>2445</v>
      </c>
      <c r="E199"/>
      <c r="F199"/>
      <c r="G199"/>
      <c r="H199"/>
      <c r="I199"/>
      <c r="J199"/>
      <c r="K199"/>
      <c r="L199"/>
      <c r="M199"/>
      <c r="N199"/>
      <c r="O199"/>
      <c r="P199"/>
      <c r="Q199"/>
      <c r="R199"/>
      <c r="S199"/>
      <c r="T199" s="1409" t="s">
        <v>668</v>
      </c>
      <c r="U199" s="1409"/>
      <c r="V199"/>
      <c r="W199"/>
      <c r="X199" s="1545"/>
      <c r="Y199" s="1545"/>
      <c r="Z199" s="1545"/>
      <c r="AA199" s="1545"/>
      <c r="AB199" s="1545"/>
      <c r="AC199" s="1545"/>
      <c r="AD199" s="1545"/>
      <c r="AE199" s="1545"/>
      <c r="AF199" s="1545"/>
      <c r="AG199" s="1545"/>
      <c r="AH199" s="1545"/>
      <c r="AI199" s="1545"/>
      <c r="AJ199" s="1545"/>
      <c r="AK199" s="1545"/>
      <c r="AL199" s="1545"/>
      <c r="AM199" s="1545"/>
      <c r="AN199" s="1545"/>
      <c r="AO199" s="1545"/>
      <c r="AP199" s="1545"/>
      <c r="AQ199" s="1545"/>
      <c r="AR199" s="1545"/>
      <c r="AS199" s="1545"/>
      <c r="AT199" s="1545"/>
      <c r="AU199"/>
      <c r="AV199"/>
      <c r="AW199"/>
      <c r="AX199"/>
      <c r="AY199"/>
      <c r="AZ199" s="30"/>
      <c r="BA199" s="30"/>
      <c r="BC199" t="s">
        <v>874</v>
      </c>
      <c r="BD199"/>
      <c r="BN199" s="23" t="s">
        <v>697</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242</v>
      </c>
      <c r="CS199" s="321">
        <v>442904</v>
      </c>
      <c r="CT199" s="321">
        <v>510664</v>
      </c>
      <c r="CU199" s="321">
        <v>616000</v>
      </c>
      <c r="CV199" s="321">
        <v>788480</v>
      </c>
      <c r="CW199" s="321">
        <v>878416</v>
      </c>
      <c r="CY199" s="23" t="s">
        <v>242</v>
      </c>
      <c r="CZ199" s="321">
        <v>442904</v>
      </c>
      <c r="DA199" s="321">
        <v>510664</v>
      </c>
      <c r="DB199" s="321">
        <v>616000</v>
      </c>
      <c r="DC199" s="321">
        <v>788480</v>
      </c>
      <c r="DD199" s="321">
        <v>878416</v>
      </c>
    </row>
    <row r="200" spans="1:108" s="14" customFormat="1" ht="13" customHeight="1">
      <c r="A200"/>
      <c r="B200"/>
      <c r="C200" s="21"/>
      <c r="D200" s="14" t="s">
        <v>2443</v>
      </c>
      <c r="T200" s="1409" t="s">
        <v>668</v>
      </c>
      <c r="U200" s="1409"/>
      <c r="V200"/>
      <c r="W200"/>
      <c r="X200"/>
      <c r="Y200"/>
      <c r="AA200"/>
      <c r="AB200" s="1184"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192</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3" customHeight="1">
      <c r="A201"/>
      <c r="B201"/>
      <c r="C201" s="21"/>
      <c r="E201" s="3" t="s">
        <v>2444</v>
      </c>
      <c r="V201"/>
      <c r="X201"/>
      <c r="Y201"/>
      <c r="Z201"/>
      <c r="AB201" s="1184" t="s">
        <v>918</v>
      </c>
      <c r="AC201"/>
      <c r="AH201" s="1"/>
      <c r="AJ201"/>
      <c r="AK201"/>
      <c r="AL201"/>
      <c r="AM201"/>
      <c r="AN201"/>
      <c r="AO201"/>
      <c r="AP201"/>
      <c r="AQ201"/>
      <c r="AR201"/>
      <c r="AS201"/>
      <c r="AU201"/>
      <c r="AV201"/>
      <c r="AW201"/>
      <c r="AX201"/>
      <c r="AY201"/>
      <c r="AZ201" s="30"/>
      <c r="BA201" s="30"/>
      <c r="BC201" s="3" t="s">
        <v>1059</v>
      </c>
      <c r="BD201" s="436"/>
      <c r="BN201" s="23" t="s">
        <v>699</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696</v>
      </c>
      <c r="CS201" s="321">
        <v>442904</v>
      </c>
      <c r="CT201" s="321">
        <v>510664</v>
      </c>
      <c r="CU201" s="321">
        <v>616000</v>
      </c>
      <c r="CV201" s="321">
        <v>788480</v>
      </c>
      <c r="CW201" s="321">
        <v>878416</v>
      </c>
      <c r="CY201" s="23" t="s">
        <v>696</v>
      </c>
      <c r="CZ201" s="321">
        <v>442904</v>
      </c>
      <c r="DA201" s="321">
        <v>510664</v>
      </c>
      <c r="DB201" s="321">
        <v>616000</v>
      </c>
      <c r="DC201" s="321">
        <v>788480</v>
      </c>
      <c r="DD201" s="321">
        <v>878416</v>
      </c>
    </row>
    <row r="202" spans="1:108" ht="13" customHeight="1">
      <c r="C202" s="21"/>
      <c r="AE202" s="8"/>
      <c r="BC202" t="s">
        <v>610</v>
      </c>
      <c r="BD202" s="436"/>
      <c r="BN202" s="23" t="s">
        <v>700</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3" customHeight="1">
      <c r="A203" s="2" t="s">
        <v>585</v>
      </c>
      <c r="C203" s="2" t="s">
        <v>136</v>
      </c>
      <c r="BC203" t="s">
        <v>1060</v>
      </c>
      <c r="BN203" s="23" t="s">
        <v>701</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698</v>
      </c>
      <c r="CS203" s="321">
        <v>442904</v>
      </c>
      <c r="CT203" s="321">
        <v>510664</v>
      </c>
      <c r="CU203" s="321">
        <v>616000</v>
      </c>
      <c r="CV203" s="321">
        <v>788480</v>
      </c>
      <c r="CW203" s="321">
        <v>878416</v>
      </c>
      <c r="CX203" s="14"/>
      <c r="CY203" s="23" t="s">
        <v>698</v>
      </c>
      <c r="CZ203" s="321">
        <v>442904</v>
      </c>
      <c r="DA203" s="321">
        <v>510664</v>
      </c>
      <c r="DB203" s="321">
        <v>616000</v>
      </c>
      <c r="DC203" s="321">
        <v>788480</v>
      </c>
      <c r="DD203" s="321">
        <v>878416</v>
      </c>
    </row>
    <row r="204" spans="1:108" ht="13" customHeight="1">
      <c r="D204" s="1479" t="s">
        <v>384</v>
      </c>
      <c r="E204" s="1479"/>
      <c r="F204" s="1479"/>
      <c r="G204" s="1479"/>
      <c r="H204" s="1479"/>
      <c r="I204" s="1479"/>
      <c r="J204" s="1479"/>
      <c r="K204" s="1479"/>
      <c r="L204" s="1479"/>
      <c r="M204" s="1479"/>
      <c r="P204" s="1559">
        <f>M26</f>
        <v>3449200</v>
      </c>
      <c r="Q204" s="1560"/>
      <c r="R204" s="1560"/>
      <c r="S204" s="1560"/>
      <c r="T204" s="1560"/>
      <c r="U204" s="1560"/>
      <c r="BC204" t="s">
        <v>1061</v>
      </c>
      <c r="BN204" s="23" t="s">
        <v>702</v>
      </c>
      <c r="BS204">
        <v>6</v>
      </c>
      <c r="BT204" s="32" t="s">
        <v>196</v>
      </c>
      <c r="BU204" s="14"/>
      <c r="CB204" s="350" t="s">
        <v>193</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699</v>
      </c>
      <c r="CS204" s="323">
        <v>369278</v>
      </c>
      <c r="CT204" s="323">
        <v>425774</v>
      </c>
      <c r="CU204" s="323">
        <v>513600</v>
      </c>
      <c r="CV204" s="323">
        <v>657408</v>
      </c>
      <c r="CW204" s="323">
        <v>732394</v>
      </c>
      <c r="CX204" s="14"/>
      <c r="CY204" s="23" t="s">
        <v>699</v>
      </c>
      <c r="CZ204" s="323">
        <v>369278</v>
      </c>
      <c r="DA204" s="323">
        <v>425774</v>
      </c>
      <c r="DB204" s="323">
        <v>513600</v>
      </c>
      <c r="DC204" s="323">
        <v>657408</v>
      </c>
      <c r="DD204" s="323">
        <v>732394</v>
      </c>
    </row>
    <row r="205" spans="1:108" ht="13" customHeight="1">
      <c r="C205" s="21"/>
      <c r="D205" s="1547" t="s">
        <v>1245</v>
      </c>
      <c r="E205" s="1479"/>
      <c r="F205" s="1479"/>
      <c r="G205" s="1479"/>
      <c r="H205" s="1479"/>
      <c r="I205" s="1479"/>
      <c r="J205" s="1479"/>
      <c r="K205" s="1479"/>
      <c r="L205" s="1479"/>
      <c r="M205" s="1479"/>
      <c r="P205" s="1560">
        <f>M27</f>
        <v>6138843</v>
      </c>
      <c r="Q205" s="1560"/>
      <c r="R205" s="1560"/>
      <c r="S205" s="1560"/>
      <c r="T205" s="1560"/>
      <c r="U205" s="1560"/>
      <c r="V205" s="28"/>
      <c r="W205" s="3" t="s">
        <v>1707</v>
      </c>
      <c r="Z205" s="1543" t="s">
        <v>2172</v>
      </c>
      <c r="AA205" s="1543"/>
      <c r="AB205" s="1543"/>
      <c r="AC205" s="1543"/>
      <c r="AD205" s="1543"/>
      <c r="AE205" s="1543"/>
      <c r="AF205" s="1543"/>
      <c r="AG205" s="1543"/>
      <c r="AH205" s="1543"/>
      <c r="AI205" s="1543"/>
      <c r="AJ205" s="1543"/>
      <c r="AK205" s="1543"/>
      <c r="AL205" s="1543"/>
      <c r="AM205" s="1543"/>
      <c r="AN205" s="1543"/>
      <c r="AP205" s="1399"/>
      <c r="AQ205" s="1399"/>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700</v>
      </c>
      <c r="CS205" s="321">
        <v>402640</v>
      </c>
      <c r="CT205" s="321">
        <v>464240</v>
      </c>
      <c r="CU205" s="321">
        <v>560000</v>
      </c>
      <c r="CV205" s="321">
        <v>716800</v>
      </c>
      <c r="CW205" s="321">
        <v>798560</v>
      </c>
      <c r="CX205" s="14"/>
      <c r="CY205" s="23" t="s">
        <v>700</v>
      </c>
      <c r="CZ205" s="321">
        <v>402640</v>
      </c>
      <c r="DA205" s="321">
        <v>464240</v>
      </c>
      <c r="DB205" s="321">
        <v>560000</v>
      </c>
      <c r="DC205" s="321">
        <v>716800</v>
      </c>
      <c r="DD205" s="321">
        <v>798560</v>
      </c>
    </row>
    <row r="206" spans="1:108" ht="13" customHeight="1">
      <c r="D206" s="29"/>
      <c r="E206" s="29"/>
      <c r="F206" s="29"/>
      <c r="G206" s="29"/>
      <c r="H206" s="29"/>
      <c r="I206" s="29"/>
      <c r="J206" s="29"/>
      <c r="K206" s="29"/>
      <c r="L206" s="29"/>
      <c r="M206" s="29"/>
      <c r="N206" s="29"/>
      <c r="O206" s="29"/>
      <c r="P206" s="29"/>
      <c r="BC206" t="s">
        <v>1024</v>
      </c>
      <c r="BN206" s="23" t="s">
        <v>110</v>
      </c>
      <c r="BS206">
        <v>5</v>
      </c>
      <c r="BT206" s="32" t="s">
        <v>197</v>
      </c>
      <c r="BU206" s="14"/>
      <c r="CB206" s="350" t="s">
        <v>195</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701</v>
      </c>
      <c r="CS206" s="323">
        <v>402640</v>
      </c>
      <c r="CT206" s="323">
        <v>464240</v>
      </c>
      <c r="CU206" s="323">
        <v>560000</v>
      </c>
      <c r="CV206" s="323">
        <v>716800</v>
      </c>
      <c r="CW206" s="323">
        <v>798560</v>
      </c>
      <c r="CX206" s="14"/>
      <c r="CY206" s="23" t="s">
        <v>701</v>
      </c>
      <c r="CZ206" s="323">
        <v>402640</v>
      </c>
      <c r="DA206" s="323">
        <v>464240</v>
      </c>
      <c r="DB206" s="323">
        <v>560000</v>
      </c>
      <c r="DC206" s="323">
        <v>716800</v>
      </c>
      <c r="DD206" s="323">
        <v>798560</v>
      </c>
    </row>
    <row r="207" spans="1:108" ht="13" customHeight="1">
      <c r="A207" s="2" t="s">
        <v>588</v>
      </c>
      <c r="C207" s="2" t="s">
        <v>550</v>
      </c>
      <c r="BC207" s="437" t="s">
        <v>1062</v>
      </c>
      <c r="BN207" s="23" t="s">
        <v>45</v>
      </c>
      <c r="BS207">
        <v>6</v>
      </c>
      <c r="BT207" s="32" t="s">
        <v>198</v>
      </c>
      <c r="CB207" s="350" t="s">
        <v>196</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702</v>
      </c>
      <c r="CS207" s="321">
        <v>406666</v>
      </c>
      <c r="CT207" s="321">
        <v>468882</v>
      </c>
      <c r="CU207" s="321">
        <v>565600</v>
      </c>
      <c r="CV207" s="321">
        <v>723968</v>
      </c>
      <c r="CW207" s="321">
        <v>806546</v>
      </c>
      <c r="CX207" s="14"/>
      <c r="CY207" s="23" t="s">
        <v>702</v>
      </c>
      <c r="CZ207" s="321">
        <v>406666</v>
      </c>
      <c r="DA207" s="321">
        <v>468882</v>
      </c>
      <c r="DB207" s="321">
        <v>565600</v>
      </c>
      <c r="DC207" s="321">
        <v>723968</v>
      </c>
      <c r="DD207" s="321">
        <v>806546</v>
      </c>
    </row>
    <row r="208" spans="1:108" ht="13" customHeight="1">
      <c r="C208" s="21"/>
      <c r="D208" s="1530" t="s">
        <v>2654</v>
      </c>
      <c r="E208" s="1530"/>
      <c r="F208" s="1530"/>
      <c r="G208" s="1530"/>
      <c r="H208" s="1530"/>
      <c r="I208" s="1530"/>
      <c r="J208" s="1530"/>
      <c r="K208" s="1530"/>
      <c r="L208" s="1530"/>
      <c r="M208" s="1530"/>
      <c r="BC208" s="3" t="s">
        <v>2159</v>
      </c>
      <c r="BN208" s="23" t="s">
        <v>46</v>
      </c>
      <c r="BS208">
        <v>7</v>
      </c>
      <c r="BT208" s="32" t="s">
        <v>199</v>
      </c>
      <c r="CB208" s="350" t="s">
        <v>173</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3" customHeight="1">
      <c r="BC209" t="s">
        <v>1063</v>
      </c>
      <c r="BN209" s="23" t="s">
        <v>47</v>
      </c>
      <c r="BS209">
        <v>7</v>
      </c>
      <c r="BT209" s="32" t="s">
        <v>200</v>
      </c>
      <c r="CB209" s="350" t="s">
        <v>197</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3" customHeight="1">
      <c r="A210" s="2" t="s">
        <v>589</v>
      </c>
      <c r="C210" s="2" t="s">
        <v>387</v>
      </c>
      <c r="BC210" t="s">
        <v>658</v>
      </c>
      <c r="BN210" s="23" t="s">
        <v>48</v>
      </c>
      <c r="BS210">
        <v>5</v>
      </c>
      <c r="BT210" s="32" t="s">
        <v>201</v>
      </c>
      <c r="CB210" s="350" t="s">
        <v>198</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3" customHeight="1">
      <c r="C211" s="21"/>
      <c r="D211" s="1530" t="s">
        <v>1039</v>
      </c>
      <c r="E211" s="1530"/>
      <c r="F211" s="1530"/>
      <c r="G211" s="1530"/>
      <c r="H211" s="1530"/>
      <c r="I211" s="1530"/>
      <c r="J211" s="1530"/>
      <c r="K211" s="1530"/>
      <c r="L211" s="1530"/>
      <c r="M211" s="1530"/>
      <c r="BN211" s="23" t="s">
        <v>129</v>
      </c>
      <c r="BS211">
        <v>7</v>
      </c>
      <c r="BT211" s="32" t="s">
        <v>130</v>
      </c>
      <c r="CB211" s="350" t="s">
        <v>199</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3" customHeight="1">
      <c r="C212" s="21"/>
      <c r="D212" s="3" t="s">
        <v>2183</v>
      </c>
      <c r="Q212" s="1409"/>
      <c r="R212" s="1409"/>
      <c r="T212" s="1571">
        <f>IFERROR(Q212/AG449,0)</f>
        <v>0</v>
      </c>
      <c r="U212" s="1572"/>
      <c r="BC212" t="s">
        <v>306</v>
      </c>
      <c r="BI212" t="s">
        <v>1182</v>
      </c>
      <c r="BN212" s="23" t="s">
        <v>49</v>
      </c>
      <c r="BS212">
        <v>4</v>
      </c>
      <c r="BT212" s="32" t="s">
        <v>202</v>
      </c>
      <c r="CB212" s="350" t="s">
        <v>200</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3" customHeight="1">
      <c r="D213" s="1139" t="s">
        <v>2402</v>
      </c>
      <c r="BC213" t="s">
        <v>525</v>
      </c>
      <c r="BI213" s="3" t="s">
        <v>2180</v>
      </c>
      <c r="BN213" s="23" t="s">
        <v>50</v>
      </c>
      <c r="BS213">
        <v>6</v>
      </c>
      <c r="BT213" s="32" t="s">
        <v>203</v>
      </c>
      <c r="CB213" s="350" t="s">
        <v>201</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3" customHeight="1">
      <c r="D214" s="1555" t="s">
        <v>590</v>
      </c>
      <c r="E214" s="1555"/>
      <c r="F214" s="1555"/>
      <c r="G214" s="1555"/>
      <c r="H214" s="1555"/>
      <c r="I214" s="1555"/>
      <c r="J214" s="1555"/>
      <c r="K214" s="1555"/>
      <c r="L214" s="1555"/>
      <c r="M214" s="1555"/>
      <c r="N214" s="1555"/>
      <c r="O214" s="1555"/>
      <c r="P214" s="1555"/>
      <c r="Q214" s="1555"/>
      <c r="R214" s="1555"/>
      <c r="S214" s="1555"/>
      <c r="T214" s="1555"/>
      <c r="U214" s="1555"/>
      <c r="V214" s="1555"/>
      <c r="W214" s="1555"/>
      <c r="X214" s="1555"/>
      <c r="Y214" s="1555"/>
      <c r="Z214" s="1555"/>
      <c r="AU214" s="21"/>
      <c r="AV214" s="21"/>
      <c r="AW214" s="21"/>
      <c r="AX214" s="21"/>
      <c r="AY214" s="21"/>
      <c r="BC214" t="s">
        <v>529</v>
      </c>
      <c r="BI214" s="3" t="s">
        <v>2173</v>
      </c>
      <c r="BN214" s="23" t="s">
        <v>325</v>
      </c>
      <c r="BS214">
        <v>6</v>
      </c>
      <c r="BT214" s="32" t="s">
        <v>204</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3" customHeight="1">
      <c r="D215" s="3" t="s">
        <v>1640</v>
      </c>
      <c r="Z215" s="40"/>
      <c r="AB215" s="1525"/>
      <c r="AC215" s="1525"/>
      <c r="AD215" s="1525"/>
      <c r="AE215" s="1525"/>
      <c r="AF215" s="1525"/>
      <c r="AG215" s="1525"/>
      <c r="AH215" s="1525"/>
      <c r="AI215" s="1525"/>
      <c r="AJ215" s="1525"/>
      <c r="AK215" s="1525"/>
      <c r="AL215" s="1525"/>
      <c r="AM215" s="21"/>
      <c r="AN215" s="21"/>
      <c r="AO215" s="21"/>
      <c r="AP215" s="21"/>
      <c r="AQ215" s="21"/>
      <c r="AR215" s="21"/>
      <c r="AS215" s="21"/>
      <c r="AT215" s="21"/>
      <c r="AU215" s="21"/>
      <c r="AV215" s="21"/>
      <c r="AW215" s="21"/>
      <c r="AX215" s="21"/>
      <c r="AY215" s="21"/>
      <c r="BC215" t="s">
        <v>526</v>
      </c>
      <c r="BI215" s="3" t="s">
        <v>2174</v>
      </c>
      <c r="CB215" s="350" t="s">
        <v>202</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3" customHeight="1">
      <c r="D216" s="3" t="s">
        <v>1638</v>
      </c>
      <c r="Z216" s="40"/>
      <c r="AB216" s="1525"/>
      <c r="AC216" s="1525"/>
      <c r="AD216" s="1525"/>
      <c r="AE216" s="1525"/>
      <c r="AF216" s="1525"/>
      <c r="AG216" s="1525"/>
      <c r="AH216" s="1525"/>
      <c r="AI216" s="1525"/>
      <c r="AJ216" s="1525"/>
      <c r="AK216" s="1525"/>
      <c r="AL216" s="1525"/>
      <c r="AM216" s="21"/>
      <c r="AN216" s="21"/>
      <c r="AO216" s="21"/>
      <c r="AP216" s="21"/>
      <c r="AQ216" s="21"/>
      <c r="AR216" s="21"/>
      <c r="AS216" s="21"/>
      <c r="AT216" s="21"/>
      <c r="AU216" s="21"/>
      <c r="AV216" s="21"/>
      <c r="AW216" s="21"/>
      <c r="AX216" s="21"/>
      <c r="AY216" s="21"/>
      <c r="BC216" t="s">
        <v>565</v>
      </c>
      <c r="BI216" t="s">
        <v>2172</v>
      </c>
      <c r="CB216" s="350" t="s">
        <v>203</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2176</v>
      </c>
      <c r="CB217" s="350" t="s">
        <v>204</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325</v>
      </c>
      <c r="CS217" s="321">
        <v>360075</v>
      </c>
      <c r="CT217" s="321">
        <v>415163</v>
      </c>
      <c r="CU217" s="321">
        <v>500800</v>
      </c>
      <c r="CV217" s="321">
        <v>641024</v>
      </c>
      <c r="CW217" s="321">
        <v>714141</v>
      </c>
      <c r="CX217" s="14"/>
      <c r="CY217" s="23" t="s">
        <v>325</v>
      </c>
      <c r="CZ217" s="321">
        <v>360075</v>
      </c>
      <c r="DA217" s="321">
        <v>415163</v>
      </c>
      <c r="DB217" s="321">
        <v>500800</v>
      </c>
      <c r="DC217" s="321">
        <v>641024</v>
      </c>
      <c r="DD217" s="321">
        <v>714141</v>
      </c>
    </row>
    <row r="218" spans="1:108" ht="13" customHeight="1">
      <c r="A218" s="2" t="s">
        <v>591</v>
      </c>
      <c r="C218" s="2" t="s">
        <v>2186</v>
      </c>
      <c r="D218" s="28"/>
      <c r="AC218" s="2" t="s">
        <v>2391</v>
      </c>
      <c r="BC218" t="s">
        <v>528</v>
      </c>
    </row>
    <row r="219" spans="1:108" ht="13" customHeight="1">
      <c r="A219" s="2"/>
      <c r="C219" s="2"/>
      <c r="D219" s="3" t="s">
        <v>2392</v>
      </c>
      <c r="AZ219" s="3"/>
      <c r="BA219" s="3"/>
      <c r="BC219" t="s">
        <v>376</v>
      </c>
    </row>
    <row r="220" spans="1:108" ht="13" customHeight="1">
      <c r="A220" s="2"/>
      <c r="C220" s="2"/>
      <c r="D220" s="1530" t="s">
        <v>1061</v>
      </c>
      <c r="E220" s="1530"/>
      <c r="F220" s="1530"/>
      <c r="G220" s="1530"/>
      <c r="H220" s="1530"/>
      <c r="I220" s="1530"/>
      <c r="J220" s="1530"/>
      <c r="K220" s="1530"/>
      <c r="L220" s="1530"/>
      <c r="M220" s="1530"/>
      <c r="N220" s="1530"/>
      <c r="O220" s="1530"/>
      <c r="P220" s="1530"/>
      <c r="Q220" s="1530"/>
      <c r="R220" s="1530"/>
      <c r="S220" s="1530"/>
      <c r="T220" s="1530"/>
      <c r="U220" s="1530"/>
      <c r="V220" s="1530"/>
      <c r="W220" s="1530"/>
      <c r="X220" s="1530"/>
      <c r="Y220" s="1530"/>
      <c r="Z220" s="1530"/>
      <c r="AC220" s="1546" t="s">
        <v>2394</v>
      </c>
      <c r="AD220" s="1546"/>
      <c r="AE220" s="1546"/>
      <c r="AF220" s="1546"/>
      <c r="AG220" s="1546"/>
      <c r="AH220" s="1546"/>
      <c r="AI220" s="1546"/>
      <c r="AJ220" s="1546"/>
      <c r="AK220" s="1546"/>
      <c r="AL220" s="1546"/>
      <c r="AM220" s="1546"/>
      <c r="AN220" s="1546"/>
      <c r="AO220" s="1546"/>
      <c r="AP220" s="1546"/>
      <c r="AQ220" s="1546"/>
      <c r="BA220" s="3"/>
      <c r="BC220" t="s">
        <v>299</v>
      </c>
    </row>
    <row r="221" spans="1:108" ht="13" customHeight="1">
      <c r="A221" s="2"/>
      <c r="B221" s="14"/>
      <c r="C221" s="2"/>
      <c r="BA221" s="3"/>
    </row>
    <row r="222" spans="1:108" ht="13" customHeight="1">
      <c r="A222" s="2" t="s">
        <v>2537</v>
      </c>
      <c r="B222" s="14"/>
      <c r="C222" s="2" t="s">
        <v>2538</v>
      </c>
      <c r="BA222" s="3"/>
    </row>
    <row r="223" spans="1:108" ht="13" customHeight="1">
      <c r="A223" s="2"/>
      <c r="B223" s="14"/>
      <c r="C223" s="2"/>
      <c r="D223" s="3" t="s">
        <v>2539</v>
      </c>
      <c r="BA223" s="3"/>
    </row>
    <row r="224" spans="1:108" ht="13" customHeight="1">
      <c r="A224" s="2"/>
      <c r="B224" s="14"/>
      <c r="C224" s="2"/>
      <c r="E224" s="3" t="s">
        <v>2540</v>
      </c>
      <c r="V224" s="1409" t="s">
        <v>544</v>
      </c>
      <c r="W224" s="1409"/>
      <c r="Y224" s="1193"/>
      <c r="BA224" s="3"/>
    </row>
    <row r="225" spans="1:69" ht="13" customHeight="1">
      <c r="A225" s="2"/>
      <c r="B225" s="14"/>
      <c r="C225" s="2"/>
      <c r="E225" s="3" t="s">
        <v>2541</v>
      </c>
      <c r="V225" s="1409" t="s">
        <v>668</v>
      </c>
      <c r="W225" s="1409"/>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3" customHeight="1">
      <c r="A226" s="2"/>
      <c r="B226" s="14"/>
      <c r="C226" s="2"/>
      <c r="E226" s="3" t="s">
        <v>2542</v>
      </c>
      <c r="V226" s="1412" t="s">
        <v>668</v>
      </c>
      <c r="W226" s="1412"/>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3" customHeight="1">
      <c r="A227" s="2"/>
      <c r="B227" s="14"/>
      <c r="C227" s="2"/>
      <c r="E227" s="3" t="s">
        <v>2543</v>
      </c>
      <c r="V227" s="1412" t="s">
        <v>668</v>
      </c>
      <c r="W227" s="1412"/>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3" customHeight="1">
      <c r="A228" s="2"/>
      <c r="B228" s="14"/>
      <c r="C228" s="2"/>
      <c r="E228" s="3" t="s">
        <v>2544</v>
      </c>
      <c r="V228" s="1412" t="s">
        <v>668</v>
      </c>
      <c r="W228" s="1412"/>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3" customHeight="1">
      <c r="A229" s="2"/>
      <c r="B229" s="14"/>
      <c r="C229" s="2"/>
      <c r="E229" s="3" t="s">
        <v>2545</v>
      </c>
      <c r="V229" s="1412" t="s">
        <v>668</v>
      </c>
      <c r="W229" s="1412"/>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3" customHeight="1">
      <c r="A230" s="2"/>
      <c r="B230" s="14"/>
      <c r="C230" s="2"/>
      <c r="BA230" s="3"/>
    </row>
    <row r="231" spans="1:69" ht="13" customHeight="1">
      <c r="A231" s="1544" t="s">
        <v>539</v>
      </c>
      <c r="B231" s="1544"/>
      <c r="C231" s="1544"/>
      <c r="D231" s="1544"/>
      <c r="E231" s="1544"/>
      <c r="F231" s="1544"/>
      <c r="G231" s="1544"/>
      <c r="H231" s="1544"/>
      <c r="I231" s="1544"/>
      <c r="J231" s="1544"/>
      <c r="K231" s="1544"/>
      <c r="L231" s="1544"/>
      <c r="M231" s="1544"/>
      <c r="N231" s="1544"/>
      <c r="O231" s="1544"/>
      <c r="P231" s="1544"/>
      <c r="Q231" s="1544"/>
      <c r="R231" s="1544"/>
      <c r="S231" s="1544"/>
      <c r="T231" s="1544"/>
      <c r="U231" s="1544"/>
      <c r="V231" s="1544"/>
      <c r="W231" s="1544"/>
      <c r="X231" s="1544"/>
      <c r="Y231" s="1544"/>
      <c r="Z231" s="1544"/>
      <c r="AA231" s="1544"/>
      <c r="AB231" s="1544"/>
      <c r="AC231" s="1544"/>
      <c r="AD231" s="1544"/>
      <c r="AE231" s="1544"/>
      <c r="AF231" s="1544"/>
      <c r="AG231" s="1544"/>
      <c r="AH231" s="1544"/>
      <c r="AI231" s="1544"/>
      <c r="AJ231" s="1544"/>
      <c r="AK231" s="1544"/>
      <c r="AL231" s="1544"/>
      <c r="AM231" s="1544"/>
      <c r="AN231" s="1544"/>
      <c r="AO231" s="1544"/>
      <c r="AP231" s="1544"/>
      <c r="AQ231" s="1544"/>
      <c r="AR231" s="1544"/>
      <c r="AS231" s="1544"/>
      <c r="AT231" s="1544"/>
      <c r="AU231" s="95"/>
      <c r="AV231" s="95"/>
      <c r="AW231" s="95"/>
      <c r="AX231" s="95"/>
      <c r="AY231" s="95"/>
      <c r="AZ231" s="3"/>
      <c r="BA231" s="3"/>
      <c r="BP231" s="34"/>
    </row>
    <row r="232" spans="1:69" ht="13" customHeight="1">
      <c r="A232" s="1544"/>
      <c r="B232" s="1544"/>
      <c r="C232" s="1544"/>
      <c r="D232" s="1544"/>
      <c r="E232" s="1544"/>
      <c r="F232" s="1544"/>
      <c r="G232" s="1544"/>
      <c r="H232" s="1544"/>
      <c r="I232" s="1544"/>
      <c r="J232" s="1544"/>
      <c r="K232" s="1544"/>
      <c r="L232" s="1544"/>
      <c r="M232" s="1544"/>
      <c r="N232" s="1544"/>
      <c r="O232" s="1544"/>
      <c r="P232" s="1544"/>
      <c r="Q232" s="1544"/>
      <c r="R232" s="1544"/>
      <c r="S232" s="1544"/>
      <c r="T232" s="1544"/>
      <c r="U232" s="1544"/>
      <c r="V232" s="1544"/>
      <c r="W232" s="1544"/>
      <c r="X232" s="1544"/>
      <c r="Y232" s="1544"/>
      <c r="Z232" s="1544"/>
      <c r="AA232" s="1544"/>
      <c r="AB232" s="1544"/>
      <c r="AC232" s="1544"/>
      <c r="AD232" s="1544"/>
      <c r="AE232" s="1544"/>
      <c r="AF232" s="1544"/>
      <c r="AG232" s="1544"/>
      <c r="AH232" s="1544"/>
      <c r="AI232" s="1544"/>
      <c r="AJ232" s="1544"/>
      <c r="AK232" s="1544"/>
      <c r="AL232" s="1544"/>
      <c r="AM232" s="1544"/>
      <c r="AN232" s="1544"/>
      <c r="AO232" s="1544"/>
      <c r="AP232" s="1544"/>
      <c r="AQ232" s="1544"/>
      <c r="AR232" s="1544"/>
      <c r="AS232" s="1544"/>
      <c r="AT232" s="1544"/>
      <c r="BA232" s="3"/>
      <c r="BB232" s="3"/>
      <c r="BQ232" s="34"/>
    </row>
    <row r="233" spans="1:69" ht="13" customHeight="1">
      <c r="AZ233" s="4"/>
      <c r="BA233" s="3"/>
      <c r="BB233" s="3"/>
      <c r="BQ233" s="34"/>
    </row>
    <row r="234" spans="1:69" ht="13" customHeight="1">
      <c r="A234" s="2" t="s">
        <v>318</v>
      </c>
      <c r="B234" s="2"/>
      <c r="C234" s="2" t="s">
        <v>2036</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3"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409" t="s">
        <v>590</v>
      </c>
      <c r="AJ235" s="1409"/>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3"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409" t="s">
        <v>544</v>
      </c>
      <c r="AJ236" s="1409"/>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3" customHeight="1">
      <c r="B237" s="4"/>
      <c r="D237" s="4" t="s">
        <v>166</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409" t="s">
        <v>544</v>
      </c>
      <c r="AJ237" s="1409"/>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3" customHeight="1">
      <c r="B238" s="4"/>
      <c r="D238" s="4" t="s">
        <v>293</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409" t="s">
        <v>590</v>
      </c>
      <c r="AJ238" s="1409"/>
      <c r="AL238" s="3"/>
      <c r="AM238" s="3"/>
      <c r="AN238" s="3"/>
      <c r="AO238" s="3"/>
      <c r="AP238" s="3"/>
      <c r="AQ238" s="3"/>
      <c r="AR238" s="3"/>
      <c r="AS238" s="3"/>
      <c r="AT238" s="3"/>
      <c r="AU238" s="3"/>
      <c r="AV238" s="3"/>
      <c r="AW238" s="3"/>
      <c r="AX238" s="3"/>
      <c r="AY238" s="3"/>
      <c r="BA238" s="3"/>
      <c r="BB238" s="204" t="s">
        <v>537</v>
      </c>
      <c r="BG238" s="241">
        <f>IF(AND(AND($M$258="for profit",$M$266="nonprofit",$M$274="(select one)")),2,0)</f>
        <v>2</v>
      </c>
    </row>
    <row r="239" spans="1:69" ht="13"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0</v>
      </c>
    </row>
    <row r="240" spans="1:69" ht="13" customHeight="1">
      <c r="A240" s="2" t="s">
        <v>575</v>
      </c>
      <c r="B240" s="4"/>
      <c r="C240" s="2" t="s">
        <v>2037</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3" customHeight="1">
      <c r="D241" s="4" t="s">
        <v>469</v>
      </c>
      <c r="E241" s="4"/>
      <c r="F241" s="4"/>
      <c r="G241" s="4"/>
      <c r="H241" s="4"/>
      <c r="I241" s="4"/>
      <c r="J241" s="4"/>
      <c r="K241" s="4"/>
      <c r="M241" s="1565" t="str">
        <f>H16</f>
        <v>LIHTC Advisors, LLC</v>
      </c>
      <c r="N241" s="1565"/>
      <c r="O241" s="1565"/>
      <c r="P241" s="1565"/>
      <c r="Q241" s="1565"/>
      <c r="R241" s="1565"/>
      <c r="S241" s="1565"/>
      <c r="T241" s="1565"/>
      <c r="U241" s="1565"/>
      <c r="V241" s="1565"/>
      <c r="W241" s="1565"/>
      <c r="X241" s="1565"/>
      <c r="Y241" s="1565"/>
      <c r="Z241" s="1565"/>
      <c r="AA241" s="1565"/>
      <c r="AB241" s="1565"/>
      <c r="AC241" s="1565"/>
      <c r="AD241" s="1565"/>
      <c r="AE241" s="1565"/>
      <c r="AF241" s="1565"/>
      <c r="AG241" s="1565"/>
      <c r="AH241" s="1565"/>
      <c r="AI241" s="1565"/>
      <c r="AJ241" s="1565"/>
      <c r="AK241" s="1565"/>
      <c r="AZ241" s="4"/>
      <c r="BA241" s="3"/>
      <c r="BB241" s="205" t="s">
        <v>537</v>
      </c>
      <c r="BG241" s="241">
        <f>IF(AND(AND($M$258="nonprofit",$M$266="nonprofit",$M$274="for profit")),2,0)</f>
        <v>0</v>
      </c>
    </row>
    <row r="242" spans="1:67" ht="13" customHeight="1">
      <c r="D242" s="4" t="s">
        <v>85</v>
      </c>
      <c r="E242" s="4"/>
      <c r="F242" s="4"/>
      <c r="G242" s="4"/>
      <c r="H242" s="4"/>
      <c r="I242" s="4"/>
      <c r="J242" s="4"/>
      <c r="K242" s="4"/>
      <c r="M242" s="1528" t="s">
        <v>2655</v>
      </c>
      <c r="N242" s="1530"/>
      <c r="O242" s="1530"/>
      <c r="P242" s="1530"/>
      <c r="Q242" s="1530"/>
      <c r="R242" s="1530"/>
      <c r="S242" s="1530"/>
      <c r="T242" s="1530"/>
      <c r="U242" s="1530"/>
      <c r="V242" s="1530"/>
      <c r="W242" s="1530"/>
      <c r="X242" s="1530"/>
      <c r="Y242" s="1530"/>
      <c r="Z242" s="1530"/>
      <c r="AA242" s="1530"/>
      <c r="AB242" s="1530"/>
      <c r="AC242" s="1530"/>
      <c r="AD242" s="1530"/>
      <c r="AE242" s="1530"/>
      <c r="BB242" s="205" t="s">
        <v>537</v>
      </c>
      <c r="BG242" s="241">
        <f>IF(AND(AND($M$258="nonprofit",$M$266="for profit",$M$274="nonprofit")),2,0)</f>
        <v>0</v>
      </c>
    </row>
    <row r="243" spans="1:67" ht="13" customHeight="1">
      <c r="D243" s="4" t="s">
        <v>579</v>
      </c>
      <c r="E243" s="4"/>
      <c r="M243" s="1528" t="s">
        <v>2656</v>
      </c>
      <c r="N243" s="1530"/>
      <c r="O243" s="1530"/>
      <c r="P243" s="1530"/>
      <c r="Q243" s="1530"/>
      <c r="R243" s="1530"/>
      <c r="S243" s="1530"/>
      <c r="T243" s="1530"/>
      <c r="V243" s="33" t="s">
        <v>86</v>
      </c>
      <c r="W243" s="1542" t="s">
        <v>2657</v>
      </c>
      <c r="X243" s="1470"/>
      <c r="Y243" s="4" t="s">
        <v>582</v>
      </c>
      <c r="AC243" s="1530">
        <v>83646</v>
      </c>
      <c r="AD243" s="1530"/>
      <c r="AE243" s="1530"/>
      <c r="AU243" s="4"/>
      <c r="AV243" s="4"/>
      <c r="AW243" s="4"/>
      <c r="AX243" s="4"/>
      <c r="AY243" s="4"/>
      <c r="AZ243" s="4"/>
      <c r="BB243" s="205" t="s">
        <v>537</v>
      </c>
      <c r="BG243" s="240">
        <f>IF(AND(AND($M$258="for profit",$M$266="nonprofit",$M$274="nonprofit")),2,0)</f>
        <v>0</v>
      </c>
    </row>
    <row r="244" spans="1:67" ht="13" customHeight="1">
      <c r="D244" s="4" t="s">
        <v>87</v>
      </c>
      <c r="E244" s="4"/>
      <c r="F244" s="4"/>
      <c r="G244" s="4"/>
      <c r="H244" s="4"/>
      <c r="I244" s="4"/>
      <c r="J244" s="4"/>
      <c r="K244" s="19"/>
      <c r="M244" s="1528" t="s">
        <v>2658</v>
      </c>
      <c r="N244" s="1530"/>
      <c r="O244" s="1530"/>
      <c r="P244" s="1530"/>
      <c r="Q244" s="1530"/>
      <c r="R244" s="1530"/>
      <c r="S244" s="1530"/>
      <c r="T244" s="1530"/>
      <c r="U244" s="1530"/>
      <c r="V244" s="1530"/>
      <c r="W244" s="1530"/>
      <c r="X244" s="1530"/>
      <c r="Y244" s="1530"/>
      <c r="Z244" s="1530"/>
      <c r="AA244" s="1530"/>
      <c r="AB244" s="1530"/>
      <c r="AC244" s="1530"/>
      <c r="AD244" s="1530"/>
      <c r="AE244" s="1530"/>
      <c r="AI244" s="4"/>
      <c r="AJ244" s="4"/>
      <c r="AK244" s="4"/>
      <c r="AL244" s="4"/>
      <c r="AM244" s="4"/>
      <c r="AN244" s="4"/>
      <c r="AO244" s="4"/>
      <c r="AP244" s="4"/>
      <c r="AQ244" s="4"/>
      <c r="AR244" s="4"/>
      <c r="AS244" s="4"/>
      <c r="AT244" s="4"/>
      <c r="BB244" s="205"/>
      <c r="BG244" s="204"/>
    </row>
    <row r="245" spans="1:67" ht="13" customHeight="1">
      <c r="D245" s="4" t="s">
        <v>88</v>
      </c>
      <c r="E245" s="4"/>
      <c r="F245" s="4"/>
      <c r="M245" s="1532" t="s">
        <v>2659</v>
      </c>
      <c r="N245" s="1478"/>
      <c r="O245" s="1478"/>
      <c r="P245" s="1478"/>
      <c r="Q245" s="1478"/>
      <c r="R245" s="1478"/>
      <c r="S245" s="4" t="s">
        <v>205</v>
      </c>
      <c r="T245" s="4"/>
      <c r="U245" s="1470"/>
      <c r="V245" s="1470"/>
      <c r="W245" s="1470"/>
      <c r="X245" s="4" t="s">
        <v>89</v>
      </c>
      <c r="Z245" s="1478"/>
      <c r="AA245" s="1478"/>
      <c r="AB245" s="1478"/>
      <c r="AC245" s="1478"/>
      <c r="AD245" s="1478"/>
      <c r="AE245" s="1478"/>
      <c r="AU245" s="4"/>
      <c r="AV245" s="4"/>
      <c r="AW245" s="4"/>
      <c r="AX245" s="4"/>
      <c r="AY245" s="4"/>
      <c r="AZ245" s="4"/>
      <c r="BB245" s="204" t="s">
        <v>536</v>
      </c>
      <c r="BG245" s="241">
        <f>IF(AND(AND($M$258="nonprofit",$M$266="nonprofit",$M$274="(select one)")),1,0)</f>
        <v>0</v>
      </c>
    </row>
    <row r="246" spans="1:67" ht="13" customHeight="1">
      <c r="D246" s="4" t="s">
        <v>90</v>
      </c>
      <c r="E246" s="4"/>
      <c r="F246" s="4"/>
      <c r="M246" s="1550" t="s">
        <v>2660</v>
      </c>
      <c r="N246" s="1550"/>
      <c r="O246" s="1550"/>
      <c r="P246" s="1550"/>
      <c r="Q246" s="1550"/>
      <c r="R246" s="1550"/>
      <c r="S246" s="1550"/>
      <c r="T246" s="1550"/>
      <c r="U246" s="1550"/>
      <c r="V246" s="1550"/>
      <c r="W246" s="1550"/>
      <c r="X246" s="1550"/>
      <c r="Y246" s="1550"/>
      <c r="Z246" s="1550"/>
      <c r="AA246" s="1550"/>
      <c r="AB246" s="1550"/>
      <c r="AC246" s="1550"/>
      <c r="AD246" s="1550"/>
      <c r="AE246" s="1550"/>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3" customHeight="1">
      <c r="A247" s="2" t="s">
        <v>585</v>
      </c>
      <c r="C247" s="2" t="s">
        <v>524</v>
      </c>
      <c r="M247" s="1428" t="s">
        <v>299</v>
      </c>
      <c r="N247" s="1428"/>
      <c r="O247" s="1428"/>
      <c r="P247" s="1428"/>
      <c r="Q247" s="1428"/>
      <c r="R247" s="1428"/>
      <c r="S247" s="1428"/>
      <c r="T247" s="1428"/>
      <c r="U247" s="204" t="s">
        <v>905</v>
      </c>
      <c r="V247" s="204"/>
      <c r="W247" s="204"/>
      <c r="X247" s="204"/>
      <c r="Y247" s="204"/>
      <c r="Z247" s="204"/>
      <c r="AA247" s="1569"/>
      <c r="AB247" s="1569"/>
      <c r="AC247" s="1569"/>
      <c r="AD247" s="1569"/>
      <c r="AE247" s="1569"/>
      <c r="AF247" s="1569"/>
      <c r="AG247" s="1569"/>
      <c r="AH247" s="1569"/>
      <c r="AI247" s="1569"/>
      <c r="AJ247" s="1569"/>
      <c r="AK247" s="1569"/>
      <c r="AL247" s="3"/>
      <c r="AM247" s="3"/>
      <c r="AN247" s="3"/>
      <c r="AO247" s="3"/>
      <c r="AP247" s="3"/>
      <c r="AQ247" s="3"/>
      <c r="AR247" s="3"/>
      <c r="AS247" s="3"/>
      <c r="AT247" s="3"/>
      <c r="AU247" s="3"/>
      <c r="AV247" s="3"/>
      <c r="AW247" s="3"/>
      <c r="AX247" s="3"/>
      <c r="AY247" s="3"/>
      <c r="BB247" s="204" t="s">
        <v>536</v>
      </c>
      <c r="BG247" s="241">
        <f>IF(AND(AND($M$258="nonprofit",$M$266="(select one)",$M$274="(select one)")),1,0)</f>
        <v>0</v>
      </c>
    </row>
    <row r="248" spans="1:67" ht="13" customHeight="1">
      <c r="D248" t="s">
        <v>530</v>
      </c>
      <c r="M248" s="1401" t="s">
        <v>2661</v>
      </c>
      <c r="N248" s="1401"/>
      <c r="O248" s="1401"/>
      <c r="P248" s="1401"/>
      <c r="Q248" s="1401"/>
      <c r="R248" s="1401"/>
      <c r="S248" s="1401"/>
      <c r="T248" s="1401"/>
      <c r="U248" s="1401"/>
      <c r="V248" s="1401"/>
      <c r="W248" s="1401"/>
      <c r="X248" s="1401"/>
      <c r="Y248" s="1401"/>
      <c r="Z248" s="1401"/>
      <c r="AA248" s="1401"/>
      <c r="AB248" s="1401"/>
      <c r="AC248" s="1401"/>
      <c r="AD248" s="1401"/>
      <c r="AE248" s="1401"/>
      <c r="AF248" s="4"/>
      <c r="AG248" s="4"/>
      <c r="AH248" s="4"/>
      <c r="AI248" s="4"/>
      <c r="AJ248" s="4"/>
      <c r="AK248" s="3"/>
      <c r="AL248" s="3"/>
      <c r="AM248" s="3"/>
      <c r="AN248" s="3"/>
      <c r="AO248" s="3"/>
      <c r="AP248" s="3"/>
      <c r="AQ248" s="3"/>
      <c r="AR248" s="3"/>
      <c r="AS248" s="3"/>
      <c r="AT248" s="3"/>
      <c r="BB248" s="204" t="s">
        <v>876</v>
      </c>
      <c r="BG248" s="241">
        <f>IF(AND(AND($M$258="for profit",$M$266="for profit",$M$274="(select one)")),3,0)</f>
        <v>0</v>
      </c>
    </row>
    <row r="249" spans="1:67" ht="13" customHeight="1">
      <c r="D249" s="4"/>
      <c r="BB249" s="204" t="s">
        <v>876</v>
      </c>
      <c r="BG249" s="241">
        <f>IF(AND(AND($M$258="for profit",$M$266="for profit",$M$274="for profit")),3,0)</f>
        <v>0</v>
      </c>
    </row>
    <row r="250" spans="1:67" ht="13" customHeight="1">
      <c r="A250" s="2" t="s">
        <v>588</v>
      </c>
      <c r="C250" s="2" t="s">
        <v>1181</v>
      </c>
      <c r="D250" s="4"/>
      <c r="L250" s="8"/>
      <c r="M250" s="8"/>
      <c r="N250" s="8"/>
      <c r="AU250" s="3"/>
      <c r="AV250" s="3"/>
      <c r="AW250" s="3"/>
      <c r="AX250" s="3"/>
      <c r="AY250" s="3"/>
      <c r="BB250" s="204" t="s">
        <v>876</v>
      </c>
      <c r="BG250" s="241">
        <f>IF(AND(AND($M$258="for profit",$M$266="(select one)",$M$274="(select one)")),3,0)</f>
        <v>0</v>
      </c>
    </row>
    <row r="251" spans="1:67" ht="13"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3" customHeight="1">
      <c r="A252" s="19"/>
      <c r="B252" s="4"/>
      <c r="C252" s="56" t="s">
        <v>472</v>
      </c>
      <c r="D252" s="4" t="s">
        <v>531</v>
      </c>
      <c r="E252" s="4"/>
      <c r="F252" s="4"/>
      <c r="G252" s="4"/>
      <c r="H252" s="4"/>
      <c r="I252" s="4"/>
      <c r="J252" s="4"/>
      <c r="K252" s="4"/>
      <c r="L252" s="4"/>
      <c r="M252" s="1575" t="s">
        <v>2644</v>
      </c>
      <c r="N252" s="1552"/>
      <c r="O252" s="1552"/>
      <c r="P252" s="1552"/>
      <c r="Q252" s="1552"/>
      <c r="R252" s="1552"/>
      <c r="S252" s="1552"/>
      <c r="T252" s="1552"/>
      <c r="U252" s="1552"/>
      <c r="V252" s="1552"/>
      <c r="W252" s="1552"/>
      <c r="X252" s="1552"/>
      <c r="Y252" s="1552"/>
      <c r="Z252" s="1552"/>
      <c r="AA252" s="1552"/>
      <c r="AB252" s="1552"/>
      <c r="AC252" s="1552"/>
      <c r="AD252" s="1552"/>
      <c r="AE252" s="1552"/>
      <c r="AF252" s="1552" t="s">
        <v>2662</v>
      </c>
      <c r="AG252" s="1552"/>
      <c r="AH252" s="1552"/>
      <c r="AI252" s="1552"/>
      <c r="AJ252" s="1552"/>
      <c r="AK252" s="1552"/>
      <c r="AU252" s="4"/>
      <c r="AV252" s="4"/>
      <c r="AW252" s="4"/>
      <c r="AX252" s="4"/>
      <c r="AY252" s="4"/>
      <c r="BG252">
        <f>SUM(BG235:BG250)</f>
        <v>2</v>
      </c>
    </row>
    <row r="253" spans="1:67" ht="13" customHeight="1">
      <c r="A253" s="19"/>
      <c r="B253" s="4"/>
      <c r="C253" s="4"/>
      <c r="D253" s="4" t="s">
        <v>85</v>
      </c>
      <c r="E253" s="4"/>
      <c r="F253" s="4"/>
      <c r="G253" s="4"/>
      <c r="H253" s="4"/>
      <c r="I253" s="4"/>
      <c r="J253" s="4"/>
      <c r="K253" s="4"/>
      <c r="L253" s="4"/>
      <c r="M253" s="1528" t="s">
        <v>2655</v>
      </c>
      <c r="N253" s="1530"/>
      <c r="O253" s="1530"/>
      <c r="P253" s="1530"/>
      <c r="Q253" s="1530"/>
      <c r="R253" s="1530"/>
      <c r="S253" s="1530"/>
      <c r="T253" s="1530"/>
      <c r="U253" s="1530"/>
      <c r="V253" s="1530"/>
      <c r="W253" s="1530"/>
      <c r="X253" s="1530"/>
      <c r="Y253" s="1530"/>
      <c r="Z253" s="1530"/>
      <c r="AA253" s="1530"/>
      <c r="AB253" s="1530"/>
      <c r="AC253" s="1530"/>
      <c r="AD253" s="1530"/>
      <c r="AE253" s="1530"/>
      <c r="AF253" s="3" t="s">
        <v>1177</v>
      </c>
      <c r="AL253" s="4"/>
      <c r="AM253" s="4"/>
      <c r="AN253" s="4"/>
      <c r="AO253" s="4"/>
      <c r="AP253" s="4"/>
      <c r="AQ253" s="4"/>
      <c r="AR253" s="4"/>
      <c r="AS253" s="4"/>
      <c r="AT253" s="4"/>
      <c r="BB253" t="s">
        <v>306</v>
      </c>
      <c r="BG253">
        <v>1</v>
      </c>
      <c r="BH253" t="s">
        <v>533</v>
      </c>
    </row>
    <row r="254" spans="1:67" ht="13" customHeight="1">
      <c r="A254" s="19"/>
      <c r="B254" s="4"/>
      <c r="C254" s="4"/>
      <c r="D254" s="4" t="s">
        <v>579</v>
      </c>
      <c r="E254" s="4"/>
      <c r="M254" s="1528" t="s">
        <v>2656</v>
      </c>
      <c r="N254" s="1530"/>
      <c r="O254" s="1530"/>
      <c r="P254" s="1530"/>
      <c r="Q254" s="1530"/>
      <c r="R254" s="1530"/>
      <c r="S254" s="1530"/>
      <c r="T254" s="1530"/>
      <c r="V254" s="33" t="s">
        <v>86</v>
      </c>
      <c r="W254" s="1542" t="s">
        <v>2657</v>
      </c>
      <c r="X254" s="1470"/>
      <c r="Y254" s="4" t="s">
        <v>582</v>
      </c>
      <c r="AC254" s="1530">
        <v>83646</v>
      </c>
      <c r="AD254" s="1530"/>
      <c r="AE254" s="1530"/>
      <c r="AF254" s="3" t="s">
        <v>1178</v>
      </c>
      <c r="AU254" s="4"/>
      <c r="AV254" s="4"/>
      <c r="AW254" s="4"/>
      <c r="AX254" s="4"/>
      <c r="AY254" s="4"/>
      <c r="BB254" s="4" t="s">
        <v>279</v>
      </c>
      <c r="BG254">
        <v>2</v>
      </c>
      <c r="BH254" t="s">
        <v>565</v>
      </c>
      <c r="BO254" s="239" t="str">
        <f>VLOOKUP(BG252,BG253:BH256,2,FALSE)</f>
        <v>Joint Venture</v>
      </c>
    </row>
    <row r="255" spans="1:67" ht="13" customHeight="1">
      <c r="A255" s="19"/>
      <c r="B255" s="4"/>
      <c r="C255" s="4"/>
      <c r="D255" s="4" t="s">
        <v>87</v>
      </c>
      <c r="E255" s="4"/>
      <c r="F255" s="4"/>
      <c r="G255" s="4"/>
      <c r="H255" s="4"/>
      <c r="I255" s="4"/>
      <c r="J255" s="4"/>
      <c r="K255" s="4"/>
      <c r="L255" s="19"/>
      <c r="M255" s="1528" t="s">
        <v>2658</v>
      </c>
      <c r="N255" s="1530"/>
      <c r="O255" s="1530"/>
      <c r="P255" s="1530"/>
      <c r="Q255" s="1530"/>
      <c r="R255" s="1530"/>
      <c r="S255" s="1530"/>
      <c r="T255" s="1530"/>
      <c r="U255" s="1530"/>
      <c r="V255" s="1530"/>
      <c r="W255" s="1530"/>
      <c r="X255" s="1530"/>
      <c r="Y255" s="1530"/>
      <c r="Z255" s="1530"/>
      <c r="AA255" s="1530"/>
      <c r="AB255" s="1530"/>
      <c r="AC255" s="1530"/>
      <c r="AD255" s="1530"/>
      <c r="AE255" s="1530"/>
      <c r="AH255" s="1548">
        <v>8.9999999999999993E-3</v>
      </c>
      <c r="AI255" s="1548"/>
      <c r="AJ255" s="1548"/>
      <c r="AK255" s="1548"/>
      <c r="AL255" s="4"/>
      <c r="AM255" s="4"/>
      <c r="AN255" s="4"/>
      <c r="AO255" s="4"/>
      <c r="AP255" s="4"/>
      <c r="AQ255" s="4"/>
      <c r="AR255" s="4"/>
      <c r="AS255" s="4"/>
      <c r="AT255" s="4"/>
      <c r="BB255" s="4" t="s">
        <v>172</v>
      </c>
      <c r="BG255">
        <v>3</v>
      </c>
      <c r="BH255" t="s">
        <v>535</v>
      </c>
      <c r="BN255" s="34"/>
    </row>
    <row r="256" spans="1:67" ht="13" customHeight="1">
      <c r="A256" s="19"/>
      <c r="B256" s="4"/>
      <c r="C256" s="4"/>
      <c r="D256" s="4" t="s">
        <v>88</v>
      </c>
      <c r="E256" s="4"/>
      <c r="F256" s="4"/>
      <c r="M256" s="1532" t="s">
        <v>2659</v>
      </c>
      <c r="N256" s="1478"/>
      <c r="O256" s="1478"/>
      <c r="P256" s="1478"/>
      <c r="Q256" s="1478"/>
      <c r="R256" s="1478"/>
      <c r="S256" s="4" t="s">
        <v>205</v>
      </c>
      <c r="T256" s="4"/>
      <c r="U256" s="1470"/>
      <c r="V256" s="1470"/>
      <c r="W256" s="1470"/>
      <c r="X256" s="4" t="s">
        <v>89</v>
      </c>
      <c r="Z256" s="1478"/>
      <c r="AA256" s="1478"/>
      <c r="AB256" s="1478"/>
      <c r="AC256" s="1478"/>
      <c r="AD256" s="1478"/>
      <c r="AE256" s="1478"/>
      <c r="AU256" s="4"/>
      <c r="AV256" s="4"/>
      <c r="AW256" s="4"/>
      <c r="AX256" s="4"/>
      <c r="AY256" s="4"/>
      <c r="BG256">
        <v>0</v>
      </c>
      <c r="BH256" s="3" t="str">
        <f>""</f>
        <v/>
      </c>
      <c r="BN256" s="34"/>
    </row>
    <row r="257" spans="1:66" ht="13" customHeight="1">
      <c r="A257" s="19"/>
      <c r="B257" s="4"/>
      <c r="C257" s="4"/>
      <c r="D257" s="4" t="s">
        <v>90</v>
      </c>
      <c r="E257" s="4"/>
      <c r="F257" s="4"/>
      <c r="M257" s="1550" t="s">
        <v>2660</v>
      </c>
      <c r="N257" s="1550"/>
      <c r="O257" s="1550"/>
      <c r="P257" s="1550"/>
      <c r="Q257" s="1550"/>
      <c r="R257" s="1550"/>
      <c r="S257" s="1550"/>
      <c r="T257" s="1550"/>
      <c r="U257" s="1550"/>
      <c r="V257" s="1550"/>
      <c r="W257" s="1550"/>
      <c r="X257" s="1550"/>
      <c r="Y257" s="1550"/>
      <c r="Z257" s="1550"/>
      <c r="AA257" s="1550"/>
      <c r="AB257" s="1550"/>
      <c r="AC257" s="1550"/>
      <c r="AD257" s="1550"/>
      <c r="AE257" s="1550"/>
      <c r="AG257" s="4"/>
      <c r="AH257" s="4"/>
      <c r="AI257" s="4"/>
      <c r="AJ257" s="4"/>
      <c r="AK257" s="4"/>
      <c r="AL257" s="4"/>
      <c r="AM257" s="4"/>
      <c r="AN257" s="4"/>
      <c r="AO257" s="4"/>
      <c r="AP257" s="4"/>
      <c r="AQ257" s="4"/>
      <c r="AR257" s="4"/>
      <c r="AS257" s="4"/>
      <c r="AT257" s="4"/>
      <c r="BN257" s="34"/>
    </row>
    <row r="258" spans="1:66" ht="13" customHeight="1">
      <c r="A258" s="13"/>
      <c r="B258" s="4"/>
      <c r="C258" s="56"/>
      <c r="D258" s="4" t="s">
        <v>534</v>
      </c>
      <c r="E258" s="4"/>
      <c r="F258" s="4"/>
      <c r="G258" s="4"/>
      <c r="H258" s="4"/>
      <c r="I258" s="4"/>
      <c r="J258" s="4"/>
      <c r="K258" s="4"/>
      <c r="L258" s="4"/>
      <c r="M258" s="1428" t="s">
        <v>535</v>
      </c>
      <c r="N258" s="1428"/>
      <c r="O258" s="1428"/>
      <c r="P258" s="1428"/>
      <c r="Q258" s="1428"/>
      <c r="R258" s="1428"/>
      <c r="S258" s="1428"/>
      <c r="T258" s="1428"/>
      <c r="U258" s="204" t="s">
        <v>905</v>
      </c>
      <c r="V258" s="204"/>
      <c r="W258" s="204"/>
      <c r="X258" s="204"/>
      <c r="Y258" s="204"/>
      <c r="Z258" s="204"/>
      <c r="AA258" s="1569"/>
      <c r="AB258" s="1569"/>
      <c r="AC258" s="1569"/>
      <c r="AD258" s="1569"/>
      <c r="AE258" s="1569"/>
      <c r="AF258" s="1569"/>
      <c r="AG258" s="1569"/>
      <c r="AH258" s="1569"/>
      <c r="AI258" s="1569"/>
      <c r="AJ258" s="1569"/>
      <c r="AK258" s="1569"/>
      <c r="BN258" s="34"/>
    </row>
    <row r="259" spans="1:66" ht="13" customHeight="1">
      <c r="A259" s="19"/>
      <c r="B259" s="4"/>
      <c r="C259" s="4"/>
      <c r="D259" s="4"/>
      <c r="E259" s="4"/>
      <c r="F259" s="4"/>
      <c r="G259" s="4"/>
      <c r="H259" s="4"/>
      <c r="I259" s="4"/>
      <c r="J259" s="4"/>
      <c r="K259" s="4"/>
      <c r="L259" s="4"/>
      <c r="AG259" s="4"/>
      <c r="AH259" s="4"/>
      <c r="AI259" s="4"/>
      <c r="AJ259" s="4"/>
      <c r="BN259" s="34"/>
    </row>
    <row r="260" spans="1:66" ht="13" customHeight="1">
      <c r="A260" s="2"/>
      <c r="B260" s="4"/>
      <c r="C260" s="56" t="s">
        <v>98</v>
      </c>
      <c r="D260" s="4" t="s">
        <v>954</v>
      </c>
      <c r="E260" s="4"/>
      <c r="F260" s="4"/>
      <c r="G260" s="4"/>
      <c r="H260" s="4"/>
      <c r="I260" s="4"/>
      <c r="J260" s="4"/>
      <c r="K260" s="4"/>
      <c r="L260" s="4"/>
      <c r="M260" s="1575" t="s">
        <v>2663</v>
      </c>
      <c r="N260" s="1552"/>
      <c r="O260" s="1552"/>
      <c r="P260" s="1552"/>
      <c r="Q260" s="1552"/>
      <c r="R260" s="1552"/>
      <c r="S260" s="1552"/>
      <c r="T260" s="1552"/>
      <c r="U260" s="1552"/>
      <c r="V260" s="1552"/>
      <c r="W260" s="1552"/>
      <c r="X260" s="1552"/>
      <c r="Y260" s="1552"/>
      <c r="Z260" s="1552"/>
      <c r="AA260" s="1552"/>
      <c r="AB260" s="1552"/>
      <c r="AC260" s="1552"/>
      <c r="AD260" s="1552"/>
      <c r="AE260" s="1552"/>
      <c r="AF260" s="1552" t="s">
        <v>2664</v>
      </c>
      <c r="AG260" s="1552"/>
      <c r="AH260" s="1552"/>
      <c r="AI260" s="1552"/>
      <c r="AJ260" s="1552"/>
      <c r="AK260" s="1552"/>
      <c r="AU260" s="4"/>
      <c r="AV260" s="4"/>
      <c r="AW260" s="4"/>
      <c r="AX260" s="4"/>
      <c r="AY260" s="4"/>
      <c r="BN260" s="34"/>
    </row>
    <row r="261" spans="1:66" ht="13" customHeight="1">
      <c r="A261" s="19"/>
      <c r="B261" s="4"/>
      <c r="C261" s="4"/>
      <c r="D261" s="4" t="s">
        <v>85</v>
      </c>
      <c r="E261" s="4"/>
      <c r="F261" s="4"/>
      <c r="G261" s="4"/>
      <c r="H261" s="4"/>
      <c r="I261" s="4"/>
      <c r="J261" s="4"/>
      <c r="K261" s="4"/>
      <c r="L261" s="4"/>
      <c r="M261" s="1528" t="s">
        <v>2665</v>
      </c>
      <c r="N261" s="1530"/>
      <c r="O261" s="1530"/>
      <c r="P261" s="1530"/>
      <c r="Q261" s="1530"/>
      <c r="R261" s="1530"/>
      <c r="S261" s="1530"/>
      <c r="T261" s="1530"/>
      <c r="U261" s="1530"/>
      <c r="V261" s="1530"/>
      <c r="W261" s="1530"/>
      <c r="X261" s="1530"/>
      <c r="Y261" s="1530"/>
      <c r="Z261" s="1530"/>
      <c r="AA261" s="1530"/>
      <c r="AB261" s="1530"/>
      <c r="AC261" s="1530"/>
      <c r="AD261" s="1530"/>
      <c r="AE261" s="1530"/>
      <c r="AF261" s="3" t="s">
        <v>1177</v>
      </c>
      <c r="AL261" s="4"/>
      <c r="AM261" s="4"/>
      <c r="AN261" s="4"/>
      <c r="AO261" s="4"/>
      <c r="AP261" s="4"/>
      <c r="AQ261" s="4"/>
      <c r="AR261" s="4"/>
      <c r="AS261" s="4"/>
      <c r="AT261" s="4"/>
      <c r="BN261" s="34"/>
    </row>
    <row r="262" spans="1:66" ht="13" customHeight="1">
      <c r="A262" s="19"/>
      <c r="B262" s="4"/>
      <c r="C262" s="4"/>
      <c r="D262" s="4" t="s">
        <v>579</v>
      </c>
      <c r="E262" s="4"/>
      <c r="M262" s="1528" t="s">
        <v>55</v>
      </c>
      <c r="N262" s="1530"/>
      <c r="O262" s="1530"/>
      <c r="P262" s="1530"/>
      <c r="Q262" s="1530"/>
      <c r="R262" s="1530"/>
      <c r="S262" s="1530"/>
      <c r="T262" s="1530"/>
      <c r="V262" s="33" t="s">
        <v>86</v>
      </c>
      <c r="W262" s="1542" t="s">
        <v>2666</v>
      </c>
      <c r="X262" s="1470"/>
      <c r="Y262" s="4" t="s">
        <v>582</v>
      </c>
      <c r="AC262" s="1530">
        <v>95348</v>
      </c>
      <c r="AD262" s="1530"/>
      <c r="AE262" s="1530"/>
      <c r="AF262" s="3" t="s">
        <v>1178</v>
      </c>
      <c r="AU262" s="4"/>
      <c r="AV262" s="4"/>
      <c r="AW262" s="4"/>
      <c r="AX262" s="4"/>
      <c r="AY262" s="4"/>
      <c r="BN262" s="34"/>
    </row>
    <row r="263" spans="1:66" ht="13" customHeight="1">
      <c r="A263" s="19"/>
      <c r="B263" s="4"/>
      <c r="C263" s="4"/>
      <c r="D263" s="4" t="s">
        <v>87</v>
      </c>
      <c r="E263" s="4"/>
      <c r="F263" s="4"/>
      <c r="G263" s="4"/>
      <c r="H263" s="4"/>
      <c r="I263" s="4"/>
      <c r="J263" s="4"/>
      <c r="K263" s="4"/>
      <c r="L263" s="19"/>
      <c r="M263" s="1528" t="s">
        <v>2667</v>
      </c>
      <c r="N263" s="1530"/>
      <c r="O263" s="1530"/>
      <c r="P263" s="1530"/>
      <c r="Q263" s="1530"/>
      <c r="R263" s="1530"/>
      <c r="S263" s="1530"/>
      <c r="T263" s="1530"/>
      <c r="U263" s="1530"/>
      <c r="V263" s="1530"/>
      <c r="W263" s="1530"/>
      <c r="X263" s="1530"/>
      <c r="Y263" s="1530"/>
      <c r="Z263" s="1530"/>
      <c r="AA263" s="1530"/>
      <c r="AB263" s="1530"/>
      <c r="AC263" s="1530"/>
      <c r="AD263" s="1530"/>
      <c r="AE263" s="1530"/>
      <c r="AH263" s="1548">
        <v>1E-3</v>
      </c>
      <c r="AI263" s="1548"/>
      <c r="AJ263" s="1548"/>
      <c r="AK263" s="1548"/>
      <c r="AL263" s="4"/>
      <c r="AM263" s="4"/>
      <c r="AN263" s="4"/>
      <c r="AO263" s="4"/>
      <c r="AP263" s="4"/>
      <c r="AQ263" s="4"/>
      <c r="AR263" s="4"/>
      <c r="AS263" s="4"/>
      <c r="AT263" s="4"/>
    </row>
    <row r="264" spans="1:66" ht="13" customHeight="1">
      <c r="A264" s="19"/>
      <c r="B264" s="4"/>
      <c r="C264" s="4"/>
      <c r="D264" s="4" t="s">
        <v>88</v>
      </c>
      <c r="E264" s="4"/>
      <c r="F264" s="4"/>
      <c r="M264" s="1532" t="s">
        <v>2668</v>
      </c>
      <c r="N264" s="1478"/>
      <c r="O264" s="1478"/>
      <c r="P264" s="1478"/>
      <c r="Q264" s="1478"/>
      <c r="R264" s="1478"/>
      <c r="S264" s="4" t="s">
        <v>205</v>
      </c>
      <c r="T264" s="4"/>
      <c r="U264" s="1470"/>
      <c r="V264" s="1470"/>
      <c r="W264" s="1470"/>
      <c r="X264" s="4" t="s">
        <v>89</v>
      </c>
      <c r="Z264" s="1478"/>
      <c r="AA264" s="1478"/>
      <c r="AB264" s="1478"/>
      <c r="AC264" s="1478"/>
      <c r="AD264" s="1478"/>
      <c r="AE264" s="1478"/>
      <c r="AU264" s="4"/>
      <c r="AV264" s="4"/>
      <c r="AW264" s="4"/>
      <c r="AX264" s="4"/>
      <c r="AY264" s="4"/>
      <c r="BN264" s="34"/>
    </row>
    <row r="265" spans="1:66" ht="13" customHeight="1">
      <c r="A265" s="19"/>
      <c r="B265" s="4"/>
      <c r="C265" s="4"/>
      <c r="D265" s="4" t="s">
        <v>90</v>
      </c>
      <c r="E265" s="4"/>
      <c r="F265" s="4"/>
      <c r="M265" s="1550" t="s">
        <v>2669</v>
      </c>
      <c r="N265" s="1550"/>
      <c r="O265" s="1550"/>
      <c r="P265" s="1550"/>
      <c r="Q265" s="1550"/>
      <c r="R265" s="1550"/>
      <c r="S265" s="1550"/>
      <c r="T265" s="1550"/>
      <c r="U265" s="1550"/>
      <c r="V265" s="1550"/>
      <c r="W265" s="1550"/>
      <c r="X265" s="1550"/>
      <c r="Y265" s="1550"/>
      <c r="Z265" s="1550"/>
      <c r="AA265" s="1550"/>
      <c r="AB265" s="1550"/>
      <c r="AC265" s="1550"/>
      <c r="AD265" s="1550"/>
      <c r="AE265" s="1550"/>
      <c r="AG265" s="4"/>
      <c r="AH265" s="4"/>
      <c r="AI265" s="4"/>
      <c r="AJ265" s="4"/>
      <c r="AK265" s="4"/>
      <c r="AL265" s="4"/>
      <c r="AM265" s="4"/>
      <c r="AN265" s="4"/>
      <c r="AO265" s="4"/>
      <c r="AP265" s="4"/>
      <c r="AQ265" s="4"/>
      <c r="AR265" s="4"/>
      <c r="AS265" s="4"/>
      <c r="AT265" s="4"/>
      <c r="AU265" s="3"/>
      <c r="AV265" s="3"/>
      <c r="AW265" s="3"/>
      <c r="AX265" s="3"/>
      <c r="AY265" s="3"/>
      <c r="BN265" s="34"/>
    </row>
    <row r="266" spans="1:66" ht="13" customHeight="1">
      <c r="A266" s="13"/>
      <c r="B266" s="4"/>
      <c r="C266" s="56"/>
      <c r="D266" s="4" t="s">
        <v>534</v>
      </c>
      <c r="E266" s="4"/>
      <c r="F266" s="4"/>
      <c r="G266" s="4"/>
      <c r="H266" s="4"/>
      <c r="I266" s="4"/>
      <c r="J266" s="4"/>
      <c r="K266" s="4"/>
      <c r="L266" s="4"/>
      <c r="M266" s="1428" t="s">
        <v>533</v>
      </c>
      <c r="N266" s="1428"/>
      <c r="O266" s="1428"/>
      <c r="P266" s="1428"/>
      <c r="Q266" s="1428"/>
      <c r="R266" s="1428"/>
      <c r="S266" s="1428"/>
      <c r="T266" s="1428"/>
      <c r="U266" s="204" t="s">
        <v>905</v>
      </c>
      <c r="V266" s="204"/>
      <c r="W266" s="204"/>
      <c r="X266" s="204"/>
      <c r="Y266" s="204"/>
      <c r="Z266" s="204"/>
      <c r="AA266" s="1569"/>
      <c r="AB266" s="1569"/>
      <c r="AC266" s="1569"/>
      <c r="AD266" s="1569"/>
      <c r="AE266" s="1569"/>
      <c r="AF266" s="1569"/>
      <c r="AG266" s="1569"/>
      <c r="AH266" s="1569"/>
      <c r="AI266" s="1569"/>
      <c r="AJ266" s="1569"/>
      <c r="AK266" s="1569"/>
      <c r="AL266" s="3"/>
      <c r="AM266" s="3"/>
      <c r="AN266" s="3"/>
      <c r="AO266" s="3"/>
      <c r="AP266" s="3"/>
      <c r="AQ266" s="3"/>
      <c r="AR266" s="3"/>
      <c r="AS266" s="3"/>
      <c r="AT266" s="3"/>
      <c r="AU266" s="3"/>
      <c r="AV266" s="3"/>
      <c r="AW266" s="3"/>
      <c r="AX266" s="3"/>
      <c r="AY266" s="3"/>
    </row>
    <row r="267" spans="1:66" ht="13"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3" customHeight="1">
      <c r="A268" s="13"/>
      <c r="B268" s="4"/>
      <c r="C268" s="56" t="s">
        <v>875</v>
      </c>
      <c r="D268" s="4" t="s">
        <v>531</v>
      </c>
      <c r="E268" s="4"/>
      <c r="F268" s="4"/>
      <c r="G268" s="4"/>
      <c r="H268" s="4"/>
      <c r="I268" s="4"/>
      <c r="J268" s="4"/>
      <c r="K268" s="4"/>
      <c r="L268" s="4"/>
      <c r="M268" s="1552"/>
      <c r="N268" s="1552"/>
      <c r="O268" s="1552"/>
      <c r="P268" s="1552"/>
      <c r="Q268" s="1552"/>
      <c r="R268" s="1552"/>
      <c r="S268" s="1552"/>
      <c r="T268" s="1552"/>
      <c r="U268" s="1552"/>
      <c r="V268" s="1552"/>
      <c r="W268" s="1552"/>
      <c r="X268" s="1552"/>
      <c r="Y268" s="1552"/>
      <c r="Z268" s="1552"/>
      <c r="AA268" s="1552"/>
      <c r="AB268" s="1552"/>
      <c r="AC268" s="1552"/>
      <c r="AD268" s="1552"/>
      <c r="AE268" s="1552"/>
      <c r="AF268" s="1552" t="s">
        <v>306</v>
      </c>
      <c r="AG268" s="1552"/>
      <c r="AH268" s="1552"/>
      <c r="AI268" s="1552"/>
      <c r="AJ268" s="1552"/>
      <c r="AK268" s="1552"/>
      <c r="AL268" s="3"/>
      <c r="AM268" s="3"/>
      <c r="AN268" s="3"/>
      <c r="AO268" s="3"/>
      <c r="AP268" s="3"/>
      <c r="AQ268" s="3"/>
      <c r="AR268" s="3"/>
      <c r="AS268" s="3"/>
      <c r="AT268" s="3"/>
      <c r="AU268" s="3"/>
      <c r="AV268" s="3"/>
      <c r="AW268" s="3"/>
      <c r="AX268" s="3"/>
      <c r="AY268" s="3"/>
    </row>
    <row r="269" spans="1:66" ht="13" customHeight="1">
      <c r="A269" s="13"/>
      <c r="B269" s="4"/>
      <c r="C269" s="4"/>
      <c r="D269" s="4" t="s">
        <v>85</v>
      </c>
      <c r="E269" s="4"/>
      <c r="F269" s="4"/>
      <c r="G269" s="4"/>
      <c r="H269" s="4"/>
      <c r="I269" s="4"/>
      <c r="J269" s="4"/>
      <c r="K269" s="4"/>
      <c r="L269" s="4"/>
      <c r="M269" s="1530"/>
      <c r="N269" s="1530"/>
      <c r="O269" s="1530"/>
      <c r="P269" s="1530"/>
      <c r="Q269" s="1530"/>
      <c r="R269" s="1530"/>
      <c r="S269" s="1530"/>
      <c r="T269" s="1530"/>
      <c r="U269" s="1530"/>
      <c r="V269" s="1530"/>
      <c r="W269" s="1530"/>
      <c r="X269" s="1530"/>
      <c r="Y269" s="1530"/>
      <c r="Z269" s="1530"/>
      <c r="AA269" s="1530"/>
      <c r="AB269" s="1530"/>
      <c r="AC269" s="1530"/>
      <c r="AD269" s="1530"/>
      <c r="AE269" s="1530"/>
      <c r="AF269" s="3" t="s">
        <v>1177</v>
      </c>
      <c r="AL269" s="3"/>
      <c r="AM269" s="3"/>
      <c r="AN269" s="3"/>
      <c r="AO269" s="3"/>
      <c r="AP269" s="3"/>
      <c r="AQ269" s="3"/>
      <c r="AR269" s="3"/>
      <c r="AS269" s="3"/>
      <c r="AT269" s="3"/>
      <c r="AU269" s="3"/>
      <c r="AV269" s="3"/>
      <c r="AW269" s="3"/>
      <c r="AX269" s="3"/>
      <c r="AY269" s="3"/>
    </row>
    <row r="270" spans="1:66" ht="13" customHeight="1">
      <c r="A270" s="13"/>
      <c r="B270" s="4"/>
      <c r="C270" s="4"/>
      <c r="D270" s="4" t="s">
        <v>579</v>
      </c>
      <c r="E270" s="4"/>
      <c r="M270" s="1530"/>
      <c r="N270" s="1530"/>
      <c r="O270" s="1530"/>
      <c r="P270" s="1530"/>
      <c r="Q270" s="1530"/>
      <c r="R270" s="1530"/>
      <c r="S270" s="1530"/>
      <c r="T270" s="1530"/>
      <c r="V270" s="33" t="s">
        <v>86</v>
      </c>
      <c r="W270" s="1470"/>
      <c r="X270" s="1470"/>
      <c r="Y270" s="4" t="s">
        <v>582</v>
      </c>
      <c r="AC270" s="1530"/>
      <c r="AD270" s="1530"/>
      <c r="AE270" s="1530"/>
      <c r="AF270" s="3" t="s">
        <v>1178</v>
      </c>
      <c r="AL270" s="3"/>
      <c r="AM270" s="3"/>
      <c r="AN270" s="3"/>
      <c r="AO270" s="3"/>
      <c r="AP270" s="3"/>
      <c r="AQ270" s="3"/>
      <c r="AR270" s="3"/>
      <c r="AS270" s="3"/>
      <c r="AT270" s="3"/>
      <c r="AU270" s="3"/>
      <c r="AV270" s="3"/>
      <c r="AW270" s="3"/>
      <c r="AX270" s="3"/>
      <c r="AY270" s="3"/>
    </row>
    <row r="271" spans="1:66" ht="13" customHeight="1">
      <c r="A271" s="13"/>
      <c r="B271" s="4"/>
      <c r="C271" s="4"/>
      <c r="D271" s="4" t="s">
        <v>87</v>
      </c>
      <c r="E271" s="4"/>
      <c r="F271" s="4"/>
      <c r="G271" s="4"/>
      <c r="H271" s="4"/>
      <c r="I271" s="4"/>
      <c r="J271" s="4"/>
      <c r="K271" s="4"/>
      <c r="L271" s="19"/>
      <c r="M271" s="1530"/>
      <c r="N271" s="1530"/>
      <c r="O271" s="1530"/>
      <c r="P271" s="1530"/>
      <c r="Q271" s="1530"/>
      <c r="R271" s="1530"/>
      <c r="S271" s="1530"/>
      <c r="T271" s="1530"/>
      <c r="U271" s="1530"/>
      <c r="V271" s="1530"/>
      <c r="W271" s="1530"/>
      <c r="X271" s="1530"/>
      <c r="Y271" s="1530"/>
      <c r="Z271" s="1530"/>
      <c r="AA271" s="1530"/>
      <c r="AB271" s="1530"/>
      <c r="AC271" s="1530"/>
      <c r="AD271" s="1530"/>
      <c r="AE271" s="1530"/>
      <c r="AH271" s="1548"/>
      <c r="AI271" s="1548"/>
      <c r="AJ271" s="1548"/>
      <c r="AK271" s="1548"/>
      <c r="AL271" s="3"/>
      <c r="AM271" s="3"/>
      <c r="AN271" s="3"/>
      <c r="AO271" s="3"/>
      <c r="AP271" s="3"/>
      <c r="AQ271" s="3"/>
      <c r="AR271" s="3"/>
      <c r="AS271" s="3"/>
      <c r="AT271" s="3"/>
      <c r="AU271" s="3"/>
      <c r="AV271" s="3"/>
      <c r="AW271" s="3"/>
      <c r="AX271" s="3"/>
      <c r="AY271" s="3"/>
    </row>
    <row r="272" spans="1:66" ht="13" customHeight="1">
      <c r="A272" s="13"/>
      <c r="B272" s="4"/>
      <c r="C272" s="4"/>
      <c r="D272" s="4" t="s">
        <v>88</v>
      </c>
      <c r="E272" s="4"/>
      <c r="F272" s="4"/>
      <c r="M272" s="1478"/>
      <c r="N272" s="1478"/>
      <c r="O272" s="1478"/>
      <c r="P272" s="1478"/>
      <c r="Q272" s="1478"/>
      <c r="R272" s="1478"/>
      <c r="S272" s="4" t="s">
        <v>205</v>
      </c>
      <c r="T272" s="4"/>
      <c r="U272" s="1470"/>
      <c r="V272" s="1470"/>
      <c r="W272" s="1470"/>
      <c r="X272" s="4" t="s">
        <v>89</v>
      </c>
      <c r="Z272" s="1478"/>
      <c r="AA272" s="1478"/>
      <c r="AB272" s="1478"/>
      <c r="AC272" s="1478"/>
      <c r="AD272" s="1478"/>
      <c r="AE272" s="1478"/>
      <c r="AL272" s="3"/>
      <c r="AM272" s="3"/>
      <c r="AN272" s="3"/>
      <c r="AO272" s="3"/>
      <c r="AP272" s="3"/>
      <c r="AQ272" s="3"/>
      <c r="AR272" s="3"/>
      <c r="AS272" s="3"/>
      <c r="AT272" s="3"/>
      <c r="AU272" s="3"/>
      <c r="AV272" s="3"/>
      <c r="AW272" s="3"/>
      <c r="AX272" s="3"/>
      <c r="AY272" s="3"/>
    </row>
    <row r="273" spans="1:51" ht="13" customHeight="1">
      <c r="A273" s="13"/>
      <c r="B273" s="4"/>
      <c r="C273" s="4"/>
      <c r="D273" s="4" t="s">
        <v>90</v>
      </c>
      <c r="E273" s="4"/>
      <c r="F273" s="4"/>
      <c r="M273" s="1550"/>
      <c r="N273" s="1550"/>
      <c r="O273" s="1550"/>
      <c r="P273" s="1550"/>
      <c r="Q273" s="1550"/>
      <c r="R273" s="1550"/>
      <c r="S273" s="1550"/>
      <c r="T273" s="1550"/>
      <c r="U273" s="1550"/>
      <c r="V273" s="1550"/>
      <c r="W273" s="1550"/>
      <c r="X273" s="1550"/>
      <c r="Y273" s="1550"/>
      <c r="Z273" s="1550"/>
      <c r="AA273" s="1551"/>
      <c r="AB273" s="1551"/>
      <c r="AC273" s="1551"/>
      <c r="AD273" s="1551"/>
      <c r="AE273" s="1551"/>
      <c r="AG273" s="4"/>
      <c r="AH273" s="4"/>
      <c r="AI273" s="4"/>
      <c r="AJ273" s="4"/>
      <c r="AK273" s="4"/>
      <c r="AL273" s="3"/>
      <c r="AM273" s="3"/>
      <c r="AN273" s="3"/>
      <c r="AO273" s="3"/>
      <c r="AP273" s="3"/>
      <c r="AQ273" s="3"/>
      <c r="AR273" s="3"/>
      <c r="AS273" s="3"/>
      <c r="AT273" s="3"/>
      <c r="AU273" s="3"/>
      <c r="AV273" s="3"/>
      <c r="AW273" s="3"/>
      <c r="AX273" s="3"/>
      <c r="AY273" s="3"/>
    </row>
    <row r="274" spans="1:51" ht="13" customHeight="1">
      <c r="A274" s="13"/>
      <c r="B274" s="4"/>
      <c r="C274" s="56"/>
      <c r="D274" s="4" t="s">
        <v>534</v>
      </c>
      <c r="E274" s="4"/>
      <c r="F274" s="4"/>
      <c r="G274" s="4"/>
      <c r="H274" s="4"/>
      <c r="I274" s="4"/>
      <c r="J274" s="4"/>
      <c r="K274" s="4"/>
      <c r="L274" s="4"/>
      <c r="M274" s="1428" t="s">
        <v>306</v>
      </c>
      <c r="N274" s="1428"/>
      <c r="O274" s="1428"/>
      <c r="P274" s="1428"/>
      <c r="Q274" s="1428"/>
      <c r="R274" s="1428"/>
      <c r="S274" s="1428"/>
      <c r="T274" s="1428"/>
      <c r="U274" s="204" t="s">
        <v>905</v>
      </c>
      <c r="V274" s="204"/>
      <c r="W274" s="204"/>
      <c r="X274" s="204"/>
      <c r="Y274" s="204"/>
      <c r="Z274" s="204"/>
      <c r="AA274" s="1577"/>
      <c r="AB274" s="1577"/>
      <c r="AC274" s="1577"/>
      <c r="AD274" s="1577"/>
      <c r="AE274" s="1577"/>
      <c r="AF274" s="1577"/>
      <c r="AG274" s="1577"/>
      <c r="AH274" s="1577"/>
      <c r="AI274" s="1577"/>
      <c r="AJ274" s="1577"/>
      <c r="AK274" s="1577"/>
      <c r="AL274" s="3"/>
      <c r="AM274" s="3"/>
      <c r="AN274" s="3"/>
      <c r="AO274" s="3"/>
      <c r="AP274" s="3"/>
      <c r="AQ274" s="3"/>
      <c r="AR274" s="3"/>
      <c r="AS274" s="3"/>
      <c r="AT274" s="3"/>
    </row>
    <row r="275" spans="1:51" ht="13"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3" customHeight="1">
      <c r="A276" s="57" t="s">
        <v>589</v>
      </c>
      <c r="B276" s="4"/>
      <c r="C276" s="2" t="s">
        <v>294</v>
      </c>
      <c r="D276" s="4"/>
      <c r="E276" s="4"/>
      <c r="F276" s="4"/>
      <c r="G276" s="4"/>
      <c r="H276" s="4"/>
      <c r="I276" s="4"/>
      <c r="J276" s="4"/>
      <c r="K276" s="4"/>
      <c r="L276" s="4"/>
      <c r="M276" s="35"/>
      <c r="N276" s="35"/>
      <c r="O276" s="35"/>
      <c r="P276" s="35"/>
      <c r="Q276" s="35"/>
      <c r="T276" s="1578" t="str">
        <f>IFERROR(BO254,"")</f>
        <v>Joint Venture</v>
      </c>
      <c r="U276" s="1578"/>
      <c r="V276" s="1578"/>
      <c r="W276" s="1578"/>
      <c r="X276" s="1578"/>
      <c r="Z276" s="307" t="s">
        <v>953</v>
      </c>
      <c r="AA276" s="308"/>
      <c r="AB276" s="308"/>
      <c r="AC276" s="308"/>
      <c r="AD276" s="105"/>
      <c r="AE276" s="105"/>
      <c r="AF276" s="105"/>
      <c r="AG276" s="105"/>
      <c r="AH276" s="105"/>
      <c r="AI276" s="105"/>
      <c r="AJ276" s="105"/>
      <c r="AK276" s="309"/>
      <c r="AL276" s="58"/>
    </row>
    <row r="277" spans="1:51" ht="13" customHeight="1">
      <c r="A277" s="2"/>
      <c r="B277" s="4"/>
      <c r="C277" s="2"/>
      <c r="I277" s="4"/>
      <c r="J277" s="4"/>
      <c r="K277" s="4"/>
      <c r="L277" s="4"/>
      <c r="M277" s="35"/>
      <c r="N277" s="35"/>
      <c r="O277" s="35"/>
      <c r="P277" s="35"/>
      <c r="Q277" s="35"/>
      <c r="T277" s="4"/>
      <c r="U277" s="4"/>
      <c r="V277" s="4"/>
      <c r="W277" s="35"/>
      <c r="Z277" s="310" t="s">
        <v>806</v>
      </c>
      <c r="AF277" s="4"/>
      <c r="AG277" s="4"/>
      <c r="AH277" s="4"/>
      <c r="AI277" s="4"/>
      <c r="AJ277" s="4"/>
      <c r="AL277" s="65"/>
    </row>
    <row r="278" spans="1:51" ht="13" customHeight="1">
      <c r="A278" s="2" t="s">
        <v>591</v>
      </c>
      <c r="B278" s="4"/>
      <c r="C278" s="2" t="s">
        <v>171</v>
      </c>
      <c r="D278" s="4"/>
      <c r="E278" s="4"/>
      <c r="F278" s="4"/>
      <c r="G278" s="4"/>
      <c r="H278" s="4"/>
      <c r="I278" s="4"/>
      <c r="J278" s="4"/>
      <c r="K278" s="4"/>
      <c r="L278" s="4"/>
      <c r="M278" s="4"/>
      <c r="N278" s="4"/>
      <c r="O278" s="4"/>
      <c r="P278" s="4"/>
      <c r="Q278" s="4"/>
      <c r="R278" s="4"/>
      <c r="S278" s="4"/>
      <c r="T278" s="4"/>
      <c r="U278" s="4"/>
      <c r="V278" s="4"/>
      <c r="W278" s="4"/>
      <c r="Z278" s="311" t="s">
        <v>952</v>
      </c>
      <c r="AA278" s="48"/>
      <c r="AB278" s="48"/>
      <c r="AC278" s="48"/>
      <c r="AD278" s="48"/>
      <c r="AE278" s="48"/>
      <c r="AF278" s="104"/>
      <c r="AG278" s="104"/>
      <c r="AH278" s="104"/>
      <c r="AI278" s="104"/>
      <c r="AJ278" s="104"/>
      <c r="AK278" s="48"/>
      <c r="AL278" s="49"/>
    </row>
    <row r="279" spans="1:51" ht="13" customHeight="1">
      <c r="A279" s="4"/>
      <c r="B279" s="36">
        <v>0</v>
      </c>
      <c r="D279" s="1530" t="s">
        <v>172</v>
      </c>
      <c r="E279" s="1530"/>
      <c r="F279" s="1530"/>
      <c r="G279" s="1530"/>
      <c r="H279" s="1530"/>
      <c r="J279" t="s">
        <v>278</v>
      </c>
      <c r="X279" s="1549"/>
      <c r="Y279" s="1549"/>
      <c r="Z279" s="1549"/>
      <c r="AA279" s="1549"/>
      <c r="AB279" s="1549"/>
      <c r="AC279" s="1549"/>
      <c r="AU279" s="3"/>
      <c r="AV279" s="3"/>
      <c r="AW279" s="3"/>
      <c r="AX279" s="3"/>
      <c r="AY279" s="3"/>
    </row>
    <row r="280" spans="1:51" ht="13" customHeight="1">
      <c r="A280" s="4"/>
      <c r="B280" s="19"/>
      <c r="D280" s="37" t="s">
        <v>280</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3"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3"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3" customHeight="1">
      <c r="D283" s="4" t="s">
        <v>295</v>
      </c>
      <c r="E283" s="4"/>
      <c r="F283" s="4"/>
      <c r="G283" s="4"/>
      <c r="H283" s="4"/>
      <c r="I283" s="4"/>
      <c r="J283" s="4"/>
      <c r="K283" s="4"/>
      <c r="L283" s="1575" t="s">
        <v>2670</v>
      </c>
      <c r="M283" s="1552"/>
      <c r="N283" s="1552"/>
      <c r="O283" s="1552"/>
      <c r="P283" s="1552"/>
      <c r="Q283" s="1552"/>
      <c r="R283" s="1552"/>
      <c r="S283" s="1552"/>
      <c r="T283" s="1552"/>
      <c r="U283" s="1552"/>
      <c r="V283" s="1552"/>
      <c r="W283" s="1552"/>
      <c r="X283" s="1552"/>
      <c r="Y283" s="1552"/>
      <c r="Z283" s="1552"/>
      <c r="AA283" s="1552"/>
      <c r="AB283" s="1552"/>
      <c r="AC283" s="1552"/>
      <c r="AD283" s="1552"/>
      <c r="AE283" s="1552"/>
      <c r="AF283" s="1552"/>
      <c r="AG283" s="1552"/>
      <c r="AH283" s="1552"/>
      <c r="AI283" s="1552"/>
      <c r="AJ283" s="1552"/>
      <c r="AK283" s="3"/>
      <c r="AL283" s="3"/>
      <c r="AM283" s="3"/>
      <c r="AN283" s="3"/>
      <c r="AO283" s="3"/>
      <c r="AP283" s="3"/>
      <c r="AQ283" s="3"/>
      <c r="AR283" s="3"/>
      <c r="AS283" s="3"/>
      <c r="AT283" s="3"/>
      <c r="AU283" s="3"/>
      <c r="AV283" s="3"/>
      <c r="AW283" s="3"/>
      <c r="AX283" s="3"/>
      <c r="AY283" s="3"/>
    </row>
    <row r="284" spans="1:51" ht="13" customHeight="1">
      <c r="D284" s="4" t="s">
        <v>85</v>
      </c>
      <c r="E284" s="4"/>
      <c r="F284" s="4"/>
      <c r="G284" s="4"/>
      <c r="H284" s="4"/>
      <c r="I284" s="4"/>
      <c r="J284" s="4"/>
      <c r="K284" s="4"/>
      <c r="L284" s="1528" t="s">
        <v>2671</v>
      </c>
      <c r="M284" s="1530"/>
      <c r="N284" s="1530"/>
      <c r="O284" s="1530"/>
      <c r="P284" s="1530"/>
      <c r="Q284" s="1530"/>
      <c r="R284" s="1530"/>
      <c r="S284" s="1530"/>
      <c r="T284" s="1530"/>
      <c r="U284" s="1530"/>
      <c r="V284" s="1530"/>
      <c r="W284" s="1530"/>
      <c r="X284" s="1530"/>
      <c r="Y284" s="1530"/>
      <c r="Z284" s="1530"/>
      <c r="AA284" s="1530"/>
      <c r="AB284" s="1530"/>
      <c r="AC284" s="1530"/>
      <c r="AD284" s="1530"/>
      <c r="AK284" s="3"/>
      <c r="AL284" s="3"/>
      <c r="AM284" s="3"/>
      <c r="AN284" s="3"/>
      <c r="AO284" s="3"/>
      <c r="AP284" s="3"/>
      <c r="AQ284" s="3"/>
      <c r="AR284" s="3"/>
      <c r="AS284" s="3"/>
      <c r="AT284" s="3"/>
      <c r="AU284" s="3"/>
      <c r="AV284" s="3"/>
      <c r="AW284" s="3"/>
      <c r="AX284" s="3"/>
      <c r="AY284" s="3"/>
    </row>
    <row r="285" spans="1:51" ht="13" customHeight="1">
      <c r="D285" s="4" t="s">
        <v>579</v>
      </c>
      <c r="E285" s="4"/>
      <c r="L285" s="1528" t="s">
        <v>68</v>
      </c>
      <c r="M285" s="1530"/>
      <c r="N285" s="1530"/>
      <c r="O285" s="1530"/>
      <c r="P285" s="1530"/>
      <c r="Q285" s="1530"/>
      <c r="R285" s="1530"/>
      <c r="S285" s="1530"/>
      <c r="U285" s="33" t="s">
        <v>86</v>
      </c>
      <c r="V285" s="1542" t="s">
        <v>2666</v>
      </c>
      <c r="W285" s="1470"/>
      <c r="X285" s="4" t="s">
        <v>582</v>
      </c>
      <c r="AB285" s="1530">
        <v>95811</v>
      </c>
      <c r="AC285" s="1530"/>
      <c r="AD285" s="1530"/>
      <c r="AK285" s="3"/>
      <c r="AL285" s="3"/>
      <c r="AM285" s="3"/>
      <c r="AN285" s="3"/>
      <c r="AO285" s="3"/>
      <c r="AP285" s="3"/>
      <c r="AQ285" s="3"/>
      <c r="AR285" s="3"/>
      <c r="AS285" s="3"/>
      <c r="AT285" s="3"/>
      <c r="AU285" s="3"/>
      <c r="AV285" s="3"/>
      <c r="AW285" s="3"/>
      <c r="AX285" s="3"/>
      <c r="AY285" s="3"/>
    </row>
    <row r="286" spans="1:51" ht="13" customHeight="1">
      <c r="D286" s="4" t="s">
        <v>87</v>
      </c>
      <c r="E286" s="4"/>
      <c r="F286" s="4"/>
      <c r="G286" s="4"/>
      <c r="H286" s="4"/>
      <c r="I286" s="4"/>
      <c r="J286" s="4"/>
      <c r="K286" s="19"/>
      <c r="L286" s="1528" t="s">
        <v>2672</v>
      </c>
      <c r="M286" s="1530"/>
      <c r="N286" s="1530"/>
      <c r="O286" s="1530"/>
      <c r="P286" s="1530"/>
      <c r="Q286" s="1530"/>
      <c r="R286" s="1530"/>
      <c r="S286" s="1530"/>
      <c r="T286" s="1530"/>
      <c r="U286" s="1530"/>
      <c r="V286" s="1530"/>
      <c r="W286" s="1530"/>
      <c r="X286" s="1530"/>
      <c r="Y286" s="1530"/>
      <c r="Z286" s="1530"/>
      <c r="AA286" s="1530"/>
      <c r="AB286" s="1530"/>
      <c r="AC286" s="1530"/>
      <c r="AD286" s="1530"/>
      <c r="AI286" s="4"/>
      <c r="AJ286" s="4"/>
      <c r="AK286" s="3"/>
      <c r="AL286" s="3"/>
      <c r="AM286" s="3"/>
      <c r="AN286" s="3"/>
      <c r="AO286" s="3"/>
      <c r="AP286" s="3"/>
      <c r="AQ286" s="3"/>
      <c r="AR286" s="3"/>
      <c r="AS286" s="3"/>
      <c r="AT286" s="3"/>
    </row>
    <row r="287" spans="1:51" ht="13" customHeight="1">
      <c r="D287" s="4" t="s">
        <v>88</v>
      </c>
      <c r="E287" s="4"/>
      <c r="F287" s="4"/>
      <c r="L287" s="1532" t="s">
        <v>2673</v>
      </c>
      <c r="M287" s="1478"/>
      <c r="N287" s="1478"/>
      <c r="O287" s="1478"/>
      <c r="P287" s="1478"/>
      <c r="Q287" s="1478"/>
      <c r="R287" s="4" t="s">
        <v>205</v>
      </c>
      <c r="S287" s="4"/>
      <c r="T287" s="1470"/>
      <c r="U287" s="1470"/>
      <c r="V287" s="1470"/>
      <c r="W287" s="4" t="s">
        <v>89</v>
      </c>
      <c r="Y287" s="1478"/>
      <c r="Z287" s="1478"/>
      <c r="AA287" s="1478"/>
      <c r="AB287" s="1478"/>
      <c r="AC287" s="1478"/>
      <c r="AD287" s="1478"/>
    </row>
    <row r="288" spans="1:51" ht="13" customHeight="1">
      <c r="D288" s="4" t="s">
        <v>90</v>
      </c>
      <c r="E288" s="4"/>
      <c r="F288" s="4"/>
      <c r="L288" s="1550" t="s">
        <v>2674</v>
      </c>
      <c r="M288" s="1550"/>
      <c r="N288" s="1550"/>
      <c r="O288" s="1550"/>
      <c r="P288" s="1550"/>
      <c r="Q288" s="1550"/>
      <c r="R288" s="1550"/>
      <c r="S288" s="1550"/>
      <c r="T288" s="1550"/>
      <c r="U288" s="1550"/>
      <c r="V288" s="1550"/>
      <c r="W288" s="1550"/>
      <c r="X288" s="1550"/>
      <c r="Y288" s="1550"/>
      <c r="Z288" s="1550"/>
      <c r="AA288" s="1550"/>
      <c r="AB288" s="1550"/>
      <c r="AC288" s="1550"/>
      <c r="AD288" s="1550"/>
      <c r="AF288" s="4"/>
      <c r="AG288" s="4"/>
      <c r="AH288" s="4"/>
      <c r="AI288" s="4"/>
      <c r="AJ288" s="4"/>
      <c r="AU288" s="3"/>
      <c r="AV288" s="3"/>
      <c r="AW288" s="3"/>
      <c r="AX288" s="3"/>
      <c r="AY288" s="3"/>
    </row>
    <row r="289" spans="1:51" ht="13" customHeight="1">
      <c r="D289" s="3" t="s">
        <v>622</v>
      </c>
      <c r="E289" s="3"/>
      <c r="F289" s="3"/>
      <c r="G289" s="3"/>
      <c r="H289" s="3"/>
      <c r="I289" s="3"/>
      <c r="L289" s="1542" t="s">
        <v>2675</v>
      </c>
      <c r="M289" s="1542"/>
      <c r="N289" s="1542"/>
      <c r="O289" s="1542"/>
      <c r="P289" s="1542"/>
      <c r="Q289" s="1542"/>
      <c r="R289" s="1542"/>
      <c r="S289" s="1542"/>
      <c r="T289" s="1542"/>
      <c r="U289" s="1542"/>
      <c r="V289" s="1542"/>
      <c r="W289" s="1542"/>
      <c r="X289" s="1542"/>
      <c r="Y289" s="1542"/>
      <c r="Z289" s="1542"/>
      <c r="AA289" s="1542"/>
      <c r="AB289" s="1542"/>
      <c r="AC289" s="1542"/>
      <c r="AD289" s="1542"/>
      <c r="AK289" s="3"/>
      <c r="AL289" s="3"/>
      <c r="AM289" s="3"/>
      <c r="AN289" s="3"/>
      <c r="AO289" s="3"/>
      <c r="AP289" s="3"/>
      <c r="AQ289" s="3"/>
      <c r="AR289" s="3"/>
      <c r="AS289" s="3"/>
      <c r="AT289" s="3"/>
    </row>
    <row r="290" spans="1:51" ht="13" customHeight="1">
      <c r="L290" s="22" t="s">
        <v>623</v>
      </c>
      <c r="AU290" s="95"/>
      <c r="AV290" s="95"/>
      <c r="AW290" s="95"/>
      <c r="AX290" s="95"/>
      <c r="AY290" s="95"/>
    </row>
    <row r="291" spans="1:51" ht="13" customHeight="1">
      <c r="A291" s="1544" t="s">
        <v>540</v>
      </c>
      <c r="B291" s="1544"/>
      <c r="C291" s="1544"/>
      <c r="D291" s="1544"/>
      <c r="E291" s="1544"/>
      <c r="F291" s="1544"/>
      <c r="G291" s="1544"/>
      <c r="H291" s="1544"/>
      <c r="I291" s="1544"/>
      <c r="J291" s="1544"/>
      <c r="K291" s="1544"/>
      <c r="L291" s="1544"/>
      <c r="M291" s="1544"/>
      <c r="N291" s="1544"/>
      <c r="O291" s="1544"/>
      <c r="P291" s="1544"/>
      <c r="Q291" s="1544"/>
      <c r="R291" s="1544"/>
      <c r="S291" s="1544"/>
      <c r="T291" s="1544"/>
      <c r="U291" s="1544"/>
      <c r="V291" s="1544"/>
      <c r="W291" s="1544"/>
      <c r="X291" s="1544"/>
      <c r="Y291" s="1544"/>
      <c r="Z291" s="1544"/>
      <c r="AA291" s="1544"/>
      <c r="AB291" s="1544"/>
      <c r="AC291" s="1544"/>
      <c r="AD291" s="1544"/>
      <c r="AE291" s="1544"/>
      <c r="AF291" s="1544"/>
      <c r="AG291" s="1544"/>
      <c r="AH291" s="1544"/>
      <c r="AI291" s="1544"/>
      <c r="AJ291" s="1544"/>
      <c r="AK291" s="1544"/>
      <c r="AL291" s="1544"/>
      <c r="AM291" s="1544"/>
      <c r="AN291" s="1544"/>
      <c r="AO291" s="1544"/>
      <c r="AP291" s="1544"/>
      <c r="AQ291" s="1544"/>
      <c r="AR291" s="1544"/>
      <c r="AS291" s="1544"/>
      <c r="AT291" s="1544"/>
      <c r="AU291" s="95"/>
      <c r="AV291" s="95"/>
      <c r="AW291" s="95"/>
      <c r="AX291" s="95"/>
      <c r="AY291" s="95"/>
    </row>
    <row r="292" spans="1:51" ht="13" customHeight="1">
      <c r="A292" s="1544"/>
      <c r="B292" s="1544"/>
      <c r="C292" s="1544"/>
      <c r="D292" s="1544"/>
      <c r="E292" s="1544"/>
      <c r="F292" s="1544"/>
      <c r="G292" s="1544"/>
      <c r="H292" s="1544"/>
      <c r="I292" s="1544"/>
      <c r="J292" s="1544"/>
      <c r="K292" s="1544"/>
      <c r="L292" s="1544"/>
      <c r="M292" s="1544"/>
      <c r="N292" s="1544"/>
      <c r="O292" s="1544"/>
      <c r="P292" s="1544"/>
      <c r="Q292" s="1544"/>
      <c r="R292" s="1544"/>
      <c r="S292" s="1544"/>
      <c r="T292" s="1544"/>
      <c r="U292" s="1544"/>
      <c r="V292" s="1544"/>
      <c r="W292" s="1544"/>
      <c r="X292" s="1544"/>
      <c r="Y292" s="1544"/>
      <c r="Z292" s="1544"/>
      <c r="AA292" s="1544"/>
      <c r="AB292" s="1544"/>
      <c r="AC292" s="1544"/>
      <c r="AD292" s="1544"/>
      <c r="AE292" s="1544"/>
      <c r="AF292" s="1544"/>
      <c r="AG292" s="1544"/>
      <c r="AH292" s="1544"/>
      <c r="AI292" s="1544"/>
      <c r="AJ292" s="1544"/>
      <c r="AK292" s="1544"/>
      <c r="AL292" s="1544"/>
      <c r="AM292" s="1544"/>
      <c r="AN292" s="1544"/>
      <c r="AO292" s="1544"/>
      <c r="AP292" s="1544"/>
      <c r="AQ292" s="1544"/>
      <c r="AR292" s="1544"/>
      <c r="AS292" s="1544"/>
      <c r="AT292" s="1544"/>
      <c r="AU292" s="25"/>
      <c r="AV292" s="25"/>
      <c r="AW292" s="25"/>
      <c r="AX292" s="25"/>
      <c r="AY292" s="25"/>
    </row>
    <row r="293" spans="1:51" ht="13"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3" customHeight="1">
      <c r="A294" s="2" t="s">
        <v>318</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 customHeight="1">
      <c r="B296" s="3" t="s">
        <v>625</v>
      </c>
      <c r="C296" s="3"/>
      <c r="D296" s="3"/>
      <c r="E296" s="3"/>
      <c r="F296" s="3"/>
      <c r="H296" s="1401" t="s">
        <v>2644</v>
      </c>
      <c r="I296" s="1401"/>
      <c r="J296" s="1401"/>
      <c r="K296" s="1401"/>
      <c r="L296" s="1401"/>
      <c r="M296" s="1401"/>
      <c r="N296" s="1401"/>
      <c r="O296" s="1401"/>
      <c r="P296" s="1401"/>
      <c r="Q296" s="1401"/>
      <c r="R296" s="1401"/>
      <c r="T296" s="3" t="s">
        <v>566</v>
      </c>
      <c r="V296" s="3"/>
      <c r="W296" s="3"/>
      <c r="X296" s="3"/>
      <c r="Y296" s="3"/>
      <c r="AA296" s="1401" t="s">
        <v>2678</v>
      </c>
      <c r="AB296" s="1401"/>
      <c r="AC296" s="1401"/>
      <c r="AD296" s="1401"/>
      <c r="AE296" s="1401"/>
      <c r="AF296" s="1401"/>
      <c r="AG296" s="1401"/>
      <c r="AH296" s="1401"/>
      <c r="AI296" s="1401"/>
      <c r="AJ296" s="1401"/>
      <c r="AK296" s="1401"/>
    </row>
    <row r="297" spans="1:51" ht="13" customHeight="1">
      <c r="B297" s="3" t="s">
        <v>470</v>
      </c>
      <c r="C297" s="3"/>
      <c r="D297" s="3"/>
      <c r="E297" s="3"/>
      <c r="F297" s="3"/>
      <c r="H297" s="251" t="s">
        <v>2676</v>
      </c>
      <c r="I297" s="251"/>
      <c r="J297" s="251"/>
      <c r="K297" s="251"/>
      <c r="L297" s="251"/>
      <c r="M297" s="251"/>
      <c r="N297" s="251"/>
      <c r="O297" s="251"/>
      <c r="P297" s="251"/>
      <c r="Q297" s="251"/>
      <c r="R297" s="251"/>
      <c r="T297" s="3" t="s">
        <v>470</v>
      </c>
      <c r="V297" s="3"/>
      <c r="W297" s="3"/>
      <c r="X297" s="3"/>
      <c r="Y297" s="3"/>
      <c r="AA297" s="1428" t="s">
        <v>2679</v>
      </c>
      <c r="AB297" s="1428"/>
      <c r="AC297" s="1428"/>
      <c r="AD297" s="1428"/>
      <c r="AE297" s="1428"/>
      <c r="AF297" s="1428"/>
      <c r="AG297" s="1428"/>
      <c r="AH297" s="1428"/>
      <c r="AI297" s="1428"/>
      <c r="AJ297" s="1428"/>
      <c r="AK297" s="1428"/>
    </row>
    <row r="298" spans="1:51" ht="13" customHeight="1">
      <c r="B298" s="3" t="s">
        <v>471</v>
      </c>
      <c r="C298" s="3"/>
      <c r="D298" s="3"/>
      <c r="E298" s="3"/>
      <c r="F298" s="3"/>
      <c r="H298" s="251" t="s">
        <v>2677</v>
      </c>
      <c r="I298" s="251"/>
      <c r="J298" s="251"/>
      <c r="K298" s="251"/>
      <c r="L298" s="251"/>
      <c r="M298" s="251"/>
      <c r="N298" s="251"/>
      <c r="O298" s="251"/>
      <c r="P298" s="251"/>
      <c r="Q298" s="251"/>
      <c r="R298" s="251"/>
      <c r="T298" s="3" t="s">
        <v>75</v>
      </c>
      <c r="V298" s="3"/>
      <c r="W298" s="3"/>
      <c r="X298" s="3"/>
      <c r="Y298" s="3"/>
      <c r="AA298" s="1428" t="s">
        <v>2680</v>
      </c>
      <c r="AB298" s="1428"/>
      <c r="AC298" s="1428"/>
      <c r="AD298" s="1428"/>
      <c r="AE298" s="1428"/>
      <c r="AF298" s="1428"/>
      <c r="AG298" s="1428"/>
      <c r="AH298" s="1428"/>
      <c r="AI298" s="1428"/>
      <c r="AJ298" s="1428"/>
      <c r="AK298" s="1428"/>
    </row>
    <row r="299" spans="1:51" ht="13" customHeight="1">
      <c r="B299" s="3" t="s">
        <v>87</v>
      </c>
      <c r="C299" s="3"/>
      <c r="D299" s="3"/>
      <c r="E299" s="3"/>
      <c r="F299" s="3"/>
      <c r="H299" s="251" t="s">
        <v>2658</v>
      </c>
      <c r="I299" s="251"/>
      <c r="J299" s="251"/>
      <c r="K299" s="251"/>
      <c r="L299" s="251"/>
      <c r="M299" s="251"/>
      <c r="N299" s="251"/>
      <c r="O299" s="251"/>
      <c r="P299" s="251"/>
      <c r="Q299" s="251"/>
      <c r="R299" s="251"/>
      <c r="T299" s="3" t="s">
        <v>87</v>
      </c>
      <c r="V299" s="3"/>
      <c r="W299" s="3"/>
      <c r="X299" s="3"/>
      <c r="Y299" s="3"/>
      <c r="AA299" s="1428" t="s">
        <v>2681</v>
      </c>
      <c r="AB299" s="1428"/>
      <c r="AC299" s="1428"/>
      <c r="AD299" s="1428"/>
      <c r="AE299" s="1428"/>
      <c r="AF299" s="1428"/>
      <c r="AG299" s="1428"/>
      <c r="AH299" s="1428"/>
      <c r="AI299" s="1428"/>
      <c r="AJ299" s="1428"/>
      <c r="AK299" s="1428"/>
    </row>
    <row r="300" spans="1:51" ht="13" customHeight="1">
      <c r="B300" s="3" t="s">
        <v>88</v>
      </c>
      <c r="C300" s="3"/>
      <c r="D300" s="3"/>
      <c r="E300" s="3"/>
      <c r="F300" s="3"/>
      <c r="G300" s="3"/>
      <c r="H300" s="1576" t="s">
        <v>2659</v>
      </c>
      <c r="I300" s="1553"/>
      <c r="J300" s="1553"/>
      <c r="K300" s="1553"/>
      <c r="L300" s="1553"/>
      <c r="M300" s="1553"/>
      <c r="N300" s="4" t="s">
        <v>205</v>
      </c>
      <c r="O300" s="4"/>
      <c r="P300" s="1530"/>
      <c r="Q300" s="1530"/>
      <c r="R300" s="1530"/>
      <c r="S300" s="3"/>
      <c r="T300" s="3" t="s">
        <v>88</v>
      </c>
      <c r="V300" s="3"/>
      <c r="W300" s="3"/>
      <c r="X300" s="3"/>
      <c r="Y300" s="3"/>
      <c r="AA300" s="1576" t="s">
        <v>2682</v>
      </c>
      <c r="AB300" s="1553"/>
      <c r="AC300" s="1553"/>
      <c r="AD300" s="1553"/>
      <c r="AE300" s="1553"/>
      <c r="AF300" s="1553"/>
      <c r="AG300" s="4" t="s">
        <v>205</v>
      </c>
      <c r="AH300" s="4"/>
      <c r="AI300" s="1530"/>
      <c r="AJ300" s="1530"/>
      <c r="AK300" s="1530"/>
    </row>
    <row r="301" spans="1:51" ht="13" customHeight="1">
      <c r="B301" s="3" t="s">
        <v>89</v>
      </c>
      <c r="C301" s="3"/>
      <c r="D301" s="3"/>
      <c r="E301" s="3"/>
      <c r="F301" s="3"/>
      <c r="G301" s="3"/>
      <c r="H301" s="1478"/>
      <c r="I301" s="1478"/>
      <c r="J301" s="1478"/>
      <c r="K301" s="1478"/>
      <c r="L301" s="1478"/>
      <c r="M301" s="1478"/>
      <c r="N301" s="4"/>
      <c r="O301" s="4"/>
      <c r="P301" s="35"/>
      <c r="Q301" s="35"/>
      <c r="R301" s="35"/>
      <c r="S301" s="3"/>
      <c r="T301" s="3" t="s">
        <v>89</v>
      </c>
      <c r="V301" s="3"/>
      <c r="W301" s="3"/>
      <c r="X301" s="3"/>
      <c r="Y301" s="3"/>
      <c r="AA301" s="1478"/>
      <c r="AB301" s="1478"/>
      <c r="AC301" s="1478"/>
      <c r="AD301" s="1478"/>
      <c r="AE301" s="1478"/>
      <c r="AF301" s="1478"/>
      <c r="AG301" s="4"/>
      <c r="AH301" s="4"/>
      <c r="AI301" s="35"/>
      <c r="AJ301" s="35"/>
      <c r="AK301" s="35"/>
    </row>
    <row r="302" spans="1:51" ht="13" customHeight="1">
      <c r="B302" s="3" t="s">
        <v>76</v>
      </c>
      <c r="C302" s="3"/>
      <c r="D302" s="3"/>
      <c r="E302" s="3"/>
      <c r="F302" s="3"/>
      <c r="G302" s="3"/>
      <c r="H302" s="1428" t="s">
        <v>2660</v>
      </c>
      <c r="I302" s="1428"/>
      <c r="J302" s="1428"/>
      <c r="K302" s="1428"/>
      <c r="L302" s="1428"/>
      <c r="M302" s="1428"/>
      <c r="N302" s="1401"/>
      <c r="O302" s="1401"/>
      <c r="P302" s="1401"/>
      <c r="Q302" s="1401"/>
      <c r="R302" s="1401"/>
      <c r="S302" s="3"/>
      <c r="T302" s="3" t="s">
        <v>76</v>
      </c>
      <c r="V302" s="3"/>
      <c r="W302" s="3"/>
      <c r="X302" s="3"/>
      <c r="Y302" s="3"/>
      <c r="AA302" s="1428" t="s">
        <v>2683</v>
      </c>
      <c r="AB302" s="1428"/>
      <c r="AC302" s="1428"/>
      <c r="AD302" s="1428"/>
      <c r="AE302" s="1428"/>
      <c r="AF302" s="1428"/>
      <c r="AG302" s="1401"/>
      <c r="AH302" s="1401"/>
      <c r="AI302" s="1401"/>
      <c r="AJ302" s="1401"/>
      <c r="AK302" s="1401"/>
    </row>
    <row r="303" spans="1:51" ht="13"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 customHeight="1">
      <c r="B304" s="3" t="s">
        <v>322</v>
      </c>
      <c r="C304" s="3"/>
      <c r="D304" s="3"/>
      <c r="E304" s="3"/>
      <c r="F304" s="3"/>
      <c r="H304" s="1401" t="s">
        <v>2670</v>
      </c>
      <c r="I304" s="1401"/>
      <c r="J304" s="1401"/>
      <c r="K304" s="1401"/>
      <c r="L304" s="1401"/>
      <c r="M304" s="1401"/>
      <c r="N304" s="1401"/>
      <c r="O304" s="1401"/>
      <c r="P304" s="1401"/>
      <c r="Q304" s="1401"/>
      <c r="R304" s="1401"/>
      <c r="T304" s="3" t="s">
        <v>363</v>
      </c>
      <c r="V304" s="3"/>
      <c r="W304" s="3"/>
      <c r="X304" s="3"/>
      <c r="Y304" s="3"/>
      <c r="AA304" s="1401" t="s">
        <v>2780</v>
      </c>
      <c r="AB304" s="1401"/>
      <c r="AC304" s="1401"/>
      <c r="AD304" s="1401"/>
      <c r="AE304" s="1401"/>
      <c r="AF304" s="1401"/>
      <c r="AG304" s="1401"/>
      <c r="AH304" s="1401"/>
      <c r="AI304" s="1401"/>
      <c r="AJ304" s="1401"/>
      <c r="AK304" s="1401"/>
    </row>
    <row r="305" spans="2:72" ht="13" customHeight="1">
      <c r="B305" s="3" t="s">
        <v>470</v>
      </c>
      <c r="C305" s="3"/>
      <c r="D305" s="3"/>
      <c r="E305" s="3"/>
      <c r="F305" s="3"/>
      <c r="H305" s="1428" t="s">
        <v>2671</v>
      </c>
      <c r="I305" s="1428"/>
      <c r="J305" s="1428"/>
      <c r="K305" s="1428"/>
      <c r="L305" s="1428"/>
      <c r="M305" s="1428"/>
      <c r="N305" s="1428"/>
      <c r="O305" s="1428"/>
      <c r="P305" s="1428"/>
      <c r="Q305" s="1428"/>
      <c r="R305" s="1428"/>
      <c r="T305" s="3" t="s">
        <v>470</v>
      </c>
      <c r="V305" s="3"/>
      <c r="W305" s="3"/>
      <c r="X305" s="3"/>
      <c r="Y305" s="3"/>
      <c r="AA305" s="1428" t="s">
        <v>2781</v>
      </c>
      <c r="AB305" s="1428"/>
      <c r="AC305" s="1428"/>
      <c r="AD305" s="1428"/>
      <c r="AE305" s="1428"/>
      <c r="AF305" s="1428"/>
      <c r="AG305" s="1428"/>
      <c r="AH305" s="1428"/>
      <c r="AI305" s="1428"/>
      <c r="AJ305" s="1428"/>
      <c r="AK305" s="1428"/>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3" customHeight="1">
      <c r="B306" s="3" t="s">
        <v>471</v>
      </c>
      <c r="C306" s="3"/>
      <c r="D306" s="3"/>
      <c r="E306" s="3"/>
      <c r="F306" s="3"/>
      <c r="H306" s="1428" t="s">
        <v>2684</v>
      </c>
      <c r="I306" s="1428"/>
      <c r="J306" s="1428"/>
      <c r="K306" s="1428"/>
      <c r="L306" s="1428"/>
      <c r="M306" s="1428"/>
      <c r="N306" s="1428"/>
      <c r="O306" s="1428"/>
      <c r="P306" s="1428"/>
      <c r="Q306" s="1428"/>
      <c r="R306" s="1428"/>
      <c r="T306" s="3" t="s">
        <v>75</v>
      </c>
      <c r="V306" s="3"/>
      <c r="W306" s="3"/>
      <c r="X306" s="3"/>
      <c r="Y306" s="3"/>
      <c r="AA306" s="1428" t="s">
        <v>2782</v>
      </c>
      <c r="AB306" s="1428"/>
      <c r="AC306" s="1428"/>
      <c r="AD306" s="1428"/>
      <c r="AE306" s="1428"/>
      <c r="AF306" s="1428"/>
      <c r="AG306" s="1428"/>
      <c r="AH306" s="1428"/>
      <c r="AI306" s="1428"/>
      <c r="AJ306" s="1428"/>
      <c r="AK306" s="1428"/>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3" customHeight="1">
      <c r="B307" s="3" t="s">
        <v>87</v>
      </c>
      <c r="C307" s="3"/>
      <c r="D307" s="3"/>
      <c r="E307" s="3"/>
      <c r="F307" s="3"/>
      <c r="H307" s="1428" t="s">
        <v>2685</v>
      </c>
      <c r="I307" s="1428"/>
      <c r="J307" s="1428"/>
      <c r="K307" s="1428"/>
      <c r="L307" s="1428"/>
      <c r="M307" s="1428"/>
      <c r="N307" s="1428"/>
      <c r="O307" s="1428"/>
      <c r="P307" s="1428"/>
      <c r="Q307" s="1428"/>
      <c r="R307" s="1428"/>
      <c r="T307" s="3" t="s">
        <v>87</v>
      </c>
      <c r="V307" s="3"/>
      <c r="W307" s="3"/>
      <c r="X307" s="3"/>
      <c r="Y307" s="3"/>
      <c r="AA307" s="1428" t="s">
        <v>2783</v>
      </c>
      <c r="AB307" s="1428"/>
      <c r="AC307" s="1428"/>
      <c r="AD307" s="1428"/>
      <c r="AE307" s="1428"/>
      <c r="AF307" s="1428"/>
      <c r="AG307" s="1428"/>
      <c r="AH307" s="1428"/>
      <c r="AI307" s="1428"/>
      <c r="AJ307" s="1428"/>
      <c r="AK307" s="1428"/>
    </row>
    <row r="308" spans="2:72" ht="13" customHeight="1">
      <c r="B308" s="3" t="s">
        <v>88</v>
      </c>
      <c r="C308" s="3"/>
      <c r="D308" s="3"/>
      <c r="E308" s="3"/>
      <c r="F308" s="3"/>
      <c r="G308" s="3"/>
      <c r="H308" s="1576" t="s">
        <v>2673</v>
      </c>
      <c r="I308" s="1553"/>
      <c r="J308" s="1553"/>
      <c r="K308" s="1553"/>
      <c r="L308" s="1553"/>
      <c r="M308" s="1553"/>
      <c r="N308" s="4" t="s">
        <v>205</v>
      </c>
      <c r="O308" s="4"/>
      <c r="P308" s="1530"/>
      <c r="Q308" s="1530"/>
      <c r="R308" s="1530"/>
      <c r="S308" s="3"/>
      <c r="T308" s="3" t="s">
        <v>88</v>
      </c>
      <c r="V308" s="3"/>
      <c r="W308" s="3"/>
      <c r="X308" s="3"/>
      <c r="Y308" s="3"/>
      <c r="AA308" s="1553">
        <v>2084610022</v>
      </c>
      <c r="AB308" s="1553"/>
      <c r="AC308" s="1553"/>
      <c r="AD308" s="1553"/>
      <c r="AE308" s="1553"/>
      <c r="AF308" s="1553"/>
      <c r="AG308" s="4" t="s">
        <v>205</v>
      </c>
      <c r="AH308" s="4"/>
      <c r="AI308" s="1530"/>
      <c r="AJ308" s="1530"/>
      <c r="AK308" s="1530"/>
    </row>
    <row r="309" spans="2:72" ht="13" customHeight="1">
      <c r="B309" s="3" t="s">
        <v>89</v>
      </c>
      <c r="C309" s="3"/>
      <c r="D309" s="3"/>
      <c r="E309" s="3"/>
      <c r="F309" s="3"/>
      <c r="G309" s="3"/>
      <c r="H309" s="1478"/>
      <c r="I309" s="1478"/>
      <c r="J309" s="1478"/>
      <c r="K309" s="1478"/>
      <c r="L309" s="1478"/>
      <c r="M309" s="1478"/>
      <c r="N309" s="4"/>
      <c r="O309" s="4"/>
      <c r="P309" s="35"/>
      <c r="Q309" s="35"/>
      <c r="R309" s="35"/>
      <c r="S309" s="3"/>
      <c r="T309" s="3" t="s">
        <v>89</v>
      </c>
      <c r="V309" s="3"/>
      <c r="W309" s="3"/>
      <c r="X309" s="3"/>
      <c r="Y309" s="3"/>
      <c r="AA309" s="1478"/>
      <c r="AB309" s="1478"/>
      <c r="AC309" s="1478"/>
      <c r="AD309" s="1478"/>
      <c r="AE309" s="1478"/>
      <c r="AF309" s="1478"/>
      <c r="AG309" s="4"/>
      <c r="AH309" s="4"/>
      <c r="AI309" s="35"/>
      <c r="AJ309" s="35"/>
      <c r="AK309" s="35"/>
    </row>
    <row r="310" spans="2:72" ht="13" customHeight="1">
      <c r="B310" s="3" t="s">
        <v>76</v>
      </c>
      <c r="C310" s="3"/>
      <c r="D310" s="3"/>
      <c r="E310" s="3"/>
      <c r="F310" s="3"/>
      <c r="G310" s="3"/>
      <c r="H310" s="1428" t="s">
        <v>2674</v>
      </c>
      <c r="I310" s="1428"/>
      <c r="J310" s="1428"/>
      <c r="K310" s="1428"/>
      <c r="L310" s="1428"/>
      <c r="M310" s="1428"/>
      <c r="N310" s="1401"/>
      <c r="O310" s="1401"/>
      <c r="P310" s="1401"/>
      <c r="Q310" s="1401"/>
      <c r="R310" s="1401"/>
      <c r="S310" s="3"/>
      <c r="T310" s="3" t="s">
        <v>76</v>
      </c>
      <c r="V310" s="3"/>
      <c r="W310" s="3"/>
      <c r="X310" s="3"/>
      <c r="Y310" s="3"/>
      <c r="AA310" s="1428" t="s">
        <v>2784</v>
      </c>
      <c r="AB310" s="1428"/>
      <c r="AC310" s="1428"/>
      <c r="AD310" s="1428"/>
      <c r="AE310" s="1428"/>
      <c r="AF310" s="1428"/>
      <c r="AG310" s="1401"/>
      <c r="AH310" s="1401"/>
      <c r="AI310" s="1401"/>
      <c r="AJ310" s="1401"/>
      <c r="AK310" s="1401"/>
    </row>
    <row r="311" spans="2:72" ht="13" customHeight="1"/>
    <row r="312" spans="2:72" ht="13" customHeight="1">
      <c r="B312" s="3" t="s">
        <v>77</v>
      </c>
      <c r="C312" s="3"/>
      <c r="D312" s="3"/>
      <c r="E312" s="3"/>
      <c r="F312" s="3"/>
      <c r="H312" s="1401" t="s">
        <v>2670</v>
      </c>
      <c r="I312" s="1401"/>
      <c r="J312" s="1401"/>
      <c r="K312" s="1401"/>
      <c r="L312" s="1401"/>
      <c r="M312" s="1401"/>
      <c r="N312" s="1401"/>
      <c r="O312" s="1401"/>
      <c r="P312" s="1401"/>
      <c r="Q312" s="1401"/>
      <c r="R312" s="1401"/>
      <c r="T312" s="4" t="s">
        <v>877</v>
      </c>
      <c r="V312" s="3"/>
      <c r="W312" s="3"/>
      <c r="X312" s="3"/>
      <c r="Y312" s="3"/>
      <c r="AA312" s="1401" t="s">
        <v>2686</v>
      </c>
      <c r="AB312" s="1401"/>
      <c r="AC312" s="1401"/>
      <c r="AD312" s="1401"/>
      <c r="AE312" s="1401"/>
      <c r="AF312" s="1401"/>
      <c r="AG312" s="1401"/>
      <c r="AH312" s="1401"/>
      <c r="AI312" s="1401"/>
      <c r="AJ312" s="1401"/>
      <c r="AK312" s="1401"/>
    </row>
    <row r="313" spans="2:72" ht="13" customHeight="1">
      <c r="B313" s="3" t="s">
        <v>470</v>
      </c>
      <c r="C313" s="3"/>
      <c r="D313" s="3"/>
      <c r="E313" s="3"/>
      <c r="F313" s="3"/>
      <c r="H313" s="1428" t="s">
        <v>2671</v>
      </c>
      <c r="I313" s="1428"/>
      <c r="J313" s="1428"/>
      <c r="K313" s="1428"/>
      <c r="L313" s="1428"/>
      <c r="M313" s="1428"/>
      <c r="N313" s="1428"/>
      <c r="O313" s="1428"/>
      <c r="P313" s="1428"/>
      <c r="Q313" s="1428"/>
      <c r="R313" s="1428"/>
      <c r="T313" s="3" t="s">
        <v>470</v>
      </c>
      <c r="V313" s="3"/>
      <c r="W313" s="3"/>
      <c r="X313" s="3"/>
      <c r="Y313" s="3"/>
      <c r="AA313" s="1428" t="s">
        <v>2687</v>
      </c>
      <c r="AB313" s="1428"/>
      <c r="AC313" s="1428"/>
      <c r="AD313" s="1428"/>
      <c r="AE313" s="1428"/>
      <c r="AF313" s="1428"/>
      <c r="AG313" s="1428"/>
      <c r="AH313" s="1428"/>
      <c r="AI313" s="1428"/>
      <c r="AJ313" s="1428"/>
      <c r="AK313" s="1428"/>
    </row>
    <row r="314" spans="2:72" ht="13" customHeight="1">
      <c r="B314" s="3" t="s">
        <v>471</v>
      </c>
      <c r="C314" s="3"/>
      <c r="D314" s="3"/>
      <c r="E314" s="3"/>
      <c r="F314" s="3"/>
      <c r="H314" s="1428" t="s">
        <v>2684</v>
      </c>
      <c r="I314" s="1428"/>
      <c r="J314" s="1428"/>
      <c r="K314" s="1428"/>
      <c r="L314" s="1428"/>
      <c r="M314" s="1428"/>
      <c r="N314" s="1428"/>
      <c r="O314" s="1428"/>
      <c r="P314" s="1428"/>
      <c r="Q314" s="1428"/>
      <c r="R314" s="1428"/>
      <c r="T314" s="3" t="s">
        <v>75</v>
      </c>
      <c r="V314" s="3"/>
      <c r="W314" s="3"/>
      <c r="X314" s="3"/>
      <c r="Y314" s="3"/>
      <c r="AA314" s="1428" t="s">
        <v>2688</v>
      </c>
      <c r="AB314" s="1428"/>
      <c r="AC314" s="1428"/>
      <c r="AD314" s="1428"/>
      <c r="AE314" s="1428"/>
      <c r="AF314" s="1428"/>
      <c r="AG314" s="1428"/>
      <c r="AH314" s="1428"/>
      <c r="AI314" s="1428"/>
      <c r="AJ314" s="1428"/>
      <c r="AK314" s="1428"/>
    </row>
    <row r="315" spans="2:72" ht="13" customHeight="1">
      <c r="B315" s="3" t="s">
        <v>87</v>
      </c>
      <c r="C315" s="3"/>
      <c r="D315" s="3"/>
      <c r="E315" s="3"/>
      <c r="F315" s="3"/>
      <c r="H315" s="1428" t="s">
        <v>2685</v>
      </c>
      <c r="I315" s="1428"/>
      <c r="J315" s="1428"/>
      <c r="K315" s="1428"/>
      <c r="L315" s="1428"/>
      <c r="M315" s="1428"/>
      <c r="N315" s="1428"/>
      <c r="O315" s="1428"/>
      <c r="P315" s="1428"/>
      <c r="Q315" s="1428"/>
      <c r="R315" s="1428"/>
      <c r="T315" s="3" t="s">
        <v>87</v>
      </c>
      <c r="V315" s="3"/>
      <c r="W315" s="3"/>
      <c r="X315" s="3"/>
      <c r="Y315" s="3"/>
      <c r="AA315" s="1428" t="s">
        <v>2689</v>
      </c>
      <c r="AB315" s="1428"/>
      <c r="AC315" s="1428"/>
      <c r="AD315" s="1428"/>
      <c r="AE315" s="1428"/>
      <c r="AF315" s="1428"/>
      <c r="AG315" s="1428"/>
      <c r="AH315" s="1428"/>
      <c r="AI315" s="1428"/>
      <c r="AJ315" s="1428"/>
      <c r="AK315" s="1428"/>
    </row>
    <row r="316" spans="2:72" ht="13" customHeight="1">
      <c r="B316" s="3" t="s">
        <v>88</v>
      </c>
      <c r="C316" s="3"/>
      <c r="D316" s="3"/>
      <c r="E316" s="3"/>
      <c r="F316" s="3"/>
      <c r="G316" s="3"/>
      <c r="H316" s="1576" t="s">
        <v>2673</v>
      </c>
      <c r="I316" s="1553"/>
      <c r="J316" s="1553"/>
      <c r="K316" s="1553"/>
      <c r="L316" s="1553"/>
      <c r="M316" s="1553"/>
      <c r="N316" s="4" t="s">
        <v>205</v>
      </c>
      <c r="O316" s="4"/>
      <c r="P316" s="1530"/>
      <c r="Q316" s="1530"/>
      <c r="R316" s="1530"/>
      <c r="S316" s="3"/>
      <c r="T316" s="3" t="s">
        <v>88</v>
      </c>
      <c r="V316" s="3"/>
      <c r="W316" s="3"/>
      <c r="X316" s="3"/>
      <c r="Y316" s="3"/>
      <c r="AA316" s="1576" t="s">
        <v>2690</v>
      </c>
      <c r="AB316" s="1553"/>
      <c r="AC316" s="1553"/>
      <c r="AD316" s="1553"/>
      <c r="AE316" s="1553"/>
      <c r="AF316" s="1553"/>
      <c r="AG316" s="4" t="s">
        <v>205</v>
      </c>
      <c r="AH316" s="4"/>
      <c r="AI316" s="1530"/>
      <c r="AJ316" s="1530"/>
      <c r="AK316" s="1530"/>
    </row>
    <row r="317" spans="2:72" ht="13" customHeight="1">
      <c r="B317" s="3" t="s">
        <v>89</v>
      </c>
      <c r="C317" s="3"/>
      <c r="D317" s="3"/>
      <c r="E317" s="3"/>
      <c r="F317" s="3"/>
      <c r="G317" s="3"/>
      <c r="H317" s="1478"/>
      <c r="I317" s="1478"/>
      <c r="J317" s="1478"/>
      <c r="K317" s="1478"/>
      <c r="L317" s="1478"/>
      <c r="M317" s="1478"/>
      <c r="N317" s="4"/>
      <c r="O317" s="4"/>
      <c r="P317" s="35"/>
      <c r="Q317" s="35"/>
      <c r="R317" s="35"/>
      <c r="S317" s="3"/>
      <c r="T317" s="3" t="s">
        <v>89</v>
      </c>
      <c r="V317" s="3"/>
      <c r="W317" s="3"/>
      <c r="X317" s="3"/>
      <c r="Y317" s="3"/>
      <c r="AA317" s="1478"/>
      <c r="AB317" s="1478"/>
      <c r="AC317" s="1478"/>
      <c r="AD317" s="1478"/>
      <c r="AE317" s="1478"/>
      <c r="AF317" s="1478"/>
      <c r="AG317" s="4"/>
      <c r="AH317" s="4"/>
      <c r="AI317" s="35"/>
      <c r="AJ317" s="35"/>
      <c r="AK317" s="35"/>
    </row>
    <row r="318" spans="2:72" ht="13" customHeight="1">
      <c r="B318" s="3" t="s">
        <v>76</v>
      </c>
      <c r="C318" s="3"/>
      <c r="D318" s="3"/>
      <c r="E318" s="3"/>
      <c r="F318" s="3"/>
      <c r="G318" s="3"/>
      <c r="H318" s="1428" t="s">
        <v>2674</v>
      </c>
      <c r="I318" s="1428"/>
      <c r="J318" s="1428"/>
      <c r="K318" s="1428"/>
      <c r="L318" s="1428"/>
      <c r="M318" s="1428"/>
      <c r="N318" s="1401"/>
      <c r="O318" s="1401"/>
      <c r="P318" s="1401"/>
      <c r="Q318" s="1401"/>
      <c r="R318" s="1401"/>
      <c r="S318" s="3"/>
      <c r="T318" s="3" t="s">
        <v>76</v>
      </c>
      <c r="V318" s="3"/>
      <c r="W318" s="3"/>
      <c r="X318" s="3"/>
      <c r="Y318" s="3"/>
      <c r="AA318" s="1428" t="s">
        <v>2691</v>
      </c>
      <c r="AB318" s="1428"/>
      <c r="AC318" s="1428"/>
      <c r="AD318" s="1428"/>
      <c r="AE318" s="1428"/>
      <c r="AF318" s="1428"/>
      <c r="AG318" s="1401"/>
      <c r="AH318" s="1401"/>
      <c r="AI318" s="1401"/>
      <c r="AJ318" s="1401"/>
      <c r="AK318" s="1401"/>
    </row>
    <row r="319" spans="2:72" ht="13"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3" customHeight="1">
      <c r="B320" s="4" t="s">
        <v>906</v>
      </c>
      <c r="C320" s="3"/>
      <c r="D320" s="3"/>
      <c r="E320" s="3"/>
      <c r="F320" s="3"/>
      <c r="H320" s="1401" t="s">
        <v>2692</v>
      </c>
      <c r="I320" s="1401"/>
      <c r="J320" s="1401"/>
      <c r="K320" s="1401"/>
      <c r="L320" s="1401"/>
      <c r="M320" s="1401"/>
      <c r="N320" s="1401"/>
      <c r="O320" s="1401"/>
      <c r="P320" s="1401"/>
      <c r="Q320" s="1401"/>
      <c r="R320" s="1401"/>
      <c r="S320" s="3"/>
      <c r="T320" s="3" t="s">
        <v>364</v>
      </c>
      <c r="V320" s="3"/>
      <c r="W320" s="3"/>
      <c r="X320" s="3"/>
      <c r="Y320" s="3"/>
      <c r="AA320" s="1401" t="s">
        <v>2698</v>
      </c>
      <c r="AB320" s="1401"/>
      <c r="AC320" s="1401"/>
      <c r="AD320" s="1401"/>
      <c r="AE320" s="1401"/>
      <c r="AF320" s="1401"/>
      <c r="AG320" s="1401"/>
      <c r="AH320" s="1401"/>
      <c r="AI320" s="1401"/>
      <c r="AJ320" s="1401"/>
      <c r="AK320" s="1401"/>
    </row>
    <row r="321" spans="2:37" ht="13" customHeight="1">
      <c r="B321" s="3" t="s">
        <v>470</v>
      </c>
      <c r="C321" s="3"/>
      <c r="D321" s="3"/>
      <c r="E321" s="3"/>
      <c r="F321" s="3"/>
      <c r="H321" s="1428" t="s">
        <v>2693</v>
      </c>
      <c r="I321" s="1428"/>
      <c r="J321" s="1428"/>
      <c r="K321" s="1428"/>
      <c r="L321" s="1428"/>
      <c r="M321" s="1428"/>
      <c r="N321" s="1428"/>
      <c r="O321" s="1428"/>
      <c r="P321" s="1428"/>
      <c r="Q321" s="1428"/>
      <c r="R321" s="1428"/>
      <c r="S321" s="3"/>
      <c r="T321" s="3" t="s">
        <v>470</v>
      </c>
      <c r="V321" s="3"/>
      <c r="W321" s="3"/>
      <c r="X321" s="3"/>
      <c r="Y321" s="3"/>
      <c r="AA321" s="1428" t="s">
        <v>2699</v>
      </c>
      <c r="AB321" s="1428"/>
      <c r="AC321" s="1428"/>
      <c r="AD321" s="1428"/>
      <c r="AE321" s="1428"/>
      <c r="AF321" s="1428"/>
      <c r="AG321" s="1428"/>
      <c r="AH321" s="1428"/>
      <c r="AI321" s="1428"/>
      <c r="AJ321" s="1428"/>
      <c r="AK321" s="1428"/>
    </row>
    <row r="322" spans="2:37" ht="13" customHeight="1">
      <c r="B322" s="3" t="s">
        <v>471</v>
      </c>
      <c r="C322" s="3"/>
      <c r="D322" s="3"/>
      <c r="E322" s="3"/>
      <c r="F322" s="3"/>
      <c r="H322" s="1428" t="s">
        <v>2694</v>
      </c>
      <c r="I322" s="1428"/>
      <c r="J322" s="1428"/>
      <c r="K322" s="1428"/>
      <c r="L322" s="1428"/>
      <c r="M322" s="1428"/>
      <c r="N322" s="1428"/>
      <c r="O322" s="1428"/>
      <c r="P322" s="1428"/>
      <c r="Q322" s="1428"/>
      <c r="R322" s="1428"/>
      <c r="S322" s="3"/>
      <c r="T322" s="3" t="s">
        <v>75</v>
      </c>
      <c r="V322" s="3"/>
      <c r="W322" s="3"/>
      <c r="X322" s="3"/>
      <c r="Y322" s="3"/>
      <c r="AA322" s="1428" t="s">
        <v>2700</v>
      </c>
      <c r="AB322" s="1428"/>
      <c r="AC322" s="1428"/>
      <c r="AD322" s="1428"/>
      <c r="AE322" s="1428"/>
      <c r="AF322" s="1428"/>
      <c r="AG322" s="1428"/>
      <c r="AH322" s="1428"/>
      <c r="AI322" s="1428"/>
      <c r="AJ322" s="1428"/>
      <c r="AK322" s="1428"/>
    </row>
    <row r="323" spans="2:37" ht="13" customHeight="1">
      <c r="B323" s="3" t="s">
        <v>87</v>
      </c>
      <c r="C323" s="3"/>
      <c r="D323" s="3"/>
      <c r="E323" s="3"/>
      <c r="F323" s="3"/>
      <c r="H323" s="1428" t="s">
        <v>2695</v>
      </c>
      <c r="I323" s="1428"/>
      <c r="J323" s="1428"/>
      <c r="K323" s="1428"/>
      <c r="L323" s="1428"/>
      <c r="M323" s="1428"/>
      <c r="N323" s="1428"/>
      <c r="O323" s="1428"/>
      <c r="P323" s="1428"/>
      <c r="Q323" s="1428"/>
      <c r="R323" s="1428"/>
      <c r="S323" s="3"/>
      <c r="T323" s="3" t="s">
        <v>87</v>
      </c>
      <c r="V323" s="3"/>
      <c r="W323" s="3"/>
      <c r="X323" s="3"/>
      <c r="Y323" s="3"/>
      <c r="AA323" s="1428" t="s">
        <v>2701</v>
      </c>
      <c r="AB323" s="1428"/>
      <c r="AC323" s="1428"/>
      <c r="AD323" s="1428"/>
      <c r="AE323" s="1428"/>
      <c r="AF323" s="1428"/>
      <c r="AG323" s="1428"/>
      <c r="AH323" s="1428"/>
      <c r="AI323" s="1428"/>
      <c r="AJ323" s="1428"/>
      <c r="AK323" s="1428"/>
    </row>
    <row r="324" spans="2:37" ht="13" customHeight="1">
      <c r="B324" s="3" t="s">
        <v>88</v>
      </c>
      <c r="C324" s="3"/>
      <c r="D324" s="3"/>
      <c r="E324" s="3"/>
      <c r="F324" s="3"/>
      <c r="G324" s="3"/>
      <c r="H324" s="1576" t="s">
        <v>2696</v>
      </c>
      <c r="I324" s="1553"/>
      <c r="J324" s="1553"/>
      <c r="K324" s="1553"/>
      <c r="L324" s="1553"/>
      <c r="M324" s="1553"/>
      <c r="N324" s="4" t="s">
        <v>205</v>
      </c>
      <c r="O324" s="4"/>
      <c r="P324" s="1530"/>
      <c r="Q324" s="1530"/>
      <c r="R324" s="1530"/>
      <c r="S324" s="3"/>
      <c r="T324" s="3" t="s">
        <v>88</v>
      </c>
      <c r="V324" s="3"/>
      <c r="W324" s="3"/>
      <c r="X324" s="3"/>
      <c r="Y324" s="3"/>
      <c r="AA324" s="1576" t="s">
        <v>2702</v>
      </c>
      <c r="AB324" s="1553"/>
      <c r="AC324" s="1553"/>
      <c r="AD324" s="1553"/>
      <c r="AE324" s="1553"/>
      <c r="AF324" s="1553"/>
      <c r="AG324" s="4" t="s">
        <v>205</v>
      </c>
      <c r="AH324" s="4"/>
      <c r="AI324" s="1530"/>
      <c r="AJ324" s="1530"/>
      <c r="AK324" s="1530"/>
    </row>
    <row r="325" spans="2:37" ht="13" customHeight="1">
      <c r="B325" s="3" t="s">
        <v>89</v>
      </c>
      <c r="C325" s="3"/>
      <c r="D325" s="3"/>
      <c r="E325" s="3"/>
      <c r="F325" s="3"/>
      <c r="G325" s="3"/>
      <c r="H325" s="1478"/>
      <c r="I325" s="1478"/>
      <c r="J325" s="1478"/>
      <c r="K325" s="1478"/>
      <c r="L325" s="1478"/>
      <c r="M325" s="1478"/>
      <c r="N325" s="4"/>
      <c r="O325" s="4"/>
      <c r="P325" s="35"/>
      <c r="Q325" s="35"/>
      <c r="R325" s="35"/>
      <c r="S325" s="3"/>
      <c r="T325" s="3" t="s">
        <v>89</v>
      </c>
      <c r="V325" s="3"/>
      <c r="W325" s="3"/>
      <c r="X325" s="3"/>
      <c r="Y325" s="3"/>
      <c r="AA325" s="1478"/>
      <c r="AB325" s="1478"/>
      <c r="AC325" s="1478"/>
      <c r="AD325" s="1478"/>
      <c r="AE325" s="1478"/>
      <c r="AF325" s="1478"/>
      <c r="AG325" s="4"/>
      <c r="AH325" s="4"/>
      <c r="AI325" s="35"/>
      <c r="AJ325" s="35"/>
      <c r="AK325" s="35"/>
    </row>
    <row r="326" spans="2:37" ht="13" customHeight="1">
      <c r="B326" s="3" t="s">
        <v>76</v>
      </c>
      <c r="C326" s="3"/>
      <c r="D326" s="3"/>
      <c r="E326" s="3"/>
      <c r="F326" s="3"/>
      <c r="G326" s="3"/>
      <c r="H326" s="1428" t="s">
        <v>2697</v>
      </c>
      <c r="I326" s="1428"/>
      <c r="J326" s="1428"/>
      <c r="K326" s="1428"/>
      <c r="L326" s="1428"/>
      <c r="M326" s="1428"/>
      <c r="N326" s="1401"/>
      <c r="O326" s="1401"/>
      <c r="P326" s="1401"/>
      <c r="Q326" s="1401"/>
      <c r="R326" s="1401"/>
      <c r="S326" s="3"/>
      <c r="T326" s="3" t="s">
        <v>76</v>
      </c>
      <c r="V326" s="3"/>
      <c r="W326" s="3"/>
      <c r="X326" s="3"/>
      <c r="Y326" s="3"/>
      <c r="AA326" s="1428" t="s">
        <v>2703</v>
      </c>
      <c r="AB326" s="1428"/>
      <c r="AC326" s="1428"/>
      <c r="AD326" s="1428"/>
      <c r="AE326" s="1428"/>
      <c r="AF326" s="1428"/>
      <c r="AG326" s="1401"/>
      <c r="AH326" s="1401"/>
      <c r="AI326" s="1401"/>
      <c r="AJ326" s="1401"/>
      <c r="AK326" s="1401"/>
    </row>
    <row r="327" spans="2:37" ht="13" customHeight="1"/>
    <row r="328" spans="2:37" ht="13" customHeight="1">
      <c r="B328" s="4" t="s">
        <v>907</v>
      </c>
      <c r="C328" s="3"/>
      <c r="D328" s="3"/>
      <c r="E328" s="3"/>
      <c r="F328" s="3"/>
      <c r="H328" s="1401" t="s">
        <v>2670</v>
      </c>
      <c r="I328" s="1401"/>
      <c r="J328" s="1401"/>
      <c r="K328" s="1401"/>
      <c r="L328" s="1401"/>
      <c r="M328" s="1401"/>
      <c r="N328" s="1401"/>
      <c r="O328" s="1401"/>
      <c r="P328" s="1401"/>
      <c r="Q328" s="1401"/>
      <c r="R328" s="1401"/>
      <c r="T328" s="3" t="s">
        <v>365</v>
      </c>
      <c r="V328" s="3"/>
      <c r="W328" s="3"/>
      <c r="X328" s="3"/>
      <c r="Y328" s="3"/>
      <c r="AA328" s="1401" t="s">
        <v>2704</v>
      </c>
      <c r="AB328" s="1401"/>
      <c r="AC328" s="1401"/>
      <c r="AD328" s="1401"/>
      <c r="AE328" s="1401"/>
      <c r="AF328" s="1401"/>
      <c r="AG328" s="1401"/>
      <c r="AH328" s="1401"/>
      <c r="AI328" s="1401"/>
      <c r="AJ328" s="1401"/>
      <c r="AK328" s="1401"/>
    </row>
    <row r="329" spans="2:37" ht="13" customHeight="1">
      <c r="B329" s="3" t="s">
        <v>470</v>
      </c>
      <c r="C329" s="3"/>
      <c r="D329" s="3"/>
      <c r="E329" s="3"/>
      <c r="F329" s="3"/>
      <c r="H329" s="1428" t="s">
        <v>2671</v>
      </c>
      <c r="I329" s="1428"/>
      <c r="J329" s="1428"/>
      <c r="K329" s="1428"/>
      <c r="L329" s="1428"/>
      <c r="M329" s="1428"/>
      <c r="N329" s="1428"/>
      <c r="O329" s="1428"/>
      <c r="P329" s="1428"/>
      <c r="Q329" s="1428"/>
      <c r="R329" s="1428"/>
      <c r="T329" s="3" t="s">
        <v>470</v>
      </c>
      <c r="V329" s="3"/>
      <c r="W329" s="3"/>
      <c r="X329" s="3"/>
      <c r="Y329" s="3"/>
      <c r="AA329" s="1428" t="s">
        <v>2705</v>
      </c>
      <c r="AB329" s="1428"/>
      <c r="AC329" s="1428"/>
      <c r="AD329" s="1428"/>
      <c r="AE329" s="1428"/>
      <c r="AF329" s="1428"/>
      <c r="AG329" s="1428"/>
      <c r="AH329" s="1428"/>
      <c r="AI329" s="1428"/>
      <c r="AJ329" s="1428"/>
      <c r="AK329" s="1428"/>
    </row>
    <row r="330" spans="2:37" ht="13" customHeight="1">
      <c r="B330" s="3" t="s">
        <v>471</v>
      </c>
      <c r="C330" s="3"/>
      <c r="D330" s="3"/>
      <c r="E330" s="3"/>
      <c r="F330" s="3"/>
      <c r="H330" s="1428" t="s">
        <v>2684</v>
      </c>
      <c r="I330" s="1428"/>
      <c r="J330" s="1428"/>
      <c r="K330" s="1428"/>
      <c r="L330" s="1428"/>
      <c r="M330" s="1428"/>
      <c r="N330" s="1428"/>
      <c r="O330" s="1428"/>
      <c r="P330" s="1428"/>
      <c r="Q330" s="1428"/>
      <c r="R330" s="1428"/>
      <c r="T330" s="3" t="s">
        <v>75</v>
      </c>
      <c r="V330" s="3"/>
      <c r="W330" s="3"/>
      <c r="X330" s="3"/>
      <c r="Y330" s="3"/>
      <c r="AA330" s="1428" t="s">
        <v>2706</v>
      </c>
      <c r="AB330" s="1428"/>
      <c r="AC330" s="1428"/>
      <c r="AD330" s="1428"/>
      <c r="AE330" s="1428"/>
      <c r="AF330" s="1428"/>
      <c r="AG330" s="1428"/>
      <c r="AH330" s="1428"/>
      <c r="AI330" s="1428"/>
      <c r="AJ330" s="1428"/>
      <c r="AK330" s="1428"/>
    </row>
    <row r="331" spans="2:37" ht="13" customHeight="1">
      <c r="B331" s="3" t="s">
        <v>87</v>
      </c>
      <c r="C331" s="3"/>
      <c r="D331" s="3"/>
      <c r="E331" s="3"/>
      <c r="F331" s="3"/>
      <c r="H331" s="1428" t="s">
        <v>2672</v>
      </c>
      <c r="I331" s="1428"/>
      <c r="J331" s="1428"/>
      <c r="K331" s="1428"/>
      <c r="L331" s="1428"/>
      <c r="M331" s="1428"/>
      <c r="N331" s="1428"/>
      <c r="O331" s="1428"/>
      <c r="P331" s="1428"/>
      <c r="Q331" s="1428"/>
      <c r="R331" s="1428"/>
      <c r="T331" s="3" t="s">
        <v>87</v>
      </c>
      <c r="V331" s="3"/>
      <c r="W331" s="3"/>
      <c r="X331" s="3"/>
      <c r="Y331" s="3"/>
      <c r="AA331" s="1428" t="s">
        <v>2707</v>
      </c>
      <c r="AB331" s="1428"/>
      <c r="AC331" s="1428"/>
      <c r="AD331" s="1428"/>
      <c r="AE331" s="1428"/>
      <c r="AF331" s="1428"/>
      <c r="AG331" s="1428"/>
      <c r="AH331" s="1428"/>
      <c r="AI331" s="1428"/>
      <c r="AJ331" s="1428"/>
      <c r="AK331" s="1428"/>
    </row>
    <row r="332" spans="2:37" ht="13" customHeight="1">
      <c r="B332" s="3" t="s">
        <v>88</v>
      </c>
      <c r="C332" s="3"/>
      <c r="D332" s="3"/>
      <c r="E332" s="3"/>
      <c r="F332" s="3"/>
      <c r="G332" s="3"/>
      <c r="H332" s="1576" t="s">
        <v>2673</v>
      </c>
      <c r="I332" s="1553"/>
      <c r="J332" s="1553"/>
      <c r="K332" s="1553"/>
      <c r="L332" s="1553"/>
      <c r="M332" s="1553"/>
      <c r="N332" s="4" t="s">
        <v>205</v>
      </c>
      <c r="O332" s="4"/>
      <c r="P332" s="1530"/>
      <c r="Q332" s="1530"/>
      <c r="R332" s="1530"/>
      <c r="S332" s="3"/>
      <c r="T332" s="3" t="s">
        <v>88</v>
      </c>
      <c r="V332" s="3"/>
      <c r="W332" s="3"/>
      <c r="X332" s="3"/>
      <c r="Y332" s="3"/>
      <c r="AA332" s="1576" t="s">
        <v>2708</v>
      </c>
      <c r="AB332" s="1553"/>
      <c r="AC332" s="1553"/>
      <c r="AD332" s="1553"/>
      <c r="AE332" s="1553"/>
      <c r="AF332" s="1553"/>
      <c r="AG332" s="4" t="s">
        <v>205</v>
      </c>
      <c r="AH332" s="4"/>
      <c r="AI332" s="1530"/>
      <c r="AJ332" s="1530"/>
      <c r="AK332" s="1530"/>
    </row>
    <row r="333" spans="2:37" ht="13" customHeight="1">
      <c r="B333" s="3" t="s">
        <v>89</v>
      </c>
      <c r="C333" s="3"/>
      <c r="D333" s="3"/>
      <c r="E333" s="3"/>
      <c r="F333" s="3"/>
      <c r="G333" s="3"/>
      <c r="H333" s="1478"/>
      <c r="I333" s="1478"/>
      <c r="J333" s="1478"/>
      <c r="K333" s="1478"/>
      <c r="L333" s="1478"/>
      <c r="M333" s="1478"/>
      <c r="N333" s="4"/>
      <c r="O333" s="4"/>
      <c r="P333" s="35"/>
      <c r="Q333" s="35"/>
      <c r="R333" s="35"/>
      <c r="S333" s="3"/>
      <c r="T333" s="3" t="s">
        <v>89</v>
      </c>
      <c r="V333" s="3"/>
      <c r="W333" s="3"/>
      <c r="X333" s="3"/>
      <c r="Y333" s="3"/>
      <c r="AA333" s="1478"/>
      <c r="AB333" s="1478"/>
      <c r="AC333" s="1478"/>
      <c r="AD333" s="1478"/>
      <c r="AE333" s="1478"/>
      <c r="AF333" s="1478"/>
      <c r="AG333" s="4"/>
      <c r="AH333" s="4"/>
      <c r="AI333" s="35"/>
      <c r="AJ333" s="35"/>
      <c r="AK333" s="35"/>
    </row>
    <row r="334" spans="2:37" ht="13" customHeight="1">
      <c r="B334" s="3" t="s">
        <v>76</v>
      </c>
      <c r="C334" s="3"/>
      <c r="D334" s="3"/>
      <c r="E334" s="3"/>
      <c r="F334" s="3"/>
      <c r="G334" s="3"/>
      <c r="H334" s="1428" t="s">
        <v>2674</v>
      </c>
      <c r="I334" s="1428"/>
      <c r="J334" s="1428"/>
      <c r="K334" s="1428"/>
      <c r="L334" s="1428"/>
      <c r="M334" s="1428"/>
      <c r="N334" s="1401"/>
      <c r="O334" s="1401"/>
      <c r="P334" s="1401"/>
      <c r="Q334" s="1401"/>
      <c r="R334" s="1401"/>
      <c r="S334" s="3"/>
      <c r="T334" s="3" t="s">
        <v>76</v>
      </c>
      <c r="V334" s="3"/>
      <c r="W334" s="3"/>
      <c r="X334" s="3"/>
      <c r="Y334" s="3"/>
      <c r="AA334" s="1428" t="s">
        <v>2709</v>
      </c>
      <c r="AB334" s="1428"/>
      <c r="AC334" s="1428"/>
      <c r="AD334" s="1428"/>
      <c r="AE334" s="1428"/>
      <c r="AF334" s="1428"/>
      <c r="AG334" s="1401"/>
      <c r="AH334" s="1401"/>
      <c r="AI334" s="1401"/>
      <c r="AJ334" s="1401"/>
      <c r="AK334" s="1401"/>
    </row>
    <row r="335" spans="2:37" ht="13" customHeight="1">
      <c r="B335" s="3"/>
      <c r="C335" s="3"/>
      <c r="D335" s="3"/>
      <c r="E335" s="3"/>
      <c r="F335" s="3"/>
      <c r="G335" s="3"/>
      <c r="P335" s="163"/>
      <c r="Q335" s="163"/>
      <c r="R335" s="163"/>
      <c r="S335" s="163"/>
      <c r="T335" s="163"/>
      <c r="U335" s="163"/>
      <c r="V335" s="4"/>
      <c r="W335" s="4"/>
      <c r="X335" s="35"/>
      <c r="Y335" s="35"/>
      <c r="Z335" s="35"/>
    </row>
    <row r="336" spans="2:37" ht="13" customHeight="1">
      <c r="B336" s="3" t="s">
        <v>366</v>
      </c>
      <c r="C336" s="3"/>
      <c r="D336" s="3"/>
      <c r="E336" s="3"/>
      <c r="F336" s="3"/>
      <c r="H336" s="1401" t="s">
        <v>590</v>
      </c>
      <c r="I336" s="1401"/>
      <c r="J336" s="1401"/>
      <c r="K336" s="1401"/>
      <c r="L336" s="1401"/>
      <c r="M336" s="1401"/>
      <c r="N336" s="1401"/>
      <c r="O336" s="1401"/>
      <c r="P336" s="1401"/>
      <c r="Q336" s="1401"/>
      <c r="R336" s="1401"/>
      <c r="T336" s="3" t="s">
        <v>367</v>
      </c>
      <c r="V336" s="3"/>
      <c r="W336" s="3"/>
      <c r="X336" s="3"/>
      <c r="Y336" s="3"/>
      <c r="AA336" s="1401" t="s">
        <v>590</v>
      </c>
      <c r="AB336" s="1401"/>
      <c r="AC336" s="1401"/>
      <c r="AD336" s="1401"/>
      <c r="AE336" s="1401"/>
      <c r="AF336" s="1401"/>
      <c r="AG336" s="1401"/>
      <c r="AH336" s="1401"/>
      <c r="AI336" s="1401"/>
      <c r="AJ336" s="1401"/>
      <c r="AK336" s="1401"/>
    </row>
    <row r="337" spans="2:66" ht="13" customHeight="1">
      <c r="B337" s="3" t="s">
        <v>470</v>
      </c>
      <c r="C337" s="3"/>
      <c r="D337" s="3"/>
      <c r="E337" s="3"/>
      <c r="F337" s="3"/>
      <c r="H337" s="1428"/>
      <c r="I337" s="1428"/>
      <c r="J337" s="1428"/>
      <c r="K337" s="1428"/>
      <c r="L337" s="1428"/>
      <c r="M337" s="1428"/>
      <c r="N337" s="1428"/>
      <c r="O337" s="1428"/>
      <c r="P337" s="1428"/>
      <c r="Q337" s="1428"/>
      <c r="R337" s="1428"/>
      <c r="T337" s="3" t="s">
        <v>470</v>
      </c>
      <c r="V337" s="3"/>
      <c r="W337" s="3"/>
      <c r="X337" s="3"/>
      <c r="Y337" s="3"/>
      <c r="AA337" s="1428"/>
      <c r="AB337" s="1428"/>
      <c r="AC337" s="1428"/>
      <c r="AD337" s="1428"/>
      <c r="AE337" s="1428"/>
      <c r="AF337" s="1428"/>
      <c r="AG337" s="1428"/>
      <c r="AH337" s="1428"/>
      <c r="AI337" s="1428"/>
      <c r="AJ337" s="1428"/>
      <c r="AK337" s="1428"/>
    </row>
    <row r="338" spans="2:66" ht="13" customHeight="1">
      <c r="B338" s="3" t="s">
        <v>471</v>
      </c>
      <c r="C338" s="3"/>
      <c r="D338" s="3"/>
      <c r="E338" s="3"/>
      <c r="F338" s="3"/>
      <c r="H338" s="1428"/>
      <c r="I338" s="1428"/>
      <c r="J338" s="1428"/>
      <c r="K338" s="1428"/>
      <c r="L338" s="1428"/>
      <c r="M338" s="1428"/>
      <c r="N338" s="1428"/>
      <c r="O338" s="1428"/>
      <c r="P338" s="1428"/>
      <c r="Q338" s="1428"/>
      <c r="R338" s="1428"/>
      <c r="T338" s="3" t="s">
        <v>75</v>
      </c>
      <c r="V338" s="3"/>
      <c r="W338" s="3"/>
      <c r="X338" s="3"/>
      <c r="Y338" s="3"/>
      <c r="AA338" s="1428"/>
      <c r="AB338" s="1428"/>
      <c r="AC338" s="1428"/>
      <c r="AD338" s="1428"/>
      <c r="AE338" s="1428"/>
      <c r="AF338" s="1428"/>
      <c r="AG338" s="1428"/>
      <c r="AH338" s="1428"/>
      <c r="AI338" s="1428"/>
      <c r="AJ338" s="1428"/>
      <c r="AK338" s="1428"/>
    </row>
    <row r="339" spans="2:66" ht="13" customHeight="1">
      <c r="B339" s="3" t="s">
        <v>87</v>
      </c>
      <c r="C339" s="3"/>
      <c r="D339" s="3"/>
      <c r="E339" s="3"/>
      <c r="F339" s="3"/>
      <c r="H339" s="1428"/>
      <c r="I339" s="1428"/>
      <c r="J339" s="1428"/>
      <c r="K339" s="1428"/>
      <c r="L339" s="1428"/>
      <c r="M339" s="1428"/>
      <c r="N339" s="1428"/>
      <c r="O339" s="1428"/>
      <c r="P339" s="1428"/>
      <c r="Q339" s="1428"/>
      <c r="R339" s="1428"/>
      <c r="T339" s="3" t="s">
        <v>87</v>
      </c>
      <c r="V339" s="3"/>
      <c r="W339" s="3"/>
      <c r="X339" s="3"/>
      <c r="Y339" s="3"/>
      <c r="AA339" s="1428"/>
      <c r="AB339" s="1428"/>
      <c r="AC339" s="1428"/>
      <c r="AD339" s="1428"/>
      <c r="AE339" s="1428"/>
      <c r="AF339" s="1428"/>
      <c r="AG339" s="1428"/>
      <c r="AH339" s="1428"/>
      <c r="AI339" s="1428"/>
      <c r="AJ339" s="1428"/>
      <c r="AK339" s="1428"/>
    </row>
    <row r="340" spans="2:66" ht="13" customHeight="1">
      <c r="B340" s="3" t="s">
        <v>88</v>
      </c>
      <c r="C340" s="3"/>
      <c r="D340" s="3"/>
      <c r="E340" s="3"/>
      <c r="F340" s="3"/>
      <c r="G340" s="3"/>
      <c r="H340" s="1553"/>
      <c r="I340" s="1553"/>
      <c r="J340" s="1553"/>
      <c r="K340" s="1553"/>
      <c r="L340" s="1553"/>
      <c r="M340" s="1553"/>
      <c r="N340" s="4" t="s">
        <v>205</v>
      </c>
      <c r="O340" s="4"/>
      <c r="P340" s="1530"/>
      <c r="Q340" s="1530"/>
      <c r="R340" s="1530"/>
      <c r="S340" s="3"/>
      <c r="T340" s="3" t="s">
        <v>88</v>
      </c>
      <c r="V340" s="3"/>
      <c r="W340" s="3"/>
      <c r="X340" s="3"/>
      <c r="Y340" s="3"/>
      <c r="AA340" s="1553"/>
      <c r="AB340" s="1553"/>
      <c r="AC340" s="1553"/>
      <c r="AD340" s="1553"/>
      <c r="AE340" s="1553"/>
      <c r="AF340" s="1553"/>
      <c r="AG340" s="4" t="s">
        <v>205</v>
      </c>
      <c r="AH340" s="4"/>
      <c r="AI340" s="1530"/>
      <c r="AJ340" s="1530"/>
      <c r="AK340" s="1530"/>
    </row>
    <row r="341" spans="2:66" ht="13" customHeight="1">
      <c r="B341" s="3" t="s">
        <v>89</v>
      </c>
      <c r="C341" s="3"/>
      <c r="D341" s="3"/>
      <c r="E341" s="3"/>
      <c r="F341" s="3"/>
      <c r="G341" s="3"/>
      <c r="H341" s="1478"/>
      <c r="I341" s="1478"/>
      <c r="J341" s="1478"/>
      <c r="K341" s="1478"/>
      <c r="L341" s="1478"/>
      <c r="M341" s="1478"/>
      <c r="N341" s="4"/>
      <c r="O341" s="4"/>
      <c r="P341" s="35"/>
      <c r="Q341" s="35"/>
      <c r="R341" s="35"/>
      <c r="S341" s="3"/>
      <c r="T341" s="3" t="s">
        <v>89</v>
      </c>
      <c r="V341" s="3"/>
      <c r="W341" s="3"/>
      <c r="X341" s="3"/>
      <c r="Y341" s="3"/>
      <c r="AA341" s="1478"/>
      <c r="AB341" s="1478"/>
      <c r="AC341" s="1478"/>
      <c r="AD341" s="1478"/>
      <c r="AE341" s="1478"/>
      <c r="AF341" s="1478"/>
      <c r="AG341" s="4"/>
      <c r="AH341" s="4"/>
      <c r="AI341" s="35"/>
      <c r="AJ341" s="35"/>
      <c r="AK341" s="35"/>
    </row>
    <row r="342" spans="2:66" ht="13" customHeight="1">
      <c r="B342" s="3" t="s">
        <v>76</v>
      </c>
      <c r="C342" s="3"/>
      <c r="D342" s="3"/>
      <c r="E342" s="3"/>
      <c r="F342" s="3"/>
      <c r="G342" s="3"/>
      <c r="H342" s="1428"/>
      <c r="I342" s="1428"/>
      <c r="J342" s="1428"/>
      <c r="K342" s="1428"/>
      <c r="L342" s="1428"/>
      <c r="M342" s="1428"/>
      <c r="N342" s="1401"/>
      <c r="O342" s="1401"/>
      <c r="P342" s="1401"/>
      <c r="Q342" s="1401"/>
      <c r="R342" s="1401"/>
      <c r="S342" s="3"/>
      <c r="T342" s="3" t="s">
        <v>76</v>
      </c>
      <c r="V342" s="3"/>
      <c r="W342" s="3"/>
      <c r="X342" s="3"/>
      <c r="Y342" s="3"/>
      <c r="AA342" s="1428"/>
      <c r="AB342" s="1428"/>
      <c r="AC342" s="1428"/>
      <c r="AD342" s="1428"/>
      <c r="AE342" s="1428"/>
      <c r="AF342" s="1428"/>
      <c r="AG342" s="1401"/>
      <c r="AH342" s="1401"/>
      <c r="AI342" s="1401"/>
      <c r="AJ342" s="1401"/>
      <c r="AK342" s="1401"/>
    </row>
    <row r="343" spans="2:66" ht="13" customHeight="1">
      <c r="B343" s="3"/>
      <c r="C343" s="3"/>
      <c r="D343" s="3"/>
      <c r="E343" s="3"/>
      <c r="F343" s="3"/>
      <c r="G343" s="3"/>
      <c r="P343" s="163"/>
      <c r="Q343" s="163"/>
      <c r="R343" s="163"/>
      <c r="S343" s="163"/>
      <c r="T343" s="163"/>
      <c r="U343" s="163"/>
      <c r="V343" s="4"/>
      <c r="W343" s="4"/>
      <c r="X343" s="35"/>
      <c r="Y343" s="35"/>
      <c r="Z343" s="35"/>
    </row>
    <row r="344" spans="2:66" ht="13" customHeight="1">
      <c r="B344" s="3" t="s">
        <v>328</v>
      </c>
      <c r="C344" s="3"/>
      <c r="D344" s="3"/>
      <c r="E344" s="3"/>
      <c r="F344" s="3"/>
      <c r="H344" s="1401" t="s">
        <v>2710</v>
      </c>
      <c r="I344" s="1401"/>
      <c r="J344" s="1401"/>
      <c r="K344" s="1401"/>
      <c r="L344" s="1401"/>
      <c r="M344" s="1401"/>
      <c r="N344" s="1401"/>
      <c r="O344" s="1401"/>
      <c r="P344" s="1401"/>
      <c r="Q344" s="1401"/>
      <c r="R344" s="1401"/>
      <c r="T344" s="204" t="s">
        <v>885</v>
      </c>
      <c r="V344" s="3"/>
      <c r="W344" s="3"/>
      <c r="X344" s="3"/>
      <c r="Y344" s="3"/>
      <c r="AA344" s="1401" t="s">
        <v>2717</v>
      </c>
      <c r="AB344" s="1401"/>
      <c r="AC344" s="1401"/>
      <c r="AD344" s="1401"/>
      <c r="AE344" s="1401"/>
      <c r="AF344" s="1401"/>
      <c r="AG344" s="1401"/>
      <c r="AH344" s="1401"/>
      <c r="AI344" s="1401"/>
      <c r="AJ344" s="1401"/>
      <c r="AK344" s="1401"/>
    </row>
    <row r="345" spans="2:66" ht="13" customHeight="1">
      <c r="B345" s="3" t="s">
        <v>470</v>
      </c>
      <c r="C345" s="3"/>
      <c r="D345" s="3"/>
      <c r="E345" s="3"/>
      <c r="F345" s="3"/>
      <c r="H345" s="1428" t="s">
        <v>2711</v>
      </c>
      <c r="I345" s="1428"/>
      <c r="J345" s="1428"/>
      <c r="K345" s="1428"/>
      <c r="L345" s="1428"/>
      <c r="M345" s="1428"/>
      <c r="N345" s="1428"/>
      <c r="O345" s="1428"/>
      <c r="P345" s="1428"/>
      <c r="Q345" s="1428"/>
      <c r="R345" s="1428"/>
      <c r="T345" s="3" t="s">
        <v>470</v>
      </c>
      <c r="V345" s="3"/>
      <c r="W345" s="3"/>
      <c r="X345" s="3"/>
      <c r="Y345" s="3"/>
      <c r="AA345" s="1428" t="s">
        <v>2718</v>
      </c>
      <c r="AB345" s="1428"/>
      <c r="AC345" s="1428"/>
      <c r="AD345" s="1428"/>
      <c r="AE345" s="1428"/>
      <c r="AF345" s="1428"/>
      <c r="AG345" s="1428"/>
      <c r="AH345" s="1428"/>
      <c r="AI345" s="1428"/>
      <c r="AJ345" s="1428"/>
      <c r="AK345" s="1428"/>
    </row>
    <row r="346" spans="2:66" ht="13" customHeight="1">
      <c r="B346" s="3" t="s">
        <v>75</v>
      </c>
      <c r="C346" s="3"/>
      <c r="D346" s="3"/>
      <c r="E346" s="3"/>
      <c r="F346" s="3"/>
      <c r="H346" s="1428" t="s">
        <v>2712</v>
      </c>
      <c r="I346" s="1428"/>
      <c r="J346" s="1428"/>
      <c r="K346" s="1428"/>
      <c r="L346" s="1428"/>
      <c r="M346" s="1428"/>
      <c r="N346" s="1428"/>
      <c r="O346" s="1428"/>
      <c r="P346" s="1428"/>
      <c r="Q346" s="1428"/>
      <c r="R346" s="1428"/>
      <c r="T346" s="3" t="s">
        <v>75</v>
      </c>
      <c r="V346" s="3"/>
      <c r="W346" s="3"/>
      <c r="X346" s="3"/>
      <c r="Y346" s="3"/>
      <c r="AA346" s="1428" t="s">
        <v>2719</v>
      </c>
      <c r="AB346" s="1428"/>
      <c r="AC346" s="1428"/>
      <c r="AD346" s="1428"/>
      <c r="AE346" s="1428"/>
      <c r="AF346" s="1428"/>
      <c r="AG346" s="1428"/>
      <c r="AH346" s="1428"/>
      <c r="AI346" s="1428"/>
      <c r="AJ346" s="1428"/>
      <c r="AK346" s="1428"/>
    </row>
    <row r="347" spans="2:66" ht="13" customHeight="1">
      <c r="B347" s="3" t="s">
        <v>87</v>
      </c>
      <c r="C347" s="3"/>
      <c r="D347" s="3"/>
      <c r="E347" s="3"/>
      <c r="F347" s="3"/>
      <c r="G347" s="3"/>
      <c r="H347" s="1428" t="s">
        <v>2713</v>
      </c>
      <c r="I347" s="1428"/>
      <c r="J347" s="1428"/>
      <c r="K347" s="1428"/>
      <c r="L347" s="1428"/>
      <c r="M347" s="1428"/>
      <c r="N347" s="1428"/>
      <c r="O347" s="1428"/>
      <c r="P347" s="1428"/>
      <c r="Q347" s="1428"/>
      <c r="R347" s="1428"/>
      <c r="T347" s="3" t="s">
        <v>87</v>
      </c>
      <c r="V347" s="3"/>
      <c r="W347" s="3"/>
      <c r="X347" s="3"/>
      <c r="Y347" s="3"/>
      <c r="AA347" s="1428" t="s">
        <v>2720</v>
      </c>
      <c r="AB347" s="1428"/>
      <c r="AC347" s="1428"/>
      <c r="AD347" s="1428"/>
      <c r="AE347" s="1428"/>
      <c r="AF347" s="1428"/>
      <c r="AG347" s="1428"/>
      <c r="AH347" s="1428"/>
      <c r="AI347" s="1428"/>
      <c r="AJ347" s="1428"/>
      <c r="AK347" s="1428"/>
    </row>
    <row r="348" spans="2:66" ht="13" customHeight="1">
      <c r="B348" s="3" t="s">
        <v>88</v>
      </c>
      <c r="C348" s="3"/>
      <c r="D348" s="3"/>
      <c r="E348" s="3"/>
      <c r="F348" s="3"/>
      <c r="G348" s="3"/>
      <c r="H348" s="1576" t="s">
        <v>2714</v>
      </c>
      <c r="I348" s="1553"/>
      <c r="J348" s="1553"/>
      <c r="K348" s="1553"/>
      <c r="L348" s="1553"/>
      <c r="M348" s="1553"/>
      <c r="N348" s="4" t="s">
        <v>205</v>
      </c>
      <c r="O348" s="4"/>
      <c r="P348" s="1530"/>
      <c r="Q348" s="1530"/>
      <c r="R348" s="1530"/>
      <c r="S348" s="3"/>
      <c r="T348" s="3" t="s">
        <v>88</v>
      </c>
      <c r="V348" s="3"/>
      <c r="W348" s="3"/>
      <c r="X348" s="3"/>
      <c r="Y348" s="3"/>
      <c r="AA348" s="1576" t="s">
        <v>2721</v>
      </c>
      <c r="AB348" s="1553"/>
      <c r="AC348" s="1553"/>
      <c r="AD348" s="1553"/>
      <c r="AE348" s="1553"/>
      <c r="AF348" s="1553"/>
      <c r="AG348" s="4" t="s">
        <v>205</v>
      </c>
      <c r="AH348" s="4"/>
      <c r="AI348" s="1530"/>
      <c r="AJ348" s="1530"/>
      <c r="AK348" s="1530"/>
    </row>
    <row r="349" spans="2:66" ht="13" customHeight="1">
      <c r="B349" s="3" t="s">
        <v>89</v>
      </c>
      <c r="C349" s="3"/>
      <c r="D349" s="3"/>
      <c r="E349" s="3"/>
      <c r="F349" s="3"/>
      <c r="G349" s="3"/>
      <c r="H349" s="1532" t="s">
        <v>2715</v>
      </c>
      <c r="I349" s="1478"/>
      <c r="J349" s="1478"/>
      <c r="K349" s="1478"/>
      <c r="L349" s="1478"/>
      <c r="M349" s="1478"/>
      <c r="N349" s="4"/>
      <c r="O349" s="4"/>
      <c r="P349" s="35"/>
      <c r="Q349" s="35"/>
      <c r="R349" s="35"/>
      <c r="S349" s="3"/>
      <c r="T349" s="3" t="s">
        <v>89</v>
      </c>
      <c r="V349" s="3"/>
      <c r="W349" s="3"/>
      <c r="X349" s="3"/>
      <c r="Y349" s="3"/>
      <c r="AA349" s="1478"/>
      <c r="AB349" s="1478"/>
      <c r="AC349" s="1478"/>
      <c r="AD349" s="1478"/>
      <c r="AE349" s="1478"/>
      <c r="AF349" s="1478"/>
      <c r="AG349" s="4"/>
      <c r="AH349" s="4"/>
      <c r="AI349" s="35"/>
      <c r="AJ349" s="35"/>
      <c r="AK349" s="35"/>
    </row>
    <row r="350" spans="2:66" ht="13" customHeight="1">
      <c r="B350" s="3" t="s">
        <v>76</v>
      </c>
      <c r="C350" s="3"/>
      <c r="D350" s="3"/>
      <c r="E350" s="3"/>
      <c r="F350" s="3"/>
      <c r="G350" s="3"/>
      <c r="H350" s="1428" t="s">
        <v>2716</v>
      </c>
      <c r="I350" s="1428"/>
      <c r="J350" s="1428"/>
      <c r="K350" s="1428"/>
      <c r="L350" s="1428"/>
      <c r="M350" s="1428"/>
      <c r="N350" s="1401"/>
      <c r="O350" s="1401"/>
      <c r="P350" s="1401"/>
      <c r="Q350" s="1401"/>
      <c r="R350" s="1401"/>
      <c r="S350" s="3"/>
      <c r="T350" s="3" t="s">
        <v>76</v>
      </c>
      <c r="V350" s="3"/>
      <c r="W350" s="3"/>
      <c r="X350" s="3"/>
      <c r="Y350" s="3"/>
      <c r="AA350" s="1428"/>
      <c r="AB350" s="1428"/>
      <c r="AC350" s="1428"/>
      <c r="AD350" s="1428"/>
      <c r="AE350" s="1428"/>
      <c r="AF350" s="1428"/>
      <c r="AG350" s="1401"/>
      <c r="AH350" s="1401"/>
      <c r="AI350" s="1401"/>
      <c r="AJ350" s="1401"/>
      <c r="AK350" s="1401"/>
    </row>
    <row r="351" spans="2:66" ht="13"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3" customHeight="1">
      <c r="B352" s="3"/>
      <c r="C352" s="4"/>
      <c r="D352" s="4"/>
      <c r="E352" s="4"/>
      <c r="F352" s="4"/>
      <c r="I352" s="204" t="s">
        <v>886</v>
      </c>
      <c r="P352" s="1401" t="s">
        <v>590</v>
      </c>
      <c r="Q352" s="1401"/>
      <c r="R352" s="1401"/>
      <c r="S352" s="1401"/>
      <c r="T352" s="1401"/>
      <c r="U352" s="1401"/>
      <c r="V352" s="1401"/>
      <c r="W352" s="1401"/>
      <c r="X352" s="1401"/>
      <c r="Y352" s="1401"/>
      <c r="Z352" s="1401"/>
      <c r="AA352" s="1401"/>
      <c r="AB352" s="1401"/>
      <c r="AC352" s="1401"/>
      <c r="AD352" s="1401"/>
      <c r="AE352" s="1401"/>
      <c r="BN352" t="s">
        <v>668</v>
      </c>
    </row>
    <row r="353" spans="1:66" ht="13" customHeight="1">
      <c r="B353" s="4"/>
      <c r="C353" s="4"/>
      <c r="D353" s="4"/>
      <c r="E353" s="4"/>
      <c r="F353" s="4"/>
      <c r="I353" s="4" t="s">
        <v>470</v>
      </c>
      <c r="P353" s="1428"/>
      <c r="Q353" s="1428"/>
      <c r="R353" s="1428"/>
      <c r="S353" s="1428"/>
      <c r="T353" s="1428"/>
      <c r="U353" s="1428"/>
      <c r="V353" s="1428"/>
      <c r="W353" s="1428"/>
      <c r="X353" s="1428"/>
      <c r="Y353" s="1428"/>
      <c r="Z353" s="1428"/>
      <c r="AA353" s="1428"/>
      <c r="AB353" s="1428"/>
      <c r="AC353" s="1428"/>
      <c r="AD353" s="1428"/>
      <c r="AE353" s="1428"/>
      <c r="BN353" t="s">
        <v>544</v>
      </c>
    </row>
    <row r="354" spans="1:66" ht="13" customHeight="1">
      <c r="B354" s="4"/>
      <c r="C354" s="4"/>
      <c r="D354" s="4"/>
      <c r="E354" s="4"/>
      <c r="F354" s="4"/>
      <c r="I354" s="4" t="s">
        <v>75</v>
      </c>
      <c r="P354" s="1428"/>
      <c r="Q354" s="1428"/>
      <c r="R354" s="1428"/>
      <c r="S354" s="1428"/>
      <c r="T354" s="1428"/>
      <c r="U354" s="1428"/>
      <c r="V354" s="1428"/>
      <c r="W354" s="1428"/>
      <c r="X354" s="1428"/>
      <c r="Y354" s="1428"/>
      <c r="Z354" s="1428"/>
      <c r="AA354" s="1428"/>
      <c r="AB354" s="1428"/>
      <c r="AC354" s="1428"/>
      <c r="AD354" s="1428"/>
      <c r="AE354" s="1428"/>
    </row>
    <row r="355" spans="1:66" ht="13" customHeight="1">
      <c r="B355" s="4"/>
      <c r="C355" s="4"/>
      <c r="D355" s="4"/>
      <c r="E355" s="4"/>
      <c r="F355" s="4"/>
      <c r="G355" s="4"/>
      <c r="I355" s="4" t="s">
        <v>87</v>
      </c>
      <c r="P355" s="1428"/>
      <c r="Q355" s="1428"/>
      <c r="R355" s="1428"/>
      <c r="S355" s="1428"/>
      <c r="T355" s="1428"/>
      <c r="U355" s="1428"/>
      <c r="V355" s="1428"/>
      <c r="W355" s="1428"/>
      <c r="X355" s="1428"/>
      <c r="Y355" s="1428"/>
      <c r="Z355" s="1428"/>
      <c r="AA355" s="1428"/>
      <c r="AB355" s="1428"/>
      <c r="AC355" s="1428"/>
      <c r="AD355" s="1428"/>
      <c r="AE355" s="1428"/>
    </row>
    <row r="356" spans="1:66" ht="13" customHeight="1">
      <c r="B356" s="4"/>
      <c r="C356" s="4"/>
      <c r="D356" s="4"/>
      <c r="E356" s="4"/>
      <c r="F356" s="4"/>
      <c r="G356" s="4"/>
      <c r="H356" s="302"/>
      <c r="I356" s="4" t="s">
        <v>88</v>
      </c>
      <c r="P356" s="1478"/>
      <c r="Q356" s="1478"/>
      <c r="R356" s="1478"/>
      <c r="S356" s="1478"/>
      <c r="T356" s="1478"/>
      <c r="U356" s="1478"/>
      <c r="V356" s="1478"/>
      <c r="W356" s="1478"/>
      <c r="X356" s="1478"/>
      <c r="Y356" s="1478"/>
      <c r="Z356" s="1478"/>
      <c r="AA356" s="4" t="s">
        <v>205</v>
      </c>
      <c r="AB356" s="4"/>
      <c r="AC356" s="1470"/>
      <c r="AD356" s="1470"/>
      <c r="AE356" s="1470"/>
      <c r="AF356" s="302"/>
      <c r="AG356" s="4"/>
      <c r="AH356" s="4"/>
      <c r="AI356" s="4"/>
      <c r="AJ356" s="4"/>
      <c r="AK356" s="4"/>
    </row>
    <row r="357" spans="1:66" ht="13" customHeight="1">
      <c r="B357" s="4"/>
      <c r="C357" s="4"/>
      <c r="D357" s="4"/>
      <c r="E357" s="4"/>
      <c r="F357" s="4"/>
      <c r="G357" s="4"/>
      <c r="H357" s="302"/>
      <c r="I357" s="4" t="s">
        <v>89</v>
      </c>
      <c r="P357" s="1478"/>
      <c r="Q357" s="1478"/>
      <c r="R357" s="1478"/>
      <c r="S357" s="1478"/>
      <c r="T357" s="1478"/>
      <c r="U357" s="1478"/>
      <c r="V357" s="1478"/>
      <c r="W357" s="1478"/>
      <c r="X357" s="1478"/>
      <c r="Y357" s="1478"/>
      <c r="Z357" s="1478"/>
      <c r="AF357" s="302"/>
      <c r="AG357" s="4"/>
      <c r="AH357" s="4"/>
      <c r="AI357" s="35"/>
      <c r="AJ357" s="35"/>
      <c r="AK357" s="35"/>
    </row>
    <row r="358" spans="1:66" ht="13" customHeight="1">
      <c r="B358" s="4"/>
      <c r="C358" s="4"/>
      <c r="D358" s="4"/>
      <c r="E358" s="4"/>
      <c r="F358" s="4"/>
      <c r="G358" s="4"/>
      <c r="I358" s="4" t="s">
        <v>76</v>
      </c>
      <c r="P358" s="1401"/>
      <c r="Q358" s="1401"/>
      <c r="R358" s="1401"/>
      <c r="S358" s="1401"/>
      <c r="T358" s="1401"/>
      <c r="U358" s="1401"/>
      <c r="V358" s="1401"/>
      <c r="W358" s="1401"/>
      <c r="X358" s="1401"/>
      <c r="Y358" s="1401"/>
      <c r="Z358" s="1401"/>
      <c r="AA358" s="1401"/>
      <c r="AB358" s="1401"/>
      <c r="AC358" s="1401"/>
      <c r="AD358" s="1401"/>
      <c r="AE358" s="1401"/>
    </row>
    <row r="359" spans="1:66" ht="13" customHeight="1">
      <c r="T359" s="8"/>
      <c r="U359" s="8"/>
      <c r="V359" s="8"/>
      <c r="W359" s="8"/>
      <c r="X359" s="8"/>
      <c r="Y359" s="8"/>
      <c r="Z359" s="8"/>
      <c r="AU359" s="95"/>
      <c r="AV359" s="95"/>
      <c r="AW359" s="95"/>
      <c r="AX359" s="95"/>
      <c r="AY359" s="95"/>
    </row>
    <row r="360" spans="1:66" ht="13" customHeight="1">
      <c r="A360" s="1544" t="s">
        <v>541</v>
      </c>
      <c r="B360" s="1544"/>
      <c r="C360" s="1544"/>
      <c r="D360" s="1544"/>
      <c r="E360" s="1544"/>
      <c r="F360" s="1544"/>
      <c r="G360" s="1544"/>
      <c r="H360" s="1544"/>
      <c r="I360" s="1544"/>
      <c r="J360" s="1544"/>
      <c r="K360" s="1544"/>
      <c r="L360" s="1544"/>
      <c r="M360" s="1544"/>
      <c r="N360" s="1544"/>
      <c r="O360" s="1544"/>
      <c r="P360" s="1544"/>
      <c r="Q360" s="1544"/>
      <c r="R360" s="1544"/>
      <c r="S360" s="1544"/>
      <c r="T360" s="1544"/>
      <c r="U360" s="1544"/>
      <c r="V360" s="1544"/>
      <c r="W360" s="1544"/>
      <c r="X360" s="1544"/>
      <c r="Y360" s="1544"/>
      <c r="Z360" s="1544"/>
      <c r="AA360" s="1544"/>
      <c r="AB360" s="1544"/>
      <c r="AC360" s="1544"/>
      <c r="AD360" s="1544"/>
      <c r="AE360" s="1544"/>
      <c r="AF360" s="1544"/>
      <c r="AG360" s="1544"/>
      <c r="AH360" s="1544"/>
      <c r="AI360" s="1544"/>
      <c r="AJ360" s="1544"/>
      <c r="AK360" s="1544"/>
      <c r="AL360" s="1544"/>
      <c r="AM360" s="1544"/>
      <c r="AN360" s="1544"/>
      <c r="AO360" s="1544"/>
      <c r="AP360" s="1544"/>
      <c r="AQ360" s="1544"/>
      <c r="AR360" s="1544"/>
      <c r="AS360" s="1544"/>
      <c r="AT360" s="1544"/>
      <c r="AU360" s="95"/>
      <c r="AV360" s="95"/>
      <c r="AW360" s="95"/>
      <c r="AX360" s="95"/>
      <c r="AY360" s="95"/>
    </row>
    <row r="361" spans="1:66" ht="13" customHeight="1">
      <c r="A361" s="1544"/>
      <c r="B361" s="1544"/>
      <c r="C361" s="1544"/>
      <c r="D361" s="1544"/>
      <c r="E361" s="1544"/>
      <c r="F361" s="1544"/>
      <c r="G361" s="1544"/>
      <c r="H361" s="1544"/>
      <c r="I361" s="1544"/>
      <c r="J361" s="1544"/>
      <c r="K361" s="1544"/>
      <c r="L361" s="1544"/>
      <c r="M361" s="1544"/>
      <c r="N361" s="1544"/>
      <c r="O361" s="1544"/>
      <c r="P361" s="1544"/>
      <c r="Q361" s="1544"/>
      <c r="R361" s="1544"/>
      <c r="S361" s="1544"/>
      <c r="T361" s="1544"/>
      <c r="U361" s="1544"/>
      <c r="V361" s="1544"/>
      <c r="W361" s="1544"/>
      <c r="X361" s="1544"/>
      <c r="Y361" s="1544"/>
      <c r="Z361" s="1544"/>
      <c r="AA361" s="1544"/>
      <c r="AB361" s="1544"/>
      <c r="AC361" s="1544"/>
      <c r="AD361" s="1544"/>
      <c r="AE361" s="1544"/>
      <c r="AF361" s="1544"/>
      <c r="AG361" s="1544"/>
      <c r="AH361" s="1544"/>
      <c r="AI361" s="1544"/>
      <c r="AJ361" s="1544"/>
      <c r="AK361" s="1544"/>
      <c r="AL361" s="1544"/>
      <c r="AM361" s="1544"/>
      <c r="AN361" s="1544"/>
      <c r="AO361" s="1544"/>
      <c r="AP361" s="1544"/>
      <c r="AQ361" s="1544"/>
      <c r="AR361" s="1544"/>
      <c r="AS361" s="1544"/>
      <c r="AT361" s="1544"/>
      <c r="AU361" s="25"/>
      <c r="AV361" s="25"/>
      <c r="AW361" s="25"/>
      <c r="AX361" s="25"/>
      <c r="AY361" s="25"/>
    </row>
    <row r="362" spans="1:66" ht="13"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3" customHeight="1">
      <c r="A363" s="2" t="s">
        <v>318</v>
      </c>
      <c r="B363" s="2"/>
      <c r="C363" s="2" t="s">
        <v>781</v>
      </c>
    </row>
    <row r="364" spans="1:66" ht="13" customHeight="1">
      <c r="D364" s="3" t="s">
        <v>2052</v>
      </c>
      <c r="M364" s="1409" t="s">
        <v>544</v>
      </c>
      <c r="N364" s="1409"/>
      <c r="P364" t="s">
        <v>1637</v>
      </c>
      <c r="AJ364" s="1409" t="s">
        <v>544</v>
      </c>
      <c r="AK364" s="1409"/>
    </row>
    <row r="365" spans="1:66" ht="13" customHeight="1">
      <c r="D365" s="3" t="s">
        <v>1626</v>
      </c>
      <c r="M365" s="1409" t="s">
        <v>590</v>
      </c>
      <c r="N365" s="1409"/>
      <c r="P365" s="3" t="s">
        <v>1706</v>
      </c>
      <c r="AJ365" s="1435"/>
      <c r="AK365" s="1435"/>
    </row>
    <row r="366" spans="1:66" ht="13" customHeight="1">
      <c r="D366" s="3" t="s">
        <v>703</v>
      </c>
      <c r="M366" s="1409" t="s">
        <v>590</v>
      </c>
      <c r="N366" s="1409"/>
      <c r="P366" t="s">
        <v>1636</v>
      </c>
      <c r="AJ366" s="1409" t="s">
        <v>590</v>
      </c>
      <c r="AK366" s="1409"/>
    </row>
    <row r="367" spans="1:66" ht="13" customHeight="1">
      <c r="D367" s="3" t="s">
        <v>704</v>
      </c>
      <c r="M367" s="1409" t="s">
        <v>590</v>
      </c>
      <c r="N367" s="1409"/>
      <c r="Q367" s="4"/>
    </row>
    <row r="368" spans="1:66" ht="13" customHeight="1">
      <c r="Q368" s="4"/>
    </row>
    <row r="369" spans="1:34" ht="13" customHeight="1">
      <c r="Q369" s="4"/>
    </row>
    <row r="370" spans="1:34" ht="13" customHeight="1">
      <c r="A370" s="2" t="s">
        <v>575</v>
      </c>
      <c r="B370" s="2"/>
      <c r="C370" s="2" t="s">
        <v>551</v>
      </c>
      <c r="D370" s="2"/>
    </row>
    <row r="371" spans="1:34" ht="13" customHeight="1">
      <c r="D371" s="39" t="s">
        <v>184</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3" customHeight="1">
      <c r="D372" s="39" t="s">
        <v>185</v>
      </c>
      <c r="E372" s="40"/>
      <c r="F372" s="40"/>
      <c r="G372" s="40"/>
      <c r="H372" s="40"/>
      <c r="I372" s="40"/>
      <c r="J372" s="40"/>
      <c r="K372" s="40"/>
      <c r="L372" s="40"/>
      <c r="M372" s="40"/>
      <c r="N372" s="1409" t="s">
        <v>590</v>
      </c>
      <c r="O372" s="1409"/>
      <c r="P372" s="40"/>
      <c r="Q372" s="40"/>
      <c r="R372" s="40"/>
      <c r="S372" s="40"/>
      <c r="T372" s="40"/>
      <c r="U372" s="40"/>
      <c r="V372" s="40"/>
      <c r="W372" s="40"/>
      <c r="X372" s="40"/>
      <c r="Y372" s="40"/>
      <c r="Z372" s="40"/>
      <c r="AC372" s="40"/>
      <c r="AD372" s="40"/>
      <c r="AE372" s="40"/>
    </row>
    <row r="373" spans="1:34" ht="13" customHeight="1">
      <c r="E373" t="s">
        <v>369</v>
      </c>
      <c r="Y373" s="1409" t="s">
        <v>590</v>
      </c>
      <c r="Z373" s="1409"/>
    </row>
    <row r="374" spans="1:34" ht="13" customHeight="1">
      <c r="D374" s="4" t="s">
        <v>976</v>
      </c>
      <c r="Q374" s="1401"/>
      <c r="R374" s="1401"/>
      <c r="S374" s="1401"/>
      <c r="T374" s="1401"/>
      <c r="U374" s="1401"/>
      <c r="V374" s="1401"/>
      <c r="W374" s="1401"/>
      <c r="X374" s="1401"/>
      <c r="Y374" s="1401"/>
      <c r="Z374" s="1401"/>
      <c r="AA374" s="1401"/>
      <c r="AB374" s="1401"/>
      <c r="AC374" s="1401"/>
      <c r="AD374" s="1401"/>
      <c r="AE374" s="1401"/>
      <c r="AF374" s="1401"/>
      <c r="AG374" s="1401"/>
    </row>
    <row r="375" spans="1:34" ht="13" customHeight="1">
      <c r="D375" t="s">
        <v>186</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3" customHeight="1">
      <c r="D376" t="s">
        <v>187</v>
      </c>
      <c r="E376" s="40"/>
      <c r="F376" s="40"/>
      <c r="G376" s="40"/>
      <c r="H376" s="40"/>
      <c r="I376" s="40"/>
      <c r="J376" s="1409" t="s">
        <v>668</v>
      </c>
      <c r="K376" s="1409"/>
      <c r="L376" s="40"/>
      <c r="M376" s="40"/>
      <c r="N376" s="40"/>
      <c r="O376" s="40"/>
      <c r="P376" s="40"/>
      <c r="Q376" s="40"/>
      <c r="R376" s="40"/>
      <c r="S376" s="40"/>
      <c r="T376" s="40"/>
      <c r="U376" s="40"/>
      <c r="V376" s="40"/>
      <c r="W376" s="40"/>
      <c r="X376" s="40"/>
      <c r="Y376" s="40"/>
      <c r="Z376" s="40"/>
      <c r="AC376" s="40"/>
      <c r="AD376" s="40"/>
      <c r="AE376" s="40"/>
    </row>
    <row r="377" spans="1:34" ht="13" customHeight="1">
      <c r="E377" s="1531" t="s">
        <v>705</v>
      </c>
      <c r="F377" s="1531"/>
      <c r="G377" s="1531"/>
      <c r="H377" s="1531"/>
      <c r="I377" s="1531"/>
      <c r="J377" s="1531"/>
      <c r="K377" s="1531"/>
      <c r="L377" s="1531"/>
      <c r="M377" s="1531"/>
      <c r="N377" s="1531"/>
      <c r="O377" s="1531"/>
      <c r="P377" s="1531"/>
      <c r="Q377" s="1531"/>
      <c r="R377" s="1531"/>
      <c r="S377" s="1531"/>
      <c r="T377" s="1531"/>
      <c r="U377" s="1531"/>
      <c r="V377" s="1531"/>
      <c r="W377" s="1531"/>
      <c r="X377" s="1531"/>
      <c r="Y377" s="1531"/>
      <c r="Z377" s="1531"/>
      <c r="AA377" s="1531"/>
      <c r="AB377" s="1531"/>
      <c r="AC377" s="1531"/>
      <c r="AD377" s="1531"/>
      <c r="AE377" s="1531"/>
      <c r="AF377" s="1531"/>
      <c r="AG377" s="1531"/>
      <c r="AH377" s="1531"/>
    </row>
    <row r="378" spans="1:34" ht="13" customHeight="1">
      <c r="E378" s="1531"/>
      <c r="F378" s="1531"/>
      <c r="G378" s="1531"/>
      <c r="H378" s="1531"/>
      <c r="I378" s="1531"/>
      <c r="J378" s="1531"/>
      <c r="K378" s="1531"/>
      <c r="L378" s="1531"/>
      <c r="M378" s="1531"/>
      <c r="N378" s="1531"/>
      <c r="O378" s="1531"/>
      <c r="P378" s="1531"/>
      <c r="Q378" s="1531"/>
      <c r="R378" s="1531"/>
      <c r="S378" s="1531"/>
      <c r="T378" s="1531"/>
      <c r="U378" s="1531"/>
      <c r="V378" s="1531"/>
      <c r="W378" s="1531"/>
      <c r="X378" s="1531"/>
      <c r="Y378" s="1531"/>
      <c r="Z378" s="1531"/>
      <c r="AA378" s="1531"/>
      <c r="AB378" s="1531"/>
      <c r="AC378" s="1531"/>
      <c r="AD378" s="1531"/>
      <c r="AE378" s="1531"/>
      <c r="AF378" s="1531"/>
      <c r="AG378" s="1531"/>
      <c r="AH378" s="1531"/>
    </row>
    <row r="379" spans="1:34" ht="13" customHeight="1">
      <c r="E379" s="4" t="s">
        <v>447</v>
      </c>
      <c r="F379" s="4"/>
      <c r="G379" s="4"/>
      <c r="H379" s="4"/>
      <c r="I379" s="4"/>
      <c r="J379" s="4"/>
      <c r="K379" s="4"/>
      <c r="L379" s="4"/>
      <c r="N379" s="1374"/>
      <c r="O379" s="1374"/>
      <c r="P379" s="1374"/>
      <c r="Q379" s="1374"/>
      <c r="R379" s="4"/>
      <c r="U379" s="4" t="s">
        <v>448</v>
      </c>
      <c r="V379" s="4"/>
      <c r="W379" s="4"/>
      <c r="X379" s="4"/>
      <c r="Y379" s="4"/>
      <c r="Z379" s="4"/>
      <c r="AA379" s="4"/>
      <c r="AB379" s="4"/>
      <c r="AC379" s="1374"/>
      <c r="AD379" s="1374"/>
      <c r="AE379" s="1374"/>
      <c r="AF379" s="1374"/>
    </row>
    <row r="380" spans="1:34" ht="13" customHeight="1">
      <c r="E380" s="4" t="s">
        <v>449</v>
      </c>
      <c r="F380" s="4"/>
      <c r="G380" s="4"/>
      <c r="H380" s="4"/>
      <c r="I380" s="4"/>
      <c r="J380" s="4"/>
      <c r="K380" s="4"/>
      <c r="L380" s="4"/>
      <c r="N380" s="1374"/>
      <c r="O380" s="1374"/>
      <c r="P380" s="1374"/>
      <c r="Q380" s="1374"/>
      <c r="R380" s="4"/>
      <c r="U380" s="4" t="s">
        <v>0</v>
      </c>
      <c r="V380" s="4"/>
      <c r="W380" s="4"/>
      <c r="X380" s="4"/>
      <c r="Y380" s="4"/>
      <c r="Z380" s="4"/>
      <c r="AA380" s="4"/>
      <c r="AB380" s="4"/>
      <c r="AC380" s="1374"/>
      <c r="AD380" s="1374"/>
      <c r="AE380" s="1374"/>
      <c r="AF380" s="1374"/>
    </row>
    <row r="381" spans="1:34" ht="13" customHeight="1">
      <c r="E381" s="4" t="s">
        <v>1</v>
      </c>
      <c r="F381" s="4"/>
      <c r="G381" s="4"/>
      <c r="H381" s="4"/>
      <c r="I381" s="4"/>
      <c r="J381" s="4"/>
      <c r="K381" s="4"/>
      <c r="L381" s="4"/>
      <c r="N381" s="1374"/>
      <c r="O381" s="1374"/>
      <c r="P381" s="1374"/>
      <c r="Q381" s="1374"/>
      <c r="R381" s="4"/>
      <c r="V381" s="4"/>
      <c r="W381" s="4"/>
      <c r="X381" s="4"/>
      <c r="Y381" s="4"/>
      <c r="Z381" s="4"/>
      <c r="AA381" s="4"/>
      <c r="AB381" s="4"/>
    </row>
    <row r="382" spans="1:34" ht="13" customHeight="1">
      <c r="E382" s="4" t="s">
        <v>2</v>
      </c>
      <c r="F382" s="4"/>
      <c r="G382" s="4"/>
      <c r="H382" s="4"/>
      <c r="I382" s="4"/>
      <c r="J382" s="4"/>
      <c r="K382" s="4"/>
      <c r="L382" s="4"/>
      <c r="N382" s="1590"/>
      <c r="O382" s="1590"/>
      <c r="P382" s="1590"/>
      <c r="Q382" s="1590"/>
      <c r="R382" s="1590"/>
      <c r="S382" s="1590"/>
      <c r="T382" s="1590"/>
      <c r="U382" s="1590"/>
      <c r="V382" s="1590"/>
      <c r="W382" s="1590"/>
      <c r="X382" s="1590"/>
      <c r="Y382" s="1590"/>
      <c r="Z382" s="1590"/>
      <c r="AA382" s="1590"/>
      <c r="AB382" s="1590"/>
      <c r="AC382" s="1590"/>
      <c r="AD382" s="1590"/>
      <c r="AE382" s="1590"/>
      <c r="AF382" s="1590"/>
    </row>
    <row r="383" spans="1:34" ht="13" customHeight="1">
      <c r="E383" s="4"/>
      <c r="F383" s="4"/>
      <c r="G383" s="4"/>
      <c r="H383" s="4"/>
      <c r="I383" s="4"/>
      <c r="J383" s="4"/>
      <c r="K383" s="4"/>
      <c r="L383" s="4"/>
      <c r="N383" s="1591"/>
      <c r="O383" s="1591"/>
      <c r="P383" s="1591"/>
      <c r="Q383" s="1591"/>
      <c r="R383" s="1591"/>
      <c r="S383" s="1591"/>
      <c r="T383" s="1591"/>
      <c r="U383" s="1591"/>
      <c r="V383" s="1591"/>
      <c r="W383" s="1591"/>
      <c r="X383" s="1591"/>
      <c r="Y383" s="1591"/>
      <c r="Z383" s="1591"/>
      <c r="AA383" s="1591"/>
      <c r="AB383" s="1591"/>
      <c r="AC383" s="1591"/>
      <c r="AD383" s="1591"/>
      <c r="AE383" s="1591"/>
      <c r="AF383" s="1591"/>
    </row>
    <row r="384" spans="1:34" ht="13" customHeight="1">
      <c r="C384" s="512"/>
      <c r="E384" s="4"/>
      <c r="F384" s="4"/>
      <c r="G384" s="4"/>
      <c r="H384" s="4"/>
      <c r="I384" s="4"/>
      <c r="J384" s="4"/>
      <c r="K384" s="4"/>
      <c r="L384" s="4"/>
    </row>
    <row r="385" spans="1:36" ht="13" customHeight="1">
      <c r="D385" s="2" t="s">
        <v>973</v>
      </c>
      <c r="E385" s="2"/>
      <c r="F385" s="4"/>
      <c r="G385" s="4"/>
      <c r="H385" s="4"/>
      <c r="I385" s="4"/>
      <c r="J385" s="4"/>
      <c r="K385" s="4"/>
      <c r="L385" s="4"/>
    </row>
    <row r="386" spans="1:36" ht="13" customHeight="1">
      <c r="E386" s="4" t="s">
        <v>2038</v>
      </c>
      <c r="F386" s="4"/>
      <c r="G386" s="4"/>
      <c r="H386" s="4"/>
      <c r="I386" s="4"/>
      <c r="J386" s="4"/>
      <c r="K386" s="4"/>
      <c r="L386" s="4"/>
      <c r="N386" t="s">
        <v>2034</v>
      </c>
      <c r="R386" s="27" t="s">
        <v>304</v>
      </c>
      <c r="S386" s="1520"/>
      <c r="T386" s="1520"/>
      <c r="U386" s="1" t="s">
        <v>305</v>
      </c>
      <c r="V386" s="1520"/>
      <c r="W386" s="1520"/>
      <c r="Y386" t="s">
        <v>2034</v>
      </c>
      <c r="AC386" s="27" t="s">
        <v>304</v>
      </c>
      <c r="AD386" s="1520"/>
      <c r="AE386" s="1520"/>
      <c r="AF386" s="1" t="s">
        <v>305</v>
      </c>
      <c r="AG386" s="1520"/>
      <c r="AH386" s="1520"/>
    </row>
    <row r="387" spans="1:36" ht="13" customHeight="1">
      <c r="E387" s="4" t="s">
        <v>985</v>
      </c>
      <c r="F387" s="4"/>
      <c r="G387" s="4"/>
      <c r="H387" s="4"/>
      <c r="I387" s="4"/>
      <c r="J387" s="4"/>
      <c r="K387" s="4"/>
      <c r="L387" s="4"/>
      <c r="N387" s="1520"/>
      <c r="O387" s="1520"/>
      <c r="P387" s="1520"/>
    </row>
    <row r="388" spans="1:36" ht="13" customHeight="1">
      <c r="E388" s="204" t="s">
        <v>2039</v>
      </c>
      <c r="F388" s="4"/>
      <c r="G388" s="4"/>
      <c r="H388" s="4"/>
      <c r="I388" s="4"/>
      <c r="J388" s="4"/>
      <c r="K388" s="4"/>
      <c r="L388" s="4"/>
      <c r="AG388" s="1536" t="s">
        <v>590</v>
      </c>
      <c r="AH388" s="1536"/>
    </row>
    <row r="389" spans="1:36" ht="13" customHeight="1">
      <c r="E389" s="4"/>
      <c r="F389" s="4"/>
      <c r="G389" s="4" t="s">
        <v>2040</v>
      </c>
      <c r="H389" s="4"/>
      <c r="I389" s="4"/>
      <c r="J389" s="4"/>
      <c r="K389" s="4"/>
      <c r="L389" s="4"/>
      <c r="AG389" s="1536" t="s">
        <v>590</v>
      </c>
      <c r="AH389" s="1536"/>
    </row>
    <row r="390" spans="1:36" ht="13" customHeight="1">
      <c r="E390" s="4"/>
      <c r="F390" s="4"/>
      <c r="G390" s="320" t="s">
        <v>986</v>
      </c>
      <c r="H390" s="4"/>
      <c r="I390" s="4"/>
      <c r="J390" s="4"/>
      <c r="K390" s="4"/>
      <c r="L390" s="4"/>
      <c r="V390" s="1409" t="s">
        <v>590</v>
      </c>
      <c r="W390" s="1409"/>
      <c r="Y390" s="22" t="s">
        <v>978</v>
      </c>
    </row>
    <row r="391" spans="1:36" ht="13" customHeight="1">
      <c r="E391" s="4" t="s">
        <v>979</v>
      </c>
      <c r="F391" s="4"/>
      <c r="G391" s="4"/>
      <c r="H391" s="4"/>
      <c r="I391" s="4"/>
      <c r="J391" s="4"/>
      <c r="K391" s="4"/>
      <c r="L391" s="4"/>
      <c r="V391" s="1409" t="s">
        <v>590</v>
      </c>
      <c r="W391" s="1409"/>
      <c r="Y391" s="4" t="s">
        <v>980</v>
      </c>
    </row>
    <row r="392" spans="1:36" ht="13" customHeight="1"/>
    <row r="393" spans="1:36" ht="13" customHeight="1">
      <c r="A393" s="2" t="s">
        <v>78</v>
      </c>
      <c r="B393" s="2"/>
    </row>
    <row r="394" spans="1:36" ht="13" customHeight="1">
      <c r="D394" t="s">
        <v>427</v>
      </c>
      <c r="J394" s="1401" t="s">
        <v>2722</v>
      </c>
      <c r="K394" s="1401"/>
      <c r="L394" s="1401"/>
      <c r="M394" s="1401"/>
      <c r="N394" s="1401"/>
      <c r="O394" s="1401"/>
      <c r="P394" s="1401"/>
      <c r="Q394" s="1401"/>
      <c r="R394" s="1401"/>
      <c r="S394" s="1401"/>
      <c r="T394" s="1401"/>
      <c r="U394" s="1401"/>
      <c r="V394" s="8" t="s">
        <v>83</v>
      </c>
      <c r="W394" s="8"/>
      <c r="X394" s="8"/>
      <c r="Y394" s="8"/>
      <c r="Z394" s="8"/>
      <c r="AA394" s="8"/>
      <c r="AB394" s="8"/>
      <c r="AC394" s="1401" t="s">
        <v>2723</v>
      </c>
      <c r="AD394" s="1401"/>
      <c r="AE394" s="1401"/>
      <c r="AF394" s="1401"/>
      <c r="AG394" s="1401"/>
      <c r="AH394" s="1401"/>
      <c r="AI394" s="1401"/>
      <c r="AJ394" s="1401"/>
    </row>
    <row r="395" spans="1:36" ht="13" customHeight="1">
      <c r="D395" s="3" t="s">
        <v>1180</v>
      </c>
      <c r="J395" s="1428" t="s">
        <v>2723</v>
      </c>
      <c r="K395" s="1428"/>
      <c r="L395" s="1428"/>
      <c r="M395" s="1428"/>
      <c r="N395" s="1428"/>
      <c r="O395" s="1428"/>
      <c r="P395" s="1428"/>
      <c r="Q395" s="1428"/>
      <c r="R395" s="1428"/>
      <c r="S395" s="1428"/>
      <c r="T395" s="1428"/>
      <c r="U395" s="1428"/>
      <c r="V395" s="3" t="s">
        <v>1180</v>
      </c>
      <c r="W395" s="8"/>
      <c r="X395" s="8"/>
      <c r="Y395" s="8"/>
      <c r="Z395" s="8"/>
      <c r="AA395" s="8"/>
      <c r="AB395" s="8"/>
      <c r="AC395" s="1401" t="s">
        <v>590</v>
      </c>
      <c r="AD395" s="1401"/>
      <c r="AE395" s="1401"/>
      <c r="AF395" s="1401"/>
      <c r="AG395" s="1401"/>
      <c r="AH395" s="1401"/>
      <c r="AI395" s="1401"/>
      <c r="AJ395" s="1401"/>
    </row>
    <row r="396" spans="1:36" ht="13" customHeight="1">
      <c r="D396" s="3" t="s">
        <v>440</v>
      </c>
      <c r="J396" s="1428" t="s">
        <v>2724</v>
      </c>
      <c r="K396" s="1428"/>
      <c r="L396" s="1428"/>
      <c r="M396" s="1428"/>
      <c r="N396" s="1428"/>
      <c r="O396" s="1428"/>
      <c r="P396" s="1428"/>
      <c r="Q396" s="1428"/>
      <c r="R396" s="1428"/>
      <c r="S396" s="1428"/>
      <c r="T396" s="1428"/>
      <c r="U396" s="1428"/>
      <c r="V396" s="3" t="s">
        <v>440</v>
      </c>
      <c r="W396" s="8"/>
      <c r="X396" s="8"/>
      <c r="Y396" s="8"/>
      <c r="Z396" s="8"/>
      <c r="AA396" s="8"/>
      <c r="AB396" s="8"/>
      <c r="AC396" s="1401" t="s">
        <v>590</v>
      </c>
      <c r="AD396" s="1401"/>
      <c r="AE396" s="1401"/>
      <c r="AF396" s="1401"/>
      <c r="AG396" s="1401"/>
      <c r="AH396" s="1401"/>
      <c r="AI396" s="1401"/>
      <c r="AJ396" s="1401"/>
    </row>
    <row r="397" spans="1:36" ht="13" customHeight="1">
      <c r="D397" t="s">
        <v>1176</v>
      </c>
      <c r="J397" s="1412" t="s">
        <v>2725</v>
      </c>
      <c r="K397" s="1412"/>
      <c r="L397" s="1412"/>
      <c r="M397" s="1412"/>
      <c r="N397" s="1412"/>
      <c r="O397" s="1412"/>
      <c r="P397" s="1412"/>
      <c r="Q397" s="1412"/>
      <c r="R397" s="1412"/>
      <c r="S397" s="1412"/>
      <c r="T397" s="1412"/>
      <c r="U397" s="1412"/>
      <c r="V397" s="1401"/>
      <c r="W397" s="1401"/>
      <c r="X397" s="1401"/>
      <c r="Y397" s="1401"/>
      <c r="Z397" s="1401"/>
      <c r="AA397" s="1401"/>
      <c r="AB397" s="1401"/>
      <c r="AC397" s="1401"/>
      <c r="AD397" s="1401"/>
      <c r="AE397" s="1401"/>
      <c r="AF397" s="1401"/>
      <c r="AG397" s="1401"/>
      <c r="AH397" s="1401"/>
      <c r="AI397" s="1401"/>
      <c r="AJ397" s="1401"/>
    </row>
    <row r="398" spans="1:36" ht="13" customHeight="1">
      <c r="D398" t="s">
        <v>4</v>
      </c>
      <c r="Q398" s="1594">
        <v>45896</v>
      </c>
      <c r="R398" s="1594"/>
      <c r="S398" s="1594"/>
      <c r="T398" s="1594"/>
      <c r="U398" s="1594"/>
      <c r="V398" t="s">
        <v>308</v>
      </c>
      <c r="AI398" s="1409" t="s">
        <v>668</v>
      </c>
      <c r="AJ398" s="1409"/>
    </row>
    <row r="399" spans="1:36" ht="13" customHeight="1">
      <c r="D399" t="s">
        <v>5</v>
      </c>
      <c r="Q399" s="1526">
        <v>46366</v>
      </c>
      <c r="R399" s="1527"/>
      <c r="S399" s="1527"/>
      <c r="T399" s="1527"/>
      <c r="U399" s="1527"/>
      <c r="W399" s="21" t="s">
        <v>74</v>
      </c>
      <c r="AG399" s="1494"/>
      <c r="AH399" s="1494"/>
      <c r="AI399" s="1494"/>
      <c r="AJ399" s="1494"/>
    </row>
    <row r="400" spans="1:36" ht="13" customHeight="1">
      <c r="D400" t="s">
        <v>426</v>
      </c>
      <c r="Q400" s="1538">
        <v>8500000</v>
      </c>
      <c r="R400" s="1538"/>
      <c r="S400" s="1538"/>
      <c r="T400" s="1538"/>
      <c r="U400" s="1538"/>
      <c r="V400" s="3" t="s">
        <v>1179</v>
      </c>
      <c r="AG400" s="1524">
        <v>46143</v>
      </c>
      <c r="AH400" s="1524"/>
      <c r="AI400" s="1524"/>
      <c r="AJ400" s="1524"/>
    </row>
    <row r="401" spans="4:36" ht="13" customHeight="1">
      <c r="D401" t="s">
        <v>88</v>
      </c>
      <c r="I401" s="1553"/>
      <c r="J401" s="1553"/>
      <c r="K401" s="1553"/>
      <c r="L401" s="1553"/>
      <c r="M401" s="1553"/>
      <c r="N401" s="1553"/>
      <c r="Q401" s="4" t="s">
        <v>205</v>
      </c>
      <c r="S401" s="1537"/>
      <c r="T401" s="1537"/>
      <c r="U401" s="1537"/>
      <c r="V401" t="s">
        <v>73</v>
      </c>
      <c r="AI401" s="1409" t="s">
        <v>668</v>
      </c>
      <c r="AJ401" s="1409"/>
    </row>
    <row r="402" spans="4:36" ht="13" customHeight="1">
      <c r="D402" t="s">
        <v>309</v>
      </c>
      <c r="Q402" s="1539"/>
      <c r="R402" s="1539"/>
      <c r="S402" s="1539"/>
      <c r="T402" s="1539"/>
      <c r="U402" s="1539"/>
      <c r="V402" t="s">
        <v>310</v>
      </c>
      <c r="AG402" s="1494"/>
      <c r="AH402" s="1494"/>
      <c r="AI402" s="1494"/>
      <c r="AJ402" s="1494"/>
    </row>
    <row r="403" spans="4:36" ht="13" customHeight="1">
      <c r="D403" t="s">
        <v>311</v>
      </c>
      <c r="Q403" s="1582"/>
      <c r="R403" s="1582"/>
      <c r="S403" s="1582"/>
      <c r="T403" s="1582"/>
      <c r="U403" s="1582"/>
      <c r="V403" t="s">
        <v>1161</v>
      </c>
      <c r="AG403" s="1494"/>
      <c r="AH403" s="1494"/>
      <c r="AI403" s="1494"/>
      <c r="AJ403" s="1494"/>
    </row>
    <row r="404" spans="4:36" ht="13" customHeight="1">
      <c r="D404" t="s">
        <v>1160</v>
      </c>
      <c r="AG404" s="1494"/>
      <c r="AH404" s="1494"/>
      <c r="AI404" s="1494"/>
      <c r="AJ404" s="1494"/>
    </row>
    <row r="405" spans="4:36" ht="13" customHeight="1">
      <c r="AG405" s="456"/>
      <c r="AH405" s="456"/>
      <c r="AI405" s="456"/>
      <c r="AJ405" s="456"/>
    </row>
    <row r="406" spans="4:36" ht="13" customHeight="1">
      <c r="D406" s="3" t="s">
        <v>2096</v>
      </c>
      <c r="AG406" s="456"/>
      <c r="AH406" s="456"/>
      <c r="AI406" s="1409" t="s">
        <v>668</v>
      </c>
      <c r="AJ406" s="1409"/>
    </row>
    <row r="407" spans="4:36" ht="13" customHeight="1">
      <c r="D407" s="3" t="s">
        <v>1654</v>
      </c>
      <c r="T407" s="1416"/>
      <c r="U407" s="1416"/>
      <c r="V407" s="1416"/>
      <c r="W407" s="1416"/>
      <c r="X407" s="1416"/>
      <c r="Y407" s="1416"/>
      <c r="Z407" s="1416"/>
      <c r="AA407" s="1416"/>
      <c r="AB407" s="1416"/>
      <c r="AC407" s="1416"/>
      <c r="AD407" s="1416"/>
      <c r="AE407" s="1416"/>
      <c r="AF407" s="1416"/>
      <c r="AG407" s="1416"/>
      <c r="AH407" s="1416"/>
      <c r="AI407" s="1416"/>
      <c r="AJ407" s="1416"/>
    </row>
    <row r="408" spans="4:36" ht="13" customHeight="1">
      <c r="D408" s="3" t="s">
        <v>1653</v>
      </c>
      <c r="T408" s="1416"/>
      <c r="U408" s="1416"/>
      <c r="V408" s="1416"/>
      <c r="W408" s="1416"/>
      <c r="X408" s="1416"/>
      <c r="Y408" s="1416"/>
      <c r="Z408" s="1416"/>
      <c r="AA408" s="1416"/>
      <c r="AB408" s="1416"/>
      <c r="AC408" s="1416"/>
      <c r="AD408" s="1416"/>
      <c r="AE408" s="1416"/>
      <c r="AF408" s="1416"/>
      <c r="AG408" s="1416"/>
      <c r="AH408" s="1416"/>
      <c r="AI408" s="1416"/>
      <c r="AJ408" s="1416"/>
    </row>
    <row r="409" spans="4:36" ht="13" customHeight="1">
      <c r="AG409" s="456"/>
      <c r="AH409" s="456"/>
      <c r="AI409" s="456"/>
      <c r="AJ409" s="456"/>
    </row>
    <row r="410" spans="4:36" ht="13" customHeight="1">
      <c r="D410" s="3" t="s">
        <v>1647</v>
      </c>
      <c r="S410" s="1416" t="s">
        <v>544</v>
      </c>
      <c r="T410" s="1416"/>
      <c r="U410" s="1416"/>
      <c r="V410" t="s">
        <v>1648</v>
      </c>
      <c r="AG410" s="1529">
        <v>99</v>
      </c>
      <c r="AH410" s="1529"/>
      <c r="AI410" s="1529"/>
      <c r="AJ410" s="1529"/>
    </row>
    <row r="411" spans="4:36" ht="13" customHeight="1">
      <c r="D411" s="3" t="s">
        <v>1645</v>
      </c>
      <c r="S411" s="1416" t="s">
        <v>544</v>
      </c>
      <c r="T411" s="1416"/>
      <c r="U411" s="1416"/>
      <c r="V411" t="s">
        <v>1650</v>
      </c>
      <c r="AE411" s="1519"/>
      <c r="AF411" s="1519"/>
      <c r="AG411" s="1519"/>
      <c r="AH411" s="1519"/>
      <c r="AI411" s="1519"/>
      <c r="AJ411" s="1519"/>
    </row>
    <row r="412" spans="4:36" ht="13" customHeight="1">
      <c r="D412" s="3" t="s">
        <v>1646</v>
      </c>
      <c r="K412" s="1525"/>
      <c r="L412" s="1525"/>
      <c r="M412" s="1525"/>
      <c r="N412" s="1525"/>
      <c r="O412" s="1525"/>
      <c r="P412" s="1525"/>
      <c r="Q412" s="1525"/>
      <c r="R412" s="1525"/>
      <c r="S412" s="1525"/>
      <c r="T412" s="1525"/>
      <c r="U412" s="1525"/>
      <c r="V412" s="1525"/>
      <c r="W412" s="1525"/>
      <c r="X412" s="1525"/>
      <c r="Y412" s="1525"/>
      <c r="Z412" s="1525"/>
      <c r="AA412" s="1525"/>
      <c r="AB412" s="1525"/>
      <c r="AC412" s="1525"/>
      <c r="AD412" s="1525"/>
      <c r="AE412" s="1525"/>
      <c r="AF412" s="1525"/>
      <c r="AG412" s="1525"/>
      <c r="AH412" s="1525"/>
      <c r="AI412" s="1525"/>
      <c r="AJ412" s="1525"/>
    </row>
    <row r="413" spans="4:36" ht="13" customHeight="1">
      <c r="D413" s="3" t="s">
        <v>1649</v>
      </c>
      <c r="K413" s="1525" t="s">
        <v>2767</v>
      </c>
      <c r="L413" s="1525"/>
      <c r="M413" s="1525"/>
      <c r="N413" s="1525"/>
      <c r="O413" s="1525"/>
      <c r="P413" s="1525"/>
      <c r="Q413" s="1525"/>
      <c r="R413" s="1525"/>
      <c r="S413" s="1525"/>
      <c r="T413" s="1525"/>
      <c r="U413" s="1525"/>
      <c r="V413" s="1525"/>
      <c r="W413" s="1525"/>
      <c r="X413" s="1525"/>
      <c r="Y413" s="1525"/>
      <c r="Z413" s="1525"/>
      <c r="AA413" s="1525"/>
      <c r="AB413" s="1525"/>
      <c r="AC413" s="1525"/>
      <c r="AD413" s="1525"/>
      <c r="AE413" s="1525"/>
      <c r="AF413" s="1525"/>
      <c r="AG413" s="1525"/>
      <c r="AH413" s="1525"/>
      <c r="AI413" s="1525"/>
      <c r="AJ413" s="1525"/>
    </row>
    <row r="414" spans="4:36" ht="13" customHeight="1">
      <c r="D414" s="3" t="s">
        <v>1652</v>
      </c>
      <c r="E414" s="477"/>
      <c r="F414" s="477"/>
      <c r="G414" s="477"/>
      <c r="H414" s="477"/>
      <c r="I414" s="477"/>
      <c r="J414" s="477"/>
      <c r="K414" s="477"/>
      <c r="L414" s="477"/>
      <c r="M414" s="477"/>
      <c r="N414" s="477"/>
      <c r="O414" s="477"/>
      <c r="P414" s="477"/>
      <c r="Q414" s="477"/>
      <c r="R414" s="477"/>
      <c r="S414" s="1535" t="s">
        <v>2768</v>
      </c>
      <c r="T414" s="1535"/>
      <c r="U414" s="1535"/>
      <c r="V414" s="1535"/>
      <c r="W414" s="1535"/>
      <c r="X414" s="1535"/>
      <c r="Y414" s="1535"/>
      <c r="Z414" s="1535"/>
      <c r="AA414" s="1535"/>
      <c r="AB414" s="1535"/>
      <c r="AC414" s="1535"/>
      <c r="AD414" s="1535"/>
      <c r="AE414" s="1535"/>
      <c r="AF414" s="1535"/>
      <c r="AG414" s="1535"/>
      <c r="AH414" s="1535"/>
      <c r="AI414" s="1535"/>
      <c r="AJ414" s="1535"/>
    </row>
    <row r="415" spans="4:36" ht="13" customHeight="1">
      <c r="D415" s="1272" t="s">
        <v>1651</v>
      </c>
      <c r="E415" s="1272"/>
      <c r="F415" s="1272"/>
      <c r="G415" s="1272"/>
      <c r="H415" s="1272"/>
      <c r="I415" s="1272"/>
      <c r="J415" s="1272"/>
      <c r="K415" s="1272"/>
      <c r="L415" s="1272"/>
      <c r="M415" s="1272"/>
      <c r="N415" s="1272"/>
      <c r="O415" s="1272"/>
      <c r="P415" s="1272"/>
      <c r="Q415" s="1272"/>
      <c r="R415" s="1272"/>
      <c r="S415" s="1272"/>
      <c r="T415" s="1272"/>
      <c r="U415" s="1272"/>
      <c r="V415" s="1272"/>
      <c r="W415" s="1272"/>
      <c r="X415" s="1272"/>
      <c r="Y415" s="1272"/>
      <c r="Z415" s="1272"/>
      <c r="AA415" s="1272"/>
      <c r="AB415" s="1272"/>
      <c r="AC415" s="1272"/>
      <c r="AD415" s="1272"/>
      <c r="AE415" s="1272"/>
      <c r="AF415" s="1272"/>
      <c r="AG415" s="1272"/>
      <c r="AH415" s="1272"/>
      <c r="AI415" s="1272"/>
      <c r="AJ415" s="1272"/>
    </row>
    <row r="416" spans="4:36" ht="13" customHeight="1">
      <c r="D416" s="1272"/>
      <c r="E416" s="1272"/>
      <c r="F416" s="1272"/>
      <c r="G416" s="1272"/>
      <c r="H416" s="1272"/>
      <c r="I416" s="1272"/>
      <c r="J416" s="1272"/>
      <c r="K416" s="1272"/>
      <c r="L416" s="1272"/>
      <c r="M416" s="1272"/>
      <c r="N416" s="1272"/>
      <c r="O416" s="1272"/>
      <c r="P416" s="1272"/>
      <c r="Q416" s="1272"/>
      <c r="R416" s="1272"/>
      <c r="S416" s="1272"/>
      <c r="T416" s="1272"/>
      <c r="U416" s="1272"/>
      <c r="V416" s="1272"/>
      <c r="W416" s="1272"/>
      <c r="X416" s="1272"/>
      <c r="Y416" s="1272"/>
      <c r="Z416" s="1272"/>
      <c r="AA416" s="1272"/>
      <c r="AB416" s="1272"/>
      <c r="AC416" s="1272"/>
      <c r="AD416" s="1272"/>
      <c r="AE416" s="1272"/>
      <c r="AF416" s="1272"/>
      <c r="AG416" s="1272"/>
      <c r="AH416" s="1272"/>
      <c r="AI416" s="1272"/>
      <c r="AJ416" s="1272"/>
    </row>
    <row r="417" spans="1:39" ht="13" customHeight="1">
      <c r="AG417" s="456"/>
      <c r="AH417" s="456"/>
      <c r="AI417" s="456"/>
      <c r="AJ417" s="456"/>
    </row>
    <row r="418" spans="1:39" ht="13" customHeight="1">
      <c r="A418" s="2" t="s">
        <v>588</v>
      </c>
      <c r="B418" s="2"/>
      <c r="C418" s="2" t="s">
        <v>111</v>
      </c>
    </row>
    <row r="419" spans="1:39" ht="13" customHeight="1">
      <c r="B419" s="2"/>
      <c r="C419" s="2"/>
      <c r="D419" s="2" t="s">
        <v>1202</v>
      </c>
      <c r="I419" s="1528" t="s">
        <v>2726</v>
      </c>
      <c r="J419" s="1528"/>
      <c r="K419" s="1528"/>
      <c r="L419" s="1528"/>
      <c r="M419" s="1528"/>
      <c r="N419" s="1528"/>
      <c r="O419" s="1528"/>
      <c r="P419" s="1528"/>
      <c r="Q419" s="1528"/>
      <c r="R419" s="1528"/>
      <c r="S419" s="1528"/>
      <c r="T419" s="1528"/>
      <c r="U419" s="1528"/>
      <c r="V419" s="1528"/>
      <c r="W419" s="1528"/>
      <c r="X419" s="1528"/>
      <c r="Y419" s="1528"/>
      <c r="Z419" s="1528"/>
      <c r="AA419" s="1528"/>
      <c r="AB419" s="1528"/>
      <c r="AC419" s="1528"/>
      <c r="AD419" s="1528"/>
      <c r="AE419" s="1528"/>
    </row>
    <row r="420" spans="1:39" ht="13" customHeight="1">
      <c r="E420" t="s">
        <v>106</v>
      </c>
      <c r="R420" s="1409" t="s">
        <v>544</v>
      </c>
      <c r="S420" s="1409"/>
      <c r="AC420" s="27" t="s">
        <v>569</v>
      </c>
      <c r="AD420" s="1374">
        <v>5</v>
      </c>
      <c r="AE420" s="1374"/>
    </row>
    <row r="421" spans="1:39" ht="13" customHeight="1">
      <c r="E421" t="s">
        <v>107</v>
      </c>
      <c r="R421" s="1409" t="s">
        <v>544</v>
      </c>
      <c r="S421" s="1409"/>
      <c r="AC421" s="27" t="s">
        <v>569</v>
      </c>
      <c r="AD421" s="1374">
        <v>3</v>
      </c>
      <c r="AE421" s="1374"/>
    </row>
    <row r="422" spans="1:39" ht="13" customHeight="1">
      <c r="E422" t="s">
        <v>108</v>
      </c>
      <c r="S422" s="1409" t="s">
        <v>590</v>
      </c>
      <c r="T422" s="1409"/>
    </row>
    <row r="423" spans="1:39" ht="13" customHeight="1">
      <c r="E423" t="s">
        <v>169</v>
      </c>
      <c r="H423" s="1583" t="s">
        <v>2727</v>
      </c>
      <c r="I423" s="1583"/>
      <c r="J423" s="1583"/>
      <c r="K423" s="1583"/>
      <c r="L423" s="1583"/>
      <c r="M423" s="1583"/>
      <c r="N423" s="1583"/>
      <c r="O423" s="1583"/>
      <c r="P423" s="1583"/>
      <c r="Q423" s="1583"/>
      <c r="R423" s="1583"/>
      <c r="S423" s="1583"/>
      <c r="T423" s="1583"/>
      <c r="U423" s="1583"/>
      <c r="V423" s="1583"/>
      <c r="W423" s="1583"/>
      <c r="X423" s="1583"/>
      <c r="Y423" s="1583"/>
      <c r="Z423" s="1583"/>
      <c r="AA423" s="1583"/>
      <c r="AB423" s="1583"/>
      <c r="AC423" s="1583"/>
      <c r="AD423" s="1583"/>
      <c r="AE423" s="1583"/>
    </row>
    <row r="424" spans="1:39" ht="13" customHeight="1">
      <c r="H424" s="1584"/>
      <c r="I424" s="1584"/>
      <c r="J424" s="1584"/>
      <c r="K424" s="1584"/>
      <c r="L424" s="1584"/>
      <c r="M424" s="1584"/>
      <c r="N424" s="1584"/>
      <c r="O424" s="1584"/>
      <c r="P424" s="1584"/>
      <c r="Q424" s="1584"/>
      <c r="R424" s="1584"/>
      <c r="S424" s="1584"/>
      <c r="T424" s="1584"/>
      <c r="U424" s="1584"/>
      <c r="V424" s="1584"/>
      <c r="W424" s="1584"/>
      <c r="X424" s="1584"/>
      <c r="Y424" s="1584"/>
      <c r="Z424" s="1584"/>
      <c r="AA424" s="1584"/>
      <c r="AB424" s="1584"/>
      <c r="AC424" s="1584"/>
      <c r="AD424" s="1584"/>
      <c r="AE424" s="1584"/>
    </row>
    <row r="425" spans="1:39" ht="13" customHeight="1"/>
    <row r="426" spans="1:39" ht="13" customHeight="1">
      <c r="A426" s="2" t="s">
        <v>589</v>
      </c>
      <c r="B426" s="2"/>
      <c r="C426" s="2"/>
      <c r="D426" s="2" t="s">
        <v>114</v>
      </c>
      <c r="AF426" s="2" t="s">
        <v>956</v>
      </c>
    </row>
    <row r="427" spans="1:39" ht="13" customHeight="1">
      <c r="E427" s="1520"/>
      <c r="F427" s="1520"/>
      <c r="G427" s="1520"/>
      <c r="H427" s="13" t="s">
        <v>115</v>
      </c>
      <c r="I427" s="1520"/>
      <c r="J427" s="1520"/>
      <c r="K427" s="1520"/>
      <c r="L427" t="s">
        <v>116</v>
      </c>
      <c r="N427" s="27" t="s">
        <v>574</v>
      </c>
      <c r="P427" s="1482">
        <v>2.99</v>
      </c>
      <c r="Q427" s="1482"/>
      <c r="R427" s="1482"/>
      <c r="S427" t="s">
        <v>117</v>
      </c>
      <c r="W427" s="1489">
        <f>IF(E427&gt;0,(E427*I427),(P427*43560))</f>
        <v>130244.40000000001</v>
      </c>
      <c r="X427" s="1489"/>
      <c r="Y427" s="1489"/>
      <c r="Z427" t="s">
        <v>118</v>
      </c>
      <c r="AF427" s="1595">
        <f>IFERROR(IF(P427&gt;0,(AG446/P427),(AG446/(W427/43560))),0)</f>
        <v>43.812709030100329</v>
      </c>
      <c r="AG427" s="1595"/>
      <c r="AH427" s="1595"/>
      <c r="AM427" s="3"/>
    </row>
    <row r="428" spans="1:39" ht="13" customHeight="1">
      <c r="E428" t="s">
        <v>51</v>
      </c>
    </row>
    <row r="429" spans="1:39" ht="13" customHeight="1">
      <c r="E429" s="1495"/>
      <c r="F429" s="1495"/>
      <c r="G429" s="1495"/>
      <c r="H429" s="1495"/>
      <c r="I429" s="1495"/>
      <c r="J429" s="1495"/>
      <c r="K429" s="1495"/>
      <c r="L429" s="1495"/>
      <c r="M429" s="1495"/>
      <c r="N429" s="1495"/>
      <c r="O429" s="1495"/>
      <c r="P429" s="1495"/>
      <c r="Q429" s="1495"/>
      <c r="R429" s="1495"/>
      <c r="S429" s="1495"/>
      <c r="T429" s="1495"/>
      <c r="U429" s="1495"/>
      <c r="V429" s="1495"/>
      <c r="W429" s="1495"/>
      <c r="X429" s="1495"/>
      <c r="Y429" s="1495"/>
      <c r="Z429" s="1495"/>
      <c r="AA429" s="1495"/>
      <c r="AB429" s="1495"/>
      <c r="AC429" s="1495"/>
      <c r="AD429" s="1495"/>
      <c r="AE429" s="1495"/>
      <c r="AF429" s="1495"/>
      <c r="AG429" s="1495"/>
      <c r="AH429" s="1495"/>
      <c r="AI429" s="1495"/>
      <c r="AJ429" s="1495"/>
    </row>
    <row r="430" spans="1:39" ht="13" customHeight="1">
      <c r="E430" s="118" t="s">
        <v>1723</v>
      </c>
      <c r="F430" s="1008"/>
      <c r="G430" s="1008"/>
      <c r="H430" s="1008"/>
      <c r="I430" s="1481">
        <v>2.99</v>
      </c>
      <c r="J430" s="1481"/>
      <c r="K430" s="1481"/>
      <c r="L430" s="1008"/>
      <c r="M430" s="118"/>
      <c r="N430" s="1008"/>
      <c r="O430" s="1008"/>
      <c r="P430" s="1821">
        <f>(DU763+DU786+DU808)/I430</f>
        <v>86.622073578595305</v>
      </c>
      <c r="Q430" s="1821"/>
      <c r="R430" s="1821"/>
      <c r="S430" s="118" t="s">
        <v>1724</v>
      </c>
      <c r="T430" s="1008"/>
      <c r="U430" s="1008"/>
      <c r="V430" s="1008"/>
      <c r="W430" s="1008"/>
      <c r="X430" s="1008"/>
      <c r="Y430" s="1008"/>
      <c r="Z430" s="1008"/>
      <c r="AA430" s="1008"/>
      <c r="AB430" s="1008"/>
      <c r="AC430" s="1008"/>
      <c r="AD430" s="1008"/>
      <c r="AE430" s="1008"/>
      <c r="AF430" s="1008"/>
      <c r="AG430" s="1008"/>
      <c r="AH430" s="1008"/>
      <c r="AI430" s="1008"/>
      <c r="AJ430" s="1008"/>
    </row>
    <row r="431" spans="1:39" ht="13" customHeight="1"/>
    <row r="432" spans="1:39" ht="13" customHeight="1">
      <c r="A432" s="2" t="s">
        <v>591</v>
      </c>
      <c r="B432" s="2"/>
      <c r="C432" s="2"/>
      <c r="D432" s="2" t="s">
        <v>120</v>
      </c>
    </row>
    <row r="433" spans="1:36" ht="13" customHeight="1">
      <c r="E433" t="s">
        <v>121</v>
      </c>
      <c r="P433" s="1409">
        <v>3</v>
      </c>
      <c r="Q433" s="1409"/>
      <c r="S433" t="s">
        <v>188</v>
      </c>
      <c r="AE433" s="1409">
        <v>3</v>
      </c>
      <c r="AF433" s="1409"/>
    </row>
    <row r="434" spans="1:36" ht="13" customHeight="1">
      <c r="E434" t="s">
        <v>189</v>
      </c>
      <c r="P434" s="1409">
        <v>0</v>
      </c>
      <c r="Q434" s="1409"/>
      <c r="S434" t="s">
        <v>131</v>
      </c>
      <c r="AE434" s="1409" t="s">
        <v>590</v>
      </c>
      <c r="AF434" s="1409"/>
    </row>
    <row r="435" spans="1:36" ht="13" customHeight="1">
      <c r="F435" s="28" t="s">
        <v>132</v>
      </c>
    </row>
    <row r="436" spans="1:36" ht="13" customHeight="1">
      <c r="F436" s="1533"/>
      <c r="G436" s="1533"/>
      <c r="H436" s="1533"/>
      <c r="I436" s="1533"/>
      <c r="J436" s="1533"/>
      <c r="K436" s="1533"/>
      <c r="L436" s="1533"/>
      <c r="M436" s="1533"/>
      <c r="N436" s="1533"/>
      <c r="O436" s="1533"/>
      <c r="P436" s="1533"/>
      <c r="Q436" s="1533"/>
      <c r="R436" s="1533"/>
      <c r="S436" s="1533"/>
      <c r="T436" s="1533"/>
      <c r="U436" s="1533"/>
      <c r="V436" s="1533"/>
      <c r="W436" s="1533"/>
      <c r="X436" s="1533"/>
      <c r="Y436" s="1533"/>
      <c r="Z436" s="1533"/>
      <c r="AA436" s="1533"/>
      <c r="AB436" s="1533"/>
      <c r="AC436" s="1533"/>
      <c r="AD436" s="1533"/>
      <c r="AE436" s="1533"/>
      <c r="AF436" s="1533"/>
      <c r="AG436" s="1533"/>
      <c r="AH436" s="1533"/>
    </row>
    <row r="437" spans="1:36" ht="13" customHeight="1">
      <c r="F437" s="1534"/>
      <c r="G437" s="1534"/>
      <c r="H437" s="1534"/>
      <c r="I437" s="1534"/>
      <c r="J437" s="1534"/>
      <c r="K437" s="1534"/>
      <c r="L437" s="1534"/>
      <c r="M437" s="1534"/>
      <c r="N437" s="1534"/>
      <c r="O437" s="1534"/>
      <c r="P437" s="1534"/>
      <c r="Q437" s="1534"/>
      <c r="R437" s="1534"/>
      <c r="S437" s="1534"/>
      <c r="T437" s="1534"/>
      <c r="U437" s="1534"/>
      <c r="V437" s="1534"/>
      <c r="W437" s="1534"/>
      <c r="X437" s="1534"/>
      <c r="Y437" s="1534"/>
      <c r="Z437" s="1534"/>
      <c r="AA437" s="1534"/>
      <c r="AB437" s="1534"/>
      <c r="AC437" s="1534"/>
      <c r="AD437" s="1534"/>
      <c r="AE437" s="1534"/>
      <c r="AF437" s="1534"/>
      <c r="AG437" s="1534"/>
      <c r="AH437" s="1534"/>
    </row>
    <row r="438" spans="1:36" ht="13" customHeight="1">
      <c r="E438" t="s">
        <v>607</v>
      </c>
      <c r="P438" s="1"/>
      <c r="Q438" s="1409" t="s">
        <v>544</v>
      </c>
      <c r="R438" s="1409"/>
    </row>
    <row r="439" spans="1:36" ht="13" customHeight="1">
      <c r="F439" t="s">
        <v>608</v>
      </c>
      <c r="P439" s="1"/>
      <c r="Q439" s="1"/>
      <c r="AF439" s="1409" t="s">
        <v>590</v>
      </c>
      <c r="AG439" s="1523"/>
    </row>
    <row r="440" spans="1:36" ht="13" customHeight="1"/>
    <row r="441" spans="1:36" ht="13" customHeight="1">
      <c r="A441" s="2"/>
      <c r="B441" s="2"/>
      <c r="C441" s="2"/>
      <c r="E441" s="4" t="s">
        <v>307</v>
      </c>
      <c r="Z441" s="1409" t="s">
        <v>668</v>
      </c>
      <c r="AA441" s="1409"/>
    </row>
    <row r="442" spans="1:36" ht="13" customHeight="1">
      <c r="F442" s="39" t="s">
        <v>44</v>
      </c>
      <c r="G442" s="40"/>
      <c r="H442" s="40"/>
      <c r="I442" s="40"/>
      <c r="J442" s="40"/>
      <c r="K442" s="40"/>
      <c r="L442" s="40"/>
      <c r="M442" s="40"/>
      <c r="N442" s="40"/>
      <c r="O442" s="40"/>
      <c r="P442" s="40"/>
      <c r="Q442" s="40"/>
      <c r="R442" s="40"/>
      <c r="S442" s="40"/>
      <c r="T442" s="40"/>
      <c r="U442" s="40"/>
      <c r="V442" s="40"/>
      <c r="W442" s="40"/>
      <c r="AB442" s="40"/>
    </row>
    <row r="443" spans="1:36" ht="13" customHeight="1">
      <c r="F443" t="s">
        <v>706</v>
      </c>
      <c r="G443" s="40"/>
      <c r="I443" s="40"/>
      <c r="J443" s="40"/>
      <c r="K443" s="40"/>
      <c r="L443" s="40"/>
      <c r="M443" s="40"/>
      <c r="N443" s="40"/>
      <c r="O443" s="28"/>
      <c r="P443" s="40"/>
      <c r="Q443" s="40"/>
      <c r="R443" s="40"/>
      <c r="S443" s="40"/>
      <c r="T443" s="40"/>
      <c r="U443" s="40"/>
      <c r="V443" s="40"/>
      <c r="W443" s="40"/>
      <c r="Z443" s="1409" t="s">
        <v>590</v>
      </c>
      <c r="AA443" s="1409"/>
    </row>
    <row r="444" spans="1:36" ht="13" customHeight="1"/>
    <row r="445" spans="1:36" ht="13" customHeight="1">
      <c r="A445" s="2" t="s">
        <v>466</v>
      </c>
      <c r="B445" s="2"/>
      <c r="C445" s="2"/>
      <c r="D445" s="2" t="s">
        <v>763</v>
      </c>
      <c r="AF445" s="48"/>
    </row>
    <row r="446" spans="1:36" ht="13" customHeight="1">
      <c r="D446" s="1497" t="s">
        <v>43</v>
      </c>
      <c r="E446" s="1487"/>
      <c r="F446" s="1487"/>
      <c r="G446" s="1487"/>
      <c r="H446" s="1487"/>
      <c r="I446" s="1487"/>
      <c r="J446" s="1487"/>
      <c r="K446" s="1487"/>
      <c r="L446" s="1487"/>
      <c r="M446" s="1487"/>
      <c r="N446" s="1487"/>
      <c r="O446" s="1487"/>
      <c r="P446" s="1487"/>
      <c r="Q446" s="1487"/>
      <c r="R446" s="1487"/>
      <c r="S446" s="1487"/>
      <c r="T446" s="1487"/>
      <c r="U446" s="1487"/>
      <c r="V446" s="1487"/>
      <c r="W446" s="1487"/>
      <c r="X446" s="1487"/>
      <c r="Y446" s="1487"/>
      <c r="Z446" s="1487"/>
      <c r="AA446" s="1487"/>
      <c r="AB446" s="1487"/>
      <c r="AC446" s="1487"/>
      <c r="AD446" s="1487"/>
      <c r="AE446" s="1487"/>
      <c r="AF446" s="1488"/>
      <c r="AG446" s="1437">
        <v>131</v>
      </c>
      <c r="AH446" s="1437"/>
      <c r="AI446" s="1437"/>
      <c r="AJ446" s="1437"/>
    </row>
    <row r="447" spans="1:36" ht="13" customHeight="1">
      <c r="D447" s="1486" t="s">
        <v>1220</v>
      </c>
      <c r="E447" s="1521"/>
      <c r="F447" s="1521"/>
      <c r="G447" s="1521"/>
      <c r="H447" s="1521"/>
      <c r="I447" s="1521"/>
      <c r="J447" s="1521"/>
      <c r="K447" s="1521"/>
      <c r="L447" s="1521"/>
      <c r="M447" s="1521"/>
      <c r="N447" s="1521"/>
      <c r="O447" s="1521"/>
      <c r="P447" s="1521"/>
      <c r="Q447" s="1521"/>
      <c r="R447" s="1521"/>
      <c r="S447" s="1521"/>
      <c r="T447" s="1521"/>
      <c r="U447" s="1521"/>
      <c r="V447" s="1521"/>
      <c r="W447" s="1521"/>
      <c r="X447" s="1521"/>
      <c r="Y447" s="1521"/>
      <c r="Z447" s="1521"/>
      <c r="AA447" s="1521"/>
      <c r="AB447" s="1521"/>
      <c r="AC447" s="1521"/>
      <c r="AD447" s="1521"/>
      <c r="AE447" s="1521"/>
      <c r="AF447" s="1522"/>
      <c r="AG447" s="1483">
        <v>0</v>
      </c>
      <c r="AH447" s="1484"/>
      <c r="AI447" s="1484"/>
      <c r="AJ447" s="1484"/>
    </row>
    <row r="448" spans="1:36" ht="13" customHeight="1">
      <c r="D448" s="1486" t="s">
        <v>1029</v>
      </c>
      <c r="E448" s="1521"/>
      <c r="F448" s="1521"/>
      <c r="G448" s="1521"/>
      <c r="H448" s="1521"/>
      <c r="I448" s="1521"/>
      <c r="J448" s="1521"/>
      <c r="K448" s="1521"/>
      <c r="L448" s="1521"/>
      <c r="M448" s="1521"/>
      <c r="N448" s="1521"/>
      <c r="O448" s="1521"/>
      <c r="P448" s="1521"/>
      <c r="Q448" s="1521"/>
      <c r="R448" s="1521"/>
      <c r="S448" s="1521"/>
      <c r="T448" s="1521"/>
      <c r="U448" s="1521"/>
      <c r="V448" s="1521"/>
      <c r="W448" s="1521"/>
      <c r="X448" s="1521"/>
      <c r="Y448" s="1521"/>
      <c r="Z448" s="1521"/>
      <c r="AA448" s="1521"/>
      <c r="AB448" s="1521"/>
      <c r="AC448" s="1521"/>
      <c r="AD448" s="1521"/>
      <c r="AE448" s="1521"/>
      <c r="AF448" s="1522"/>
      <c r="AG448" s="1437">
        <v>130</v>
      </c>
      <c r="AH448" s="1437"/>
      <c r="AI448" s="1437"/>
      <c r="AJ448" s="1437"/>
    </row>
    <row r="449" spans="4:55" ht="13" customHeight="1">
      <c r="D449" s="1486" t="s">
        <v>1030</v>
      </c>
      <c r="E449" s="1521"/>
      <c r="F449" s="1521"/>
      <c r="G449" s="1521"/>
      <c r="H449" s="1521"/>
      <c r="I449" s="1521"/>
      <c r="J449" s="1521"/>
      <c r="K449" s="1521"/>
      <c r="L449" s="1521"/>
      <c r="M449" s="1521"/>
      <c r="N449" s="1521"/>
      <c r="O449" s="1521"/>
      <c r="P449" s="1521"/>
      <c r="Q449" s="1521"/>
      <c r="R449" s="1521"/>
      <c r="S449" s="1521"/>
      <c r="T449" s="1521"/>
      <c r="U449" s="1521"/>
      <c r="V449" s="1521"/>
      <c r="W449" s="1521"/>
      <c r="X449" s="1521"/>
      <c r="Y449" s="1521"/>
      <c r="Z449" s="1521"/>
      <c r="AA449" s="1521"/>
      <c r="AB449" s="1521"/>
      <c r="AC449" s="1521"/>
      <c r="AD449" s="1521"/>
      <c r="AE449" s="1521"/>
      <c r="AF449" s="1522"/>
      <c r="AG449" s="1437">
        <v>130</v>
      </c>
      <c r="AH449" s="1437"/>
      <c r="AI449" s="1437"/>
      <c r="AJ449" s="1437"/>
    </row>
    <row r="450" spans="4:55" ht="13" customHeight="1">
      <c r="D450" s="1486" t="s">
        <v>1032</v>
      </c>
      <c r="E450" s="1521"/>
      <c r="F450" s="1521"/>
      <c r="G450" s="1521"/>
      <c r="H450" s="1521"/>
      <c r="I450" s="1521"/>
      <c r="J450" s="1521"/>
      <c r="K450" s="1521"/>
      <c r="L450" s="1521"/>
      <c r="M450" s="1521"/>
      <c r="N450" s="1521"/>
      <c r="O450" s="1521"/>
      <c r="P450" s="1521"/>
      <c r="Q450" s="1521"/>
      <c r="R450" s="1521"/>
      <c r="S450" s="1521"/>
      <c r="T450" s="1521"/>
      <c r="U450" s="1521"/>
      <c r="V450" s="1521"/>
      <c r="W450" s="1521"/>
      <c r="X450" s="1521"/>
      <c r="Y450" s="1521"/>
      <c r="Z450" s="1521"/>
      <c r="AA450" s="1521"/>
      <c r="AB450" s="1521"/>
      <c r="AC450" s="1521"/>
      <c r="AD450" s="1521"/>
      <c r="AE450" s="1521"/>
      <c r="AF450" s="1522"/>
      <c r="AG450" s="1425">
        <f>IF(ISERROR(AG449/AG448),0,AG449/AG448)</f>
        <v>1</v>
      </c>
      <c r="AH450" s="1425"/>
      <c r="AI450" s="1425"/>
      <c r="AJ450" s="1425"/>
    </row>
    <row r="451" spans="4:55" ht="13" customHeight="1">
      <c r="D451" s="1486" t="s">
        <v>1031</v>
      </c>
      <c r="E451" s="1521"/>
      <c r="F451" s="1521"/>
      <c r="G451" s="1521"/>
      <c r="H451" s="1521"/>
      <c r="I451" s="1521"/>
      <c r="J451" s="1521"/>
      <c r="K451" s="1521"/>
      <c r="L451" s="1521"/>
      <c r="M451" s="1521"/>
      <c r="N451" s="1521"/>
      <c r="O451" s="1521"/>
      <c r="P451" s="1521"/>
      <c r="Q451" s="1521"/>
      <c r="R451" s="1521"/>
      <c r="S451" s="1521"/>
      <c r="T451" s="1521"/>
      <c r="U451" s="1521"/>
      <c r="V451" s="1521"/>
      <c r="W451" s="1521"/>
      <c r="X451" s="1521"/>
      <c r="Y451" s="1521"/>
      <c r="Z451" s="1521"/>
      <c r="AA451" s="1521"/>
      <c r="AB451" s="1521"/>
      <c r="AC451" s="1521"/>
      <c r="AD451" s="1521"/>
      <c r="AE451" s="1521"/>
      <c r="AF451" s="1522"/>
      <c r="AG451" s="1454">
        <v>116798</v>
      </c>
      <c r="AH451" s="1454"/>
      <c r="AI451" s="1454"/>
      <c r="AJ451" s="1454"/>
    </row>
    <row r="452" spans="4:55" ht="13" customHeight="1">
      <c r="D452" s="1486" t="s">
        <v>1033</v>
      </c>
      <c r="E452" s="1521"/>
      <c r="F452" s="1521"/>
      <c r="G452" s="1521"/>
      <c r="H452" s="1521"/>
      <c r="I452" s="1521"/>
      <c r="J452" s="1521"/>
      <c r="K452" s="1521"/>
      <c r="L452" s="1521"/>
      <c r="M452" s="1521"/>
      <c r="N452" s="1521"/>
      <c r="O452" s="1521"/>
      <c r="P452" s="1521"/>
      <c r="Q452" s="1521"/>
      <c r="R452" s="1521"/>
      <c r="S452" s="1521"/>
      <c r="T452" s="1521"/>
      <c r="U452" s="1521"/>
      <c r="V452" s="1521"/>
      <c r="W452" s="1521"/>
      <c r="X452" s="1521"/>
      <c r="Y452" s="1521"/>
      <c r="Z452" s="1521"/>
      <c r="AA452" s="1521"/>
      <c r="AB452" s="1521"/>
      <c r="AC452" s="1521"/>
      <c r="AD452" s="1521"/>
      <c r="AE452" s="1521"/>
      <c r="AF452" s="1522"/>
      <c r="AG452" s="1454">
        <v>116798</v>
      </c>
      <c r="AH452" s="1454"/>
      <c r="AI452" s="1454"/>
      <c r="AJ452" s="1454"/>
    </row>
    <row r="453" spans="4:55" ht="13" customHeight="1">
      <c r="D453" s="1486" t="s">
        <v>1034</v>
      </c>
      <c r="E453" s="1521"/>
      <c r="F453" s="1521"/>
      <c r="G453" s="1521"/>
      <c r="H453" s="1521"/>
      <c r="I453" s="1521"/>
      <c r="J453" s="1521"/>
      <c r="K453" s="1521"/>
      <c r="L453" s="1521"/>
      <c r="M453" s="1521"/>
      <c r="N453" s="1521"/>
      <c r="O453" s="1521"/>
      <c r="P453" s="1521"/>
      <c r="Q453" s="1521"/>
      <c r="R453" s="1521"/>
      <c r="S453" s="1521"/>
      <c r="T453" s="1521"/>
      <c r="U453" s="1521"/>
      <c r="V453" s="1521"/>
      <c r="W453" s="1521"/>
      <c r="X453" s="1521"/>
      <c r="Y453" s="1521"/>
      <c r="Z453" s="1521"/>
      <c r="AA453" s="1521"/>
      <c r="AB453" s="1521"/>
      <c r="AC453" s="1521"/>
      <c r="AD453" s="1521"/>
      <c r="AE453" s="1521"/>
      <c r="AF453" s="1522"/>
      <c r="AG453" s="1425">
        <f>IF(ISERROR(AG452/AG451),0,AG452/AG451)</f>
        <v>1</v>
      </c>
      <c r="AH453" s="1425"/>
      <c r="AI453" s="1425"/>
      <c r="AJ453" s="1425"/>
    </row>
    <row r="454" spans="4:55" ht="13" customHeight="1">
      <c r="D454" s="1486" t="s">
        <v>1035</v>
      </c>
      <c r="E454" s="1521"/>
      <c r="F454" s="1521"/>
      <c r="G454" s="1521"/>
      <c r="H454" s="1521"/>
      <c r="I454" s="1521"/>
      <c r="J454" s="1521"/>
      <c r="K454" s="1521"/>
      <c r="L454" s="1521"/>
      <c r="M454" s="1521"/>
      <c r="N454" s="1521"/>
      <c r="O454" s="1521"/>
      <c r="P454" s="1521"/>
      <c r="Q454" s="1521"/>
      <c r="R454" s="1521"/>
      <c r="S454" s="1521"/>
      <c r="T454" s="1521"/>
      <c r="U454" s="1521"/>
      <c r="V454" s="1521"/>
      <c r="W454" s="1521"/>
      <c r="X454" s="1521"/>
      <c r="Y454" s="1521"/>
      <c r="Z454" s="1521"/>
      <c r="AA454" s="1521"/>
      <c r="AB454" s="1521"/>
      <c r="AC454" s="1521"/>
      <c r="AD454" s="1521"/>
      <c r="AE454" s="1521"/>
      <c r="AF454" s="1522"/>
      <c r="AG454" s="1425">
        <f>MIN(IF(AG450&gt;AG453,AG453,AG450),1)</f>
        <v>1</v>
      </c>
      <c r="AH454" s="1425"/>
      <c r="AI454" s="1425"/>
      <c r="AJ454" s="1425"/>
    </row>
    <row r="455" spans="4:55" ht="13" customHeight="1">
      <c r="D455" s="1486" t="s">
        <v>2041</v>
      </c>
      <c r="E455" s="1487"/>
      <c r="F455" s="1487"/>
      <c r="G455" s="1487"/>
      <c r="H455" s="1487"/>
      <c r="I455" s="1487"/>
      <c r="J455" s="1487"/>
      <c r="K455" s="1487"/>
      <c r="L455" s="1487"/>
      <c r="M455" s="1487"/>
      <c r="N455" s="1487"/>
      <c r="O455" s="1487"/>
      <c r="P455" s="1487"/>
      <c r="Q455" s="1487"/>
      <c r="R455" s="1487"/>
      <c r="S455" s="1487"/>
      <c r="T455" s="1487"/>
      <c r="U455" s="1487"/>
      <c r="V455" s="1487"/>
      <c r="W455" s="1487"/>
      <c r="X455" s="1487"/>
      <c r="Y455" s="1487"/>
      <c r="Z455" s="1487"/>
      <c r="AA455" s="1487"/>
      <c r="AB455" s="1487"/>
      <c r="AC455" s="1487"/>
      <c r="AD455" s="1487"/>
      <c r="AE455" s="1487"/>
      <c r="AF455" s="1488"/>
      <c r="AG455" s="1454">
        <v>8163</v>
      </c>
      <c r="AH455" s="1454"/>
      <c r="AI455" s="1454"/>
      <c r="AJ455" s="1454"/>
      <c r="AZ455" s="34"/>
      <c r="BA455" s="34"/>
      <c r="BB455" s="34"/>
      <c r="BC455" s="34"/>
    </row>
    <row r="456" spans="4:55" ht="13" customHeight="1">
      <c r="D456" s="1497" t="s">
        <v>568</v>
      </c>
      <c r="E456" s="1487"/>
      <c r="F456" s="1487"/>
      <c r="G456" s="1487"/>
      <c r="H456" s="1487"/>
      <c r="I456" s="1487"/>
      <c r="J456" s="1487"/>
      <c r="K456" s="1487"/>
      <c r="L456" s="1487"/>
      <c r="M456" s="1487"/>
      <c r="N456" s="1487"/>
      <c r="O456" s="1487"/>
      <c r="P456" s="1487"/>
      <c r="Q456" s="1487"/>
      <c r="R456" s="1487"/>
      <c r="S456" s="1487"/>
      <c r="T456" s="1487"/>
      <c r="U456" s="1487"/>
      <c r="V456" s="1487"/>
      <c r="W456" s="1487"/>
      <c r="X456" s="1487"/>
      <c r="Y456" s="1487"/>
      <c r="Z456" s="1487"/>
      <c r="AA456" s="1487"/>
      <c r="AB456" s="1487"/>
      <c r="AC456" s="1487"/>
      <c r="AD456" s="1487"/>
      <c r="AE456" s="1487"/>
      <c r="AF456" s="1488"/>
      <c r="AG456" s="1454">
        <v>0</v>
      </c>
      <c r="AH456" s="1454"/>
      <c r="AI456" s="1454"/>
      <c r="AJ456" s="1454"/>
      <c r="AZ456" s="3"/>
      <c r="BA456" s="3"/>
      <c r="BB456" s="3"/>
      <c r="BC456" s="3"/>
    </row>
    <row r="457" spans="4:55" ht="13" customHeight="1">
      <c r="D457" s="1486" t="s">
        <v>1203</v>
      </c>
      <c r="E457" s="1487"/>
      <c r="F457" s="1487"/>
      <c r="G457" s="1487"/>
      <c r="H457" s="1487"/>
      <c r="I457" s="1487"/>
      <c r="J457" s="1487"/>
      <c r="K457" s="1487"/>
      <c r="L457" s="1487"/>
      <c r="M457" s="1487"/>
      <c r="N457" s="1487"/>
      <c r="O457" s="1487"/>
      <c r="P457" s="1487"/>
      <c r="Q457" s="1487"/>
      <c r="R457" s="1487"/>
      <c r="S457" s="1487"/>
      <c r="T457" s="1487"/>
      <c r="U457" s="1487"/>
      <c r="V457" s="1487"/>
      <c r="W457" s="1487"/>
      <c r="X457" s="1487"/>
      <c r="Y457" s="1487"/>
      <c r="Z457" s="1487"/>
      <c r="AA457" s="1487"/>
      <c r="AB457" s="1487"/>
      <c r="AC457" s="1487"/>
      <c r="AD457" s="1487"/>
      <c r="AE457" s="1487"/>
      <c r="AF457" s="1488"/>
      <c r="AG457" s="1454">
        <v>30950</v>
      </c>
      <c r="AH457" s="1454"/>
      <c r="AI457" s="1454"/>
      <c r="AJ457" s="1454"/>
      <c r="AZ457" s="3"/>
      <c r="BA457" s="3"/>
      <c r="BB457" s="3"/>
      <c r="BC457" s="3"/>
    </row>
    <row r="458" spans="4:55" ht="13" customHeight="1">
      <c r="D458" s="1486" t="s">
        <v>1036</v>
      </c>
      <c r="E458" s="1487"/>
      <c r="F458" s="1487"/>
      <c r="G458" s="1487"/>
      <c r="H458" s="1487"/>
      <c r="I458" s="1487"/>
      <c r="J458" s="1487"/>
      <c r="K458" s="1487"/>
      <c r="L458" s="1487"/>
      <c r="M458" s="1487"/>
      <c r="N458" s="1487"/>
      <c r="O458" s="1487"/>
      <c r="P458" s="1487"/>
      <c r="Q458" s="1487"/>
      <c r="R458" s="1487"/>
      <c r="S458" s="1487"/>
      <c r="T458" s="1487"/>
      <c r="U458" s="1487"/>
      <c r="V458" s="1487"/>
      <c r="W458" s="1487"/>
      <c r="X458" s="1487"/>
      <c r="Y458" s="1487"/>
      <c r="Z458" s="1487"/>
      <c r="AA458" s="1487"/>
      <c r="AB458" s="1487"/>
      <c r="AC458" s="1487"/>
      <c r="AD458" s="1487"/>
      <c r="AE458" s="1487"/>
      <c r="AF458" s="1488"/>
      <c r="AG458" s="1454">
        <v>0</v>
      </c>
      <c r="AH458" s="1454"/>
      <c r="AI458" s="1454"/>
      <c r="AJ458" s="1454"/>
      <c r="BB458" s="3"/>
      <c r="BC458" s="3"/>
    </row>
    <row r="459" spans="4:55" ht="13" customHeight="1">
      <c r="D459" s="1579" t="s">
        <v>1037</v>
      </c>
      <c r="E459" s="1580"/>
      <c r="F459" s="1580"/>
      <c r="G459" s="1580"/>
      <c r="H459" s="1580"/>
      <c r="I459" s="1580"/>
      <c r="J459" s="1580"/>
      <c r="K459" s="1580"/>
      <c r="L459" s="1580"/>
      <c r="M459" s="1580"/>
      <c r="N459" s="1580"/>
      <c r="O459" s="1580"/>
      <c r="P459" s="1580"/>
      <c r="Q459" s="1580"/>
      <c r="R459" s="1580"/>
      <c r="S459" s="1580"/>
      <c r="T459" s="1580"/>
      <c r="U459" s="1580"/>
      <c r="V459" s="1580"/>
      <c r="W459" s="1580"/>
      <c r="X459" s="1580"/>
      <c r="Y459" s="1580"/>
      <c r="Z459" s="1580"/>
      <c r="AA459" s="1580"/>
      <c r="AB459" s="1580"/>
      <c r="AC459" s="1580"/>
      <c r="AD459" s="1580"/>
      <c r="AE459" s="1580"/>
      <c r="AF459" s="1581"/>
      <c r="AG459" s="1421">
        <f>AG451+AG455+AG457+AG458</f>
        <v>155911</v>
      </c>
      <c r="AH459" s="1421"/>
      <c r="AI459" s="1421"/>
      <c r="AJ459" s="1421"/>
      <c r="AZ459" s="3"/>
      <c r="BA459" s="3"/>
      <c r="BB459" s="3"/>
      <c r="BC459" s="3"/>
    </row>
    <row r="460" spans="4:55" ht="13" customHeight="1">
      <c r="D460" s="1461" t="s">
        <v>1204</v>
      </c>
      <c r="E460" s="1461"/>
      <c r="F460" s="1461"/>
      <c r="G460" s="1461"/>
      <c r="H460" s="1461"/>
      <c r="I460" s="1461"/>
      <c r="J460" s="1461"/>
      <c r="K460" s="1461"/>
      <c r="L460" s="1461"/>
      <c r="M460" s="1461"/>
      <c r="N460" s="1461"/>
      <c r="O460" s="1461"/>
      <c r="P460" s="1461"/>
      <c r="Q460" s="1461"/>
      <c r="R460" s="1461"/>
      <c r="S460" s="1461"/>
      <c r="T460" s="1461"/>
      <c r="U460" s="1461"/>
      <c r="V460" s="1461"/>
      <c r="W460" s="1461"/>
      <c r="X460" s="1461"/>
      <c r="Y460" s="1461"/>
      <c r="Z460" s="1461"/>
      <c r="AA460" s="1461"/>
      <c r="AB460" s="1461"/>
      <c r="AC460" s="1461"/>
      <c r="AD460" s="1461"/>
      <c r="AE460" s="1461"/>
      <c r="AF460" s="1461"/>
      <c r="AG460" s="1461"/>
      <c r="AH460" s="1461"/>
      <c r="AI460" s="1461"/>
      <c r="AJ460" s="1461"/>
      <c r="AZ460" s="3"/>
      <c r="BA460" s="3"/>
      <c r="BB460" s="3"/>
      <c r="BC460" s="3"/>
    </row>
    <row r="461" spans="4:55" ht="13" customHeight="1">
      <c r="D461" s="1462"/>
      <c r="E461" s="1462"/>
      <c r="F461" s="1462"/>
      <c r="G461" s="1462"/>
      <c r="H461" s="1462"/>
      <c r="I461" s="1462"/>
      <c r="J461" s="1462"/>
      <c r="K461" s="1462"/>
      <c r="L461" s="1462"/>
      <c r="M461" s="1462"/>
      <c r="N461" s="1462"/>
      <c r="O461" s="1462"/>
      <c r="P461" s="1462"/>
      <c r="Q461" s="1462"/>
      <c r="R461" s="1462"/>
      <c r="S461" s="1462"/>
      <c r="T461" s="1462"/>
      <c r="U461" s="1462"/>
      <c r="V461" s="1462"/>
      <c r="W461" s="1462"/>
      <c r="X461" s="1462"/>
      <c r="Y461" s="1462"/>
      <c r="Z461" s="1462"/>
      <c r="AA461" s="1462"/>
      <c r="AB461" s="1462"/>
      <c r="AC461" s="1462"/>
      <c r="AD461" s="1462"/>
      <c r="AE461" s="1462"/>
      <c r="AF461" s="1462"/>
      <c r="AG461" s="1462"/>
      <c r="AH461" s="1462"/>
      <c r="AI461" s="1462"/>
      <c r="AJ461" s="1462"/>
      <c r="AZ461" s="3"/>
      <c r="BA461" s="3"/>
      <c r="BB461" s="3"/>
      <c r="BC461" s="3"/>
    </row>
    <row r="462" spans="4:55" ht="13"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3" customHeight="1">
      <c r="D463" s="205" t="s">
        <v>813</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430">
        <f>IF(AG446=0,"",'Sources and Uses Budget'!B105/Application!AG446)</f>
        <v>514957.5496183206</v>
      </c>
      <c r="AD463" s="1430"/>
      <c r="AE463" s="1430"/>
      <c r="AF463" s="1430"/>
      <c r="AG463" s="177"/>
      <c r="AH463" s="177"/>
      <c r="AI463" s="177"/>
      <c r="AJ463" s="183"/>
      <c r="AZ463" s="3"/>
      <c r="BA463" s="3" t="str">
        <f>AG583</f>
        <v>Yes</v>
      </c>
      <c r="BB463" s="3"/>
      <c r="BC463" s="3"/>
    </row>
    <row r="464" spans="4:55" ht="13" customHeight="1">
      <c r="D464" s="205" t="s">
        <v>814</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430">
        <f>IF(AG446=0,"",'Sources and Uses Budget'!C105/Application!AG446)</f>
        <v>514957.5496183206</v>
      </c>
      <c r="AD464" s="1430"/>
      <c r="AE464" s="1430"/>
      <c r="AF464" s="1430"/>
      <c r="AG464" s="177"/>
      <c r="AH464" s="177"/>
      <c r="AI464" s="177"/>
      <c r="AJ464" s="183"/>
      <c r="AZ464" s="3"/>
      <c r="BA464" s="3"/>
      <c r="BB464" s="3"/>
      <c r="BC464" s="3"/>
    </row>
    <row r="465" spans="1:55" ht="13" customHeight="1">
      <c r="D465" s="205" t="s">
        <v>862</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430">
        <f>IF(AG446=0,"",('Sources and Uses Budget'!$S$107+'Sources and Uses Budget'!$T$107)/Application!AG446)</f>
        <v>506341.69465648854</v>
      </c>
      <c r="AD465" s="1430"/>
      <c r="AE465" s="1430"/>
      <c r="AF465" s="1430"/>
      <c r="AG465" s="177"/>
      <c r="AH465" s="177"/>
      <c r="AI465" s="177"/>
      <c r="AJ465" s="183"/>
      <c r="AZ465" s="3"/>
      <c r="BA465" s="3"/>
      <c r="BB465" s="3"/>
      <c r="BC465" s="3"/>
    </row>
    <row r="466" spans="1:55" ht="13"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3" customHeight="1">
      <c r="A467" s="2" t="s">
        <v>612</v>
      </c>
      <c r="D467" s="2" t="s">
        <v>247</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3" customHeight="1">
      <c r="D468" s="184" t="s">
        <v>1848</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3" customHeight="1">
      <c r="D469" s="184" t="s">
        <v>1849</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3" customHeight="1">
      <c r="D470" s="184" t="s">
        <v>1850</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3"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3" customHeight="1">
      <c r="A472" s="3"/>
      <c r="B472" s="3"/>
      <c r="C472" s="3"/>
      <c r="D472" s="185" t="s">
        <v>691</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384" t="s">
        <v>2053</v>
      </c>
      <c r="E473" s="1423"/>
      <c r="F473" s="1423"/>
      <c r="G473" s="1423"/>
      <c r="H473" s="1423"/>
      <c r="I473" s="1423"/>
      <c r="J473" s="1423"/>
      <c r="K473" s="1423"/>
      <c r="L473" s="1423"/>
      <c r="M473" s="1423"/>
      <c r="N473" s="1423"/>
      <c r="O473" s="1423"/>
      <c r="P473" s="1423"/>
      <c r="Q473" s="1423"/>
      <c r="R473" s="1423"/>
      <c r="S473" s="1423"/>
      <c r="T473" s="1423"/>
      <c r="U473" s="1423"/>
      <c r="V473" s="1424"/>
      <c r="W473" s="1387">
        <v>0</v>
      </c>
      <c r="X473" s="1388"/>
      <c r="Y473" s="1389"/>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1422" t="s">
        <v>692</v>
      </c>
      <c r="E474" s="1423"/>
      <c r="F474" s="1423"/>
      <c r="G474" s="1423"/>
      <c r="H474" s="1423"/>
      <c r="I474" s="1423"/>
      <c r="J474" s="1423"/>
      <c r="K474" s="1423"/>
      <c r="L474" s="1423"/>
      <c r="M474" s="1423"/>
      <c r="N474" s="1423"/>
      <c r="O474" s="1423"/>
      <c r="P474" s="1423"/>
      <c r="Q474" s="1423"/>
      <c r="R474" s="1423"/>
      <c r="S474" s="1423"/>
      <c r="T474" s="1423"/>
      <c r="U474" s="1423"/>
      <c r="V474" s="1424"/>
      <c r="W474" s="1387">
        <v>0</v>
      </c>
      <c r="X474" s="1388"/>
      <c r="Y474" s="1389"/>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1422" t="s">
        <v>693</v>
      </c>
      <c r="E475" s="1423"/>
      <c r="F475" s="1423"/>
      <c r="G475" s="1423"/>
      <c r="H475" s="1423"/>
      <c r="I475" s="1423"/>
      <c r="J475" s="1423"/>
      <c r="K475" s="1423"/>
      <c r="L475" s="1423"/>
      <c r="M475" s="1423"/>
      <c r="N475" s="1423"/>
      <c r="O475" s="1423"/>
      <c r="P475" s="1423"/>
      <c r="Q475" s="1423"/>
      <c r="R475" s="1423"/>
      <c r="S475" s="1423"/>
      <c r="T475" s="1423"/>
      <c r="U475" s="1423"/>
      <c r="V475" s="1424"/>
      <c r="W475" s="1387">
        <v>0</v>
      </c>
      <c r="X475" s="1388"/>
      <c r="Y475" s="1389"/>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1422" t="s">
        <v>694</v>
      </c>
      <c r="E476" s="1423"/>
      <c r="F476" s="1423"/>
      <c r="G476" s="1423"/>
      <c r="H476" s="1423"/>
      <c r="I476" s="1423"/>
      <c r="J476" s="1423"/>
      <c r="K476" s="1423"/>
      <c r="L476" s="1423"/>
      <c r="M476" s="1423"/>
      <c r="N476" s="1423"/>
      <c r="O476" s="1423"/>
      <c r="P476" s="1423"/>
      <c r="Q476" s="1423"/>
      <c r="R476" s="1423"/>
      <c r="S476" s="1423"/>
      <c r="T476" s="1423"/>
      <c r="U476" s="1423"/>
      <c r="V476" s="1424"/>
      <c r="W476" s="1387">
        <v>0</v>
      </c>
      <c r="X476" s="1388"/>
      <c r="Y476" s="1389"/>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1422" t="s">
        <v>880</v>
      </c>
      <c r="E477" s="1423"/>
      <c r="F477" s="1423"/>
      <c r="G477" s="1423"/>
      <c r="H477" s="1423"/>
      <c r="I477" s="1423"/>
      <c r="J477" s="1423"/>
      <c r="K477" s="1423"/>
      <c r="L477" s="1423"/>
      <c r="M477" s="1423"/>
      <c r="N477" s="1423"/>
      <c r="O477" s="1423"/>
      <c r="P477" s="1423"/>
      <c r="Q477" s="1423"/>
      <c r="R477" s="1423"/>
      <c r="S477" s="1423"/>
      <c r="T477" s="1423"/>
      <c r="U477" s="1423"/>
      <c r="V477" s="1424"/>
      <c r="W477" s="1387">
        <v>0</v>
      </c>
      <c r="X477" s="1388"/>
      <c r="Y477" s="1389"/>
      <c r="Z477" s="184"/>
      <c r="AA477" s="184"/>
      <c r="AB477" s="184"/>
      <c r="AC477" s="184"/>
      <c r="AD477" s="177"/>
      <c r="AE477" s="177"/>
      <c r="AF477" s="177"/>
      <c r="AG477" s="177"/>
      <c r="AH477" s="177"/>
      <c r="AI477" s="177"/>
      <c r="AJ477" s="183"/>
      <c r="AZ477" s="3"/>
      <c r="BA477" s="3" t="str">
        <f>N599</f>
        <v>Yes</v>
      </c>
      <c r="BB477" s="3"/>
      <c r="BC477" s="3"/>
    </row>
    <row r="478" spans="1:55" ht="13" customHeight="1">
      <c r="A478" s="3"/>
      <c r="B478" s="3"/>
      <c r="C478" s="3"/>
      <c r="D478" s="1422" t="s">
        <v>695</v>
      </c>
      <c r="E478" s="1423"/>
      <c r="F478" s="1423"/>
      <c r="G478" s="1423"/>
      <c r="H478" s="1423"/>
      <c r="I478" s="1423"/>
      <c r="J478" s="1423"/>
      <c r="K478" s="1423"/>
      <c r="L478" s="1423"/>
      <c r="M478" s="1423"/>
      <c r="N478" s="1423"/>
      <c r="O478" s="1423"/>
      <c r="P478" s="1423"/>
      <c r="Q478" s="1423"/>
      <c r="R478" s="1423"/>
      <c r="S478" s="1423"/>
      <c r="T478" s="1423"/>
      <c r="U478" s="1423"/>
      <c r="V478" s="1424"/>
      <c r="W478" s="1387">
        <v>0</v>
      </c>
      <c r="X478" s="1388"/>
      <c r="Y478" s="1389"/>
      <c r="Z478" s="184"/>
      <c r="AA478" s="184"/>
      <c r="AB478" s="184"/>
      <c r="AC478" s="184"/>
      <c r="AD478" s="177"/>
      <c r="AE478" s="177"/>
      <c r="AF478" s="177"/>
      <c r="AG478" s="177"/>
      <c r="AH478" s="177"/>
      <c r="AI478" s="177"/>
      <c r="AJ478" s="183"/>
      <c r="AZ478" s="3"/>
      <c r="BA478" s="3" t="str">
        <f>AG599</f>
        <v>Yes</v>
      </c>
      <c r="BB478" s="3"/>
      <c r="BC478" s="3"/>
    </row>
    <row r="479" spans="1:55" ht="13" customHeight="1">
      <c r="A479" s="3"/>
      <c r="B479" s="3"/>
      <c r="C479" s="3"/>
      <c r="D479" s="1422" t="s">
        <v>1010</v>
      </c>
      <c r="E479" s="1423"/>
      <c r="F479" s="1423"/>
      <c r="G479" s="1423"/>
      <c r="H479" s="1423"/>
      <c r="I479" s="1423"/>
      <c r="J479" s="1423"/>
      <c r="K479" s="1423"/>
      <c r="L479" s="1423"/>
      <c r="M479" s="1423"/>
      <c r="N479" s="1423"/>
      <c r="O479" s="1423"/>
      <c r="P479" s="1423"/>
      <c r="Q479" s="1423"/>
      <c r="R479" s="1423"/>
      <c r="S479" s="1423"/>
      <c r="T479" s="1423"/>
      <c r="U479" s="1423"/>
      <c r="V479" s="1424"/>
      <c r="W479" s="1387">
        <v>0</v>
      </c>
      <c r="X479" s="1388"/>
      <c r="Y479" s="1389"/>
      <c r="Z479" s="184"/>
      <c r="AA479" s="184"/>
      <c r="AB479" s="184"/>
      <c r="AC479" s="184"/>
      <c r="AD479" s="177"/>
      <c r="AE479" s="177"/>
      <c r="AF479" s="177"/>
      <c r="AG479" s="177"/>
      <c r="AH479" s="177"/>
      <c r="AI479" s="177"/>
      <c r="AJ479" s="183"/>
      <c r="AZ479" s="3"/>
      <c r="BA479" s="3"/>
      <c r="BB479" s="3"/>
      <c r="BC479" s="3"/>
    </row>
    <row r="480" spans="1:55" ht="13" customHeight="1">
      <c r="A480" s="3"/>
      <c r="B480" s="3"/>
      <c r="C480" s="3"/>
      <c r="D480" s="1384" t="s">
        <v>2143</v>
      </c>
      <c r="E480" s="1385"/>
      <c r="F480" s="1385"/>
      <c r="G480" s="1385"/>
      <c r="H480" s="1385"/>
      <c r="I480" s="1385"/>
      <c r="J480" s="1385"/>
      <c r="K480" s="1385"/>
      <c r="L480" s="1385"/>
      <c r="M480" s="1385"/>
      <c r="N480" s="1385"/>
      <c r="O480" s="1385"/>
      <c r="P480" s="1385"/>
      <c r="Q480" s="1385"/>
      <c r="R480" s="1385"/>
      <c r="S480" s="1385"/>
      <c r="T480" s="1385"/>
      <c r="U480" s="1385"/>
      <c r="V480" s="1386"/>
      <c r="W480" s="1387">
        <v>0</v>
      </c>
      <c r="X480" s="1388"/>
      <c r="Y480" s="1389"/>
      <c r="Z480" s="184"/>
      <c r="AA480" s="184"/>
      <c r="AB480" s="184"/>
      <c r="AC480" s="184"/>
      <c r="AD480" s="177"/>
      <c r="AE480" s="177"/>
      <c r="AF480" s="177"/>
      <c r="AG480" s="177"/>
      <c r="AH480" s="177"/>
      <c r="AI480" s="177"/>
      <c r="AJ480" s="183"/>
      <c r="AZ480" s="3"/>
      <c r="BA480" s="3"/>
      <c r="BB480" s="3"/>
      <c r="BC480" s="3"/>
    </row>
    <row r="481" spans="1:55" ht="13" customHeight="1">
      <c r="A481" s="3"/>
      <c r="B481" s="3"/>
      <c r="C481" s="3"/>
      <c r="D481" s="1384" t="s">
        <v>1641</v>
      </c>
      <c r="E481" s="1423"/>
      <c r="F481" s="1423"/>
      <c r="G481" s="1423"/>
      <c r="H481" s="1423"/>
      <c r="I481" s="1423"/>
      <c r="J481" s="1423"/>
      <c r="K481" s="1423"/>
      <c r="L481" s="1423"/>
      <c r="M481" s="1423"/>
      <c r="N481" s="1423"/>
      <c r="O481" s="1423"/>
      <c r="P481" s="1423"/>
      <c r="Q481" s="1423"/>
      <c r="R481" s="1423"/>
      <c r="S481" s="1423"/>
      <c r="T481" s="1423"/>
      <c r="U481" s="1423"/>
      <c r="V481" s="1424"/>
      <c r="W481" s="1387">
        <v>20</v>
      </c>
      <c r="X481" s="1388"/>
      <c r="Y481" s="1389"/>
      <c r="Z481" s="184"/>
      <c r="AA481" s="184"/>
      <c r="AB481" s="184"/>
      <c r="AC481" s="184"/>
      <c r="AD481" s="177"/>
      <c r="AE481" s="177"/>
      <c r="AF481" s="177"/>
      <c r="AG481" s="177"/>
      <c r="AH481" s="177"/>
      <c r="AI481" s="177"/>
      <c r="AJ481" s="183"/>
      <c r="AZ481" s="3"/>
      <c r="BA481" s="3"/>
      <c r="BB481" s="3"/>
      <c r="BC481" s="3"/>
    </row>
    <row r="482" spans="1:55" ht="13" customHeight="1">
      <c r="A482" s="3"/>
      <c r="B482" s="3"/>
      <c r="C482" s="3"/>
      <c r="D482" s="243" t="s">
        <v>169</v>
      </c>
      <c r="E482" s="244"/>
      <c r="F482" s="245"/>
      <c r="G482" s="1838" t="s">
        <v>2728</v>
      </c>
      <c r="H482" s="1839"/>
      <c r="I482" s="1839"/>
      <c r="J482" s="1839"/>
      <c r="K482" s="1839"/>
      <c r="L482" s="1839"/>
      <c r="M482" s="1839"/>
      <c r="N482" s="1839"/>
      <c r="O482" s="1839"/>
      <c r="P482" s="1839"/>
      <c r="Q482" s="1839"/>
      <c r="R482" s="1839"/>
      <c r="S482" s="1839"/>
      <c r="T482" s="1839"/>
      <c r="U482" s="1839"/>
      <c r="V482" s="1840"/>
      <c r="W482" s="1387">
        <v>130</v>
      </c>
      <c r="X482" s="1388"/>
      <c r="Y482" s="1389"/>
      <c r="Z482" s="184"/>
      <c r="AA482" s="184"/>
      <c r="AB482" s="184"/>
      <c r="AC482" s="184"/>
      <c r="AD482" s="177"/>
      <c r="AE482" s="177"/>
      <c r="AF482" s="177"/>
      <c r="AG482" s="177"/>
      <c r="AH482" s="177"/>
      <c r="AI482" s="177"/>
      <c r="AJ482" s="183"/>
      <c r="AZ482" s="3"/>
      <c r="BA482" s="3"/>
      <c r="BB482" s="3"/>
      <c r="BC482" s="3"/>
    </row>
    <row r="483" spans="1:55" ht="13" customHeight="1">
      <c r="A483" s="3"/>
      <c r="B483" s="3"/>
      <c r="C483" s="3"/>
      <c r="D483" s="246" t="s">
        <v>881</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3"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3"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3"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3" customHeight="1">
      <c r="AU487" s="95"/>
      <c r="AV487" s="95"/>
      <c r="AW487" s="95"/>
      <c r="AX487" s="95"/>
      <c r="AY487" s="95"/>
      <c r="AZ487" s="3"/>
      <c r="BA487" s="3" t="str">
        <f>AG607</f>
        <v>No</v>
      </c>
      <c r="BB487" s="3"/>
      <c r="BC487" s="3"/>
    </row>
    <row r="488" spans="1:55" ht="13" customHeight="1">
      <c r="A488" s="1544" t="s">
        <v>809</v>
      </c>
      <c r="B488" s="1544"/>
      <c r="C488" s="1544"/>
      <c r="D488" s="1544"/>
      <c r="E488" s="1544"/>
      <c r="F488" s="1544"/>
      <c r="G488" s="1544"/>
      <c r="H488" s="1544"/>
      <c r="I488" s="1544"/>
      <c r="J488" s="1544"/>
      <c r="K488" s="1544"/>
      <c r="L488" s="1544"/>
      <c r="M488" s="1544"/>
      <c r="N488" s="1544"/>
      <c r="O488" s="1544"/>
      <c r="P488" s="1544"/>
      <c r="Q488" s="1544"/>
      <c r="R488" s="1544"/>
      <c r="S488" s="1544"/>
      <c r="T488" s="1544"/>
      <c r="U488" s="1544"/>
      <c r="V488" s="1544"/>
      <c r="W488" s="1544"/>
      <c r="X488" s="1544"/>
      <c r="Y488" s="1544"/>
      <c r="Z488" s="1544"/>
      <c r="AA488" s="1544"/>
      <c r="AB488" s="1544"/>
      <c r="AC488" s="1544"/>
      <c r="AD488" s="1544"/>
      <c r="AE488" s="1544"/>
      <c r="AF488" s="1544"/>
      <c r="AG488" s="1544"/>
      <c r="AH488" s="1544"/>
      <c r="AI488" s="1544"/>
      <c r="AJ488" s="1544"/>
      <c r="AK488" s="1544"/>
      <c r="AL488" s="1544"/>
      <c r="AM488" s="1544"/>
      <c r="AN488" s="1544"/>
      <c r="AO488" s="1544"/>
      <c r="AP488" s="1544"/>
      <c r="AQ488" s="1544"/>
      <c r="AR488" s="1544"/>
      <c r="AS488" s="1544"/>
      <c r="AT488" s="1544"/>
      <c r="AU488" s="95"/>
      <c r="AV488" s="95"/>
      <c r="AW488" s="95"/>
      <c r="AX488" s="95"/>
      <c r="AY488" s="95"/>
      <c r="AZ488" s="3"/>
      <c r="BB488" s="3"/>
      <c r="BC488" s="3"/>
    </row>
    <row r="489" spans="1:55" ht="13" customHeight="1">
      <c r="A489" s="1544"/>
      <c r="B489" s="1544"/>
      <c r="C489" s="1544"/>
      <c r="D489" s="1544"/>
      <c r="E489" s="1544"/>
      <c r="F489" s="1544"/>
      <c r="G489" s="1544"/>
      <c r="H489" s="1544"/>
      <c r="I489" s="1544"/>
      <c r="J489" s="1544"/>
      <c r="K489" s="1544"/>
      <c r="L489" s="1544"/>
      <c r="M489" s="1544"/>
      <c r="N489" s="1544"/>
      <c r="O489" s="1544"/>
      <c r="P489" s="1544"/>
      <c r="Q489" s="1544"/>
      <c r="R489" s="1544"/>
      <c r="S489" s="1544"/>
      <c r="T489" s="1544"/>
      <c r="U489" s="1544"/>
      <c r="V489" s="1544"/>
      <c r="W489" s="1544"/>
      <c r="X489" s="1544"/>
      <c r="Y489" s="1544"/>
      <c r="Z489" s="1544"/>
      <c r="AA489" s="1544"/>
      <c r="AB489" s="1544"/>
      <c r="AC489" s="1544"/>
      <c r="AD489" s="1544"/>
      <c r="AE489" s="1544"/>
      <c r="AF489" s="1544"/>
      <c r="AG489" s="1544"/>
      <c r="AH489" s="1544"/>
      <c r="AI489" s="1544"/>
      <c r="AJ489" s="1544"/>
      <c r="AK489" s="1544"/>
      <c r="AL489" s="1544"/>
      <c r="AM489" s="1544"/>
      <c r="AN489" s="1544"/>
      <c r="AO489" s="1544"/>
      <c r="AP489" s="1544"/>
      <c r="AQ489" s="1544"/>
      <c r="AR489" s="1544"/>
      <c r="AS489" s="1544"/>
      <c r="AT489" s="1544"/>
      <c r="AZ489" s="3"/>
      <c r="BB489" s="3"/>
      <c r="BC489" s="3"/>
    </row>
    <row r="490" spans="1:55" ht="13" customHeight="1">
      <c r="AZ490" s="3"/>
      <c r="BB490" s="3"/>
      <c r="BC490" s="3"/>
    </row>
    <row r="491" spans="1:55" ht="13" customHeight="1">
      <c r="A491" s="2" t="s">
        <v>318</v>
      </c>
      <c r="C491" s="2" t="s">
        <v>807</v>
      </c>
      <c r="AZ491" s="3"/>
      <c r="BB491" s="3"/>
      <c r="BC491" s="3"/>
    </row>
    <row r="492" spans="1:55" ht="13" customHeight="1">
      <c r="AZ492" s="3"/>
      <c r="BB492" s="3"/>
      <c r="BC492" s="3"/>
    </row>
    <row r="493" spans="1:55" ht="13" customHeight="1">
      <c r="B493" s="45"/>
      <c r="C493" s="5"/>
      <c r="D493" s="5"/>
      <c r="E493" s="5"/>
      <c r="F493" s="5"/>
      <c r="G493" s="5"/>
      <c r="H493" s="5"/>
      <c r="I493" s="5"/>
      <c r="J493" s="5"/>
      <c r="K493" s="5"/>
      <c r="L493" s="5"/>
      <c r="M493" s="5"/>
      <c r="N493" s="5"/>
      <c r="O493" s="5"/>
      <c r="P493" s="46"/>
      <c r="Q493" s="1438" t="s">
        <v>392</v>
      </c>
      <c r="R493" s="1439"/>
      <c r="S493" s="1439"/>
      <c r="T493" s="1439"/>
      <c r="U493" s="1439"/>
      <c r="V493" s="1439"/>
      <c r="W493" s="1439"/>
      <c r="X493" s="1439"/>
      <c r="Y493" s="1439"/>
      <c r="Z493" s="1439"/>
      <c r="AA493" s="1439"/>
      <c r="AB493" s="1439"/>
      <c r="AC493" s="1439"/>
      <c r="AD493" s="1439"/>
      <c r="AE493" s="1439"/>
      <c r="AF493" s="1439"/>
      <c r="AG493" s="1439"/>
      <c r="AH493" s="1439"/>
      <c r="AI493" s="1439"/>
      <c r="AJ493" s="1439"/>
      <c r="AK493" s="1440"/>
      <c r="AZ493" s="3"/>
      <c r="BB493" s="3"/>
      <c r="BC493" s="3"/>
    </row>
    <row r="494" spans="1:55" ht="13" customHeight="1">
      <c r="B494" s="45" t="s">
        <v>393</v>
      </c>
      <c r="C494" s="5"/>
      <c r="D494" s="5"/>
      <c r="E494" s="5"/>
      <c r="F494" s="5"/>
      <c r="G494" s="5"/>
      <c r="H494" s="5"/>
      <c r="I494" s="5"/>
      <c r="J494" s="5"/>
      <c r="K494" s="5"/>
      <c r="L494" s="5"/>
      <c r="M494" s="5"/>
      <c r="N494" s="5"/>
      <c r="O494" s="5"/>
      <c r="P494" s="5"/>
      <c r="Q494" s="1427" t="s">
        <v>2729</v>
      </c>
      <c r="R494" s="1428"/>
      <c r="S494" s="1428"/>
      <c r="T494" s="1428"/>
      <c r="U494" s="1428"/>
      <c r="V494" s="1428"/>
      <c r="W494" s="1428"/>
      <c r="X494" s="1428"/>
      <c r="Y494" s="1428"/>
      <c r="Z494" s="1428"/>
      <c r="AA494" s="1428"/>
      <c r="AB494" s="1428"/>
      <c r="AC494" s="1428"/>
      <c r="AD494" s="1428"/>
      <c r="AE494" s="1428"/>
      <c r="AF494" s="1428"/>
      <c r="AG494" s="1428"/>
      <c r="AH494" s="1428"/>
      <c r="AI494" s="1428"/>
      <c r="AJ494" s="1428"/>
      <c r="AK494" s="1429"/>
      <c r="AZ494" s="3"/>
      <c r="BB494" s="3"/>
      <c r="BC494" s="3"/>
    </row>
    <row r="495" spans="1:55" ht="13" customHeight="1">
      <c r="B495" s="45" t="s">
        <v>394</v>
      </c>
      <c r="C495" s="5"/>
      <c r="D495" s="5"/>
      <c r="E495" s="5"/>
      <c r="F495" s="5"/>
      <c r="G495" s="5"/>
      <c r="H495" s="5"/>
      <c r="I495" s="5"/>
      <c r="J495" s="5"/>
      <c r="K495" s="5"/>
      <c r="L495" s="5"/>
      <c r="M495" s="5"/>
      <c r="N495" s="5"/>
      <c r="O495" s="5"/>
      <c r="P495" s="5"/>
      <c r="Q495" s="1427" t="s">
        <v>2730</v>
      </c>
      <c r="R495" s="1428"/>
      <c r="S495" s="1428"/>
      <c r="T495" s="1428"/>
      <c r="U495" s="1428"/>
      <c r="V495" s="1428"/>
      <c r="W495" s="1428"/>
      <c r="X495" s="1428"/>
      <c r="Y495" s="1428"/>
      <c r="Z495" s="1428"/>
      <c r="AA495" s="1428"/>
      <c r="AB495" s="1428"/>
      <c r="AC495" s="1428"/>
      <c r="AD495" s="1428"/>
      <c r="AE495" s="1428"/>
      <c r="AF495" s="1428"/>
      <c r="AG495" s="1428"/>
      <c r="AH495" s="1428"/>
      <c r="AI495" s="1428"/>
      <c r="AJ495" s="1428"/>
      <c r="AK495" s="1429"/>
      <c r="AZ495" s="3"/>
      <c r="BB495" s="3"/>
      <c r="BC495" s="3"/>
    </row>
    <row r="496" spans="1:55" ht="13" customHeight="1">
      <c r="B496" s="45" t="s">
        <v>395</v>
      </c>
      <c r="C496" s="5"/>
      <c r="D496" s="5"/>
      <c r="E496" s="5"/>
      <c r="F496" s="5"/>
      <c r="G496" s="5"/>
      <c r="H496" s="5"/>
      <c r="I496" s="5"/>
      <c r="J496" s="5"/>
      <c r="K496" s="5"/>
      <c r="L496" s="5"/>
      <c r="M496" s="5"/>
      <c r="N496" s="5"/>
      <c r="O496" s="5"/>
      <c r="P496" s="5"/>
      <c r="Q496" s="1427" t="s">
        <v>2730</v>
      </c>
      <c r="R496" s="1428"/>
      <c r="S496" s="1428"/>
      <c r="T496" s="1428"/>
      <c r="U496" s="1428"/>
      <c r="V496" s="1428"/>
      <c r="W496" s="1428"/>
      <c r="X496" s="1428"/>
      <c r="Y496" s="1428"/>
      <c r="Z496" s="1428"/>
      <c r="AA496" s="1428"/>
      <c r="AB496" s="1428"/>
      <c r="AC496" s="1428"/>
      <c r="AD496" s="1428"/>
      <c r="AE496" s="1428"/>
      <c r="AF496" s="1428"/>
      <c r="AG496" s="1428"/>
      <c r="AH496" s="1428"/>
      <c r="AI496" s="1428"/>
      <c r="AJ496" s="1428"/>
      <c r="AK496" s="1429"/>
      <c r="AZ496" s="3"/>
      <c r="BA496" s="3"/>
      <c r="BB496" s="3"/>
      <c r="BC496" s="3"/>
    </row>
    <row r="497" spans="1:66" ht="13" customHeight="1">
      <c r="B497" s="1444" t="s">
        <v>396</v>
      </c>
      <c r="C497" s="1445"/>
      <c r="D497" s="1445"/>
      <c r="E497" s="1445"/>
      <c r="F497" s="1445"/>
      <c r="G497" s="1445"/>
      <c r="H497" s="1445"/>
      <c r="I497" s="1445"/>
      <c r="J497" s="1445"/>
      <c r="K497" s="1445"/>
      <c r="L497" s="1445"/>
      <c r="M497" s="1445"/>
      <c r="N497" s="1445"/>
      <c r="O497" s="1445"/>
      <c r="P497" s="1446"/>
      <c r="Q497" s="1450" t="s">
        <v>544</v>
      </c>
      <c r="R497" s="1451"/>
      <c r="S497" s="1585" t="s">
        <v>2731</v>
      </c>
      <c r="T497" s="1586"/>
      <c r="U497" s="1586"/>
      <c r="V497" s="1586"/>
      <c r="W497" s="1586"/>
      <c r="X497" s="1586"/>
      <c r="Y497" s="1586"/>
      <c r="Z497" s="1586"/>
      <c r="AA497" s="1586"/>
      <c r="AB497" s="1586"/>
      <c r="AC497" s="1586"/>
      <c r="AD497" s="1586"/>
      <c r="AE497" s="1586"/>
      <c r="AF497" s="1586"/>
      <c r="AG497" s="1586"/>
      <c r="AH497" s="1586"/>
      <c r="AI497" s="1586"/>
      <c r="AJ497" s="1586"/>
      <c r="AK497" s="1587"/>
      <c r="AZ497" s="3"/>
      <c r="BA497" s="3"/>
      <c r="BB497" s="3"/>
      <c r="BC497" s="3"/>
    </row>
    <row r="498" spans="1:66" ht="13" customHeight="1">
      <c r="B498" s="1447"/>
      <c r="C498" s="1448"/>
      <c r="D498" s="1448"/>
      <c r="E498" s="1448"/>
      <c r="F498" s="1448"/>
      <c r="G498" s="1448"/>
      <c r="H498" s="1448"/>
      <c r="I498" s="1448"/>
      <c r="J498" s="1448"/>
      <c r="K498" s="1448"/>
      <c r="L498" s="1448"/>
      <c r="M498" s="1448"/>
      <c r="N498" s="1448"/>
      <c r="O498" s="1448"/>
      <c r="P498" s="1449"/>
      <c r="Q498" s="1452"/>
      <c r="R498" s="1453"/>
      <c r="S498" s="1588"/>
      <c r="T498" s="1534"/>
      <c r="U498" s="1534"/>
      <c r="V498" s="1534"/>
      <c r="W498" s="1534"/>
      <c r="X498" s="1534"/>
      <c r="Y498" s="1534"/>
      <c r="Z498" s="1534"/>
      <c r="AA498" s="1534"/>
      <c r="AB498" s="1534"/>
      <c r="AC498" s="1534"/>
      <c r="AD498" s="1534"/>
      <c r="AE498" s="1534"/>
      <c r="AF498" s="1534"/>
      <c r="AG498" s="1534"/>
      <c r="AH498" s="1534"/>
      <c r="AI498" s="1534"/>
      <c r="AJ498" s="1534"/>
      <c r="AK498" s="1589"/>
      <c r="AZ498" s="3"/>
      <c r="BA498" s="3"/>
      <c r="BB498" s="3"/>
      <c r="BC498" s="3"/>
    </row>
    <row r="499" spans="1:66" ht="13" customHeight="1">
      <c r="B499" s="891" t="s">
        <v>1658</v>
      </c>
      <c r="C499" s="869"/>
      <c r="D499" s="869"/>
      <c r="E499" s="869"/>
      <c r="F499" s="869"/>
      <c r="G499" s="869"/>
      <c r="H499" s="869"/>
      <c r="I499" s="869"/>
      <c r="J499" s="869"/>
      <c r="K499" s="869"/>
      <c r="L499" s="869"/>
      <c r="M499" s="869"/>
      <c r="N499" s="869"/>
      <c r="O499" s="869"/>
      <c r="P499" s="869"/>
      <c r="Q499" s="1431" t="s">
        <v>2732</v>
      </c>
      <c r="R499" s="1432"/>
      <c r="S499" s="1432"/>
      <c r="T499" s="1432"/>
      <c r="U499" s="1432"/>
      <c r="V499" s="1432"/>
      <c r="W499" s="1432"/>
      <c r="X499" s="1432"/>
      <c r="Y499" s="1432"/>
      <c r="Z499" s="1432"/>
      <c r="AA499" s="1432"/>
      <c r="AB499" s="1432"/>
      <c r="AC499" s="1432"/>
      <c r="AD499" s="1432"/>
      <c r="AE499" s="1432"/>
      <c r="AF499" s="1432"/>
      <c r="AG499" s="1432"/>
      <c r="AH499" s="1432"/>
      <c r="AI499" s="1432"/>
      <c r="AJ499" s="1432"/>
      <c r="AK499" s="1433"/>
      <c r="AZ499" s="3"/>
      <c r="BA499" s="3"/>
      <c r="BB499" s="3"/>
      <c r="BC499" s="3"/>
    </row>
    <row r="500" spans="1:66" ht="13" customHeight="1">
      <c r="B500" s="45" t="s">
        <v>397</v>
      </c>
      <c r="C500" s="5"/>
      <c r="D500" s="5"/>
      <c r="E500" s="5"/>
      <c r="F500" s="5"/>
      <c r="G500" s="5"/>
      <c r="H500" s="5"/>
      <c r="I500" s="5"/>
      <c r="J500" s="5"/>
      <c r="K500" s="5"/>
      <c r="L500" s="5"/>
      <c r="M500" s="5"/>
      <c r="N500" s="5"/>
      <c r="O500" s="5"/>
      <c r="P500" s="5"/>
      <c r="Q500" s="1427" t="s">
        <v>2733</v>
      </c>
      <c r="R500" s="1428"/>
      <c r="S500" s="1428"/>
      <c r="T500" s="1428"/>
      <c r="U500" s="1428"/>
      <c r="V500" s="1428"/>
      <c r="W500" s="1428"/>
      <c r="X500" s="1428"/>
      <c r="Y500" s="1428"/>
      <c r="Z500" s="1428"/>
      <c r="AA500" s="1428"/>
      <c r="AB500" s="1428"/>
      <c r="AC500" s="1428"/>
      <c r="AD500" s="1428"/>
      <c r="AE500" s="1428"/>
      <c r="AF500" s="1428"/>
      <c r="AG500" s="1428"/>
      <c r="AH500" s="1428"/>
      <c r="AI500" s="1428"/>
      <c r="AJ500" s="1428"/>
      <c r="AK500" s="1429"/>
      <c r="AZ500" s="3"/>
      <c r="BA500" s="3"/>
      <c r="BB500" s="3"/>
      <c r="BC500" s="3"/>
    </row>
    <row r="501" spans="1:66" ht="13" customHeight="1">
      <c r="B501" s="45" t="s">
        <v>398</v>
      </c>
      <c r="C501" s="5"/>
      <c r="D501" s="5"/>
      <c r="E501" s="5"/>
      <c r="F501" s="5"/>
      <c r="G501" s="5"/>
      <c r="H501" s="5"/>
      <c r="I501" s="5"/>
      <c r="J501" s="5"/>
      <c r="K501" s="5"/>
      <c r="L501" s="5"/>
      <c r="M501" s="5"/>
      <c r="N501" s="5"/>
      <c r="O501" s="5"/>
      <c r="P501" s="5"/>
      <c r="Q501" s="1427" t="s">
        <v>2734</v>
      </c>
      <c r="R501" s="1428"/>
      <c r="S501" s="1428"/>
      <c r="T501" s="1428"/>
      <c r="U501" s="1428"/>
      <c r="V501" s="1428"/>
      <c r="W501" s="1428"/>
      <c r="X501" s="1428"/>
      <c r="Y501" s="1428"/>
      <c r="Z501" s="1428"/>
      <c r="AA501" s="1428"/>
      <c r="AB501" s="1428"/>
      <c r="AC501" s="1428"/>
      <c r="AD501" s="1428"/>
      <c r="AE501" s="1428"/>
      <c r="AF501" s="1428"/>
      <c r="AG501" s="1428"/>
      <c r="AH501" s="1428"/>
      <c r="AI501" s="1428"/>
      <c r="AJ501" s="1428"/>
      <c r="AK501" s="1429"/>
      <c r="AZ501" s="3"/>
      <c r="BA501" s="3"/>
      <c r="BB501" s="3"/>
      <c r="BC501" s="3"/>
    </row>
    <row r="502" spans="1:66" ht="13" customHeight="1">
      <c r="B502" s="121" t="s">
        <v>1655</v>
      </c>
      <c r="C502" s="5"/>
      <c r="D502" s="5"/>
      <c r="E502" s="5"/>
      <c r="F502" s="5"/>
      <c r="G502" s="5"/>
      <c r="H502" s="5"/>
      <c r="I502" s="5"/>
      <c r="J502" s="5"/>
      <c r="K502" s="5"/>
      <c r="L502" s="5"/>
      <c r="M502" s="5"/>
      <c r="N502" s="5"/>
      <c r="O502" s="5"/>
      <c r="P502" s="5"/>
      <c r="Q502" s="1427">
        <v>221</v>
      </c>
      <c r="R502" s="1428"/>
      <c r="S502" s="1428"/>
      <c r="T502" s="1428"/>
      <c r="U502" s="1428"/>
      <c r="V502" s="1428"/>
      <c r="W502" s="1428"/>
      <c r="X502" s="1428"/>
      <c r="Y502" s="1428"/>
      <c r="Z502" s="1428"/>
      <c r="AA502" s="1428"/>
      <c r="AB502" s="1428"/>
      <c r="AC502" s="1428"/>
      <c r="AD502" s="1428"/>
      <c r="AE502" s="1428"/>
      <c r="AF502" s="1428"/>
      <c r="AG502" s="1428"/>
      <c r="AH502" s="1428"/>
      <c r="AI502" s="1428"/>
      <c r="AJ502" s="1428"/>
      <c r="AK502" s="1429"/>
      <c r="AZ502" s="3"/>
      <c r="BA502" s="3"/>
      <c r="BB502" s="3"/>
      <c r="BC502" s="3"/>
    </row>
    <row r="503" spans="1:66" ht="13" customHeight="1">
      <c r="B503" s="121" t="s">
        <v>1656</v>
      </c>
      <c r="C503" s="5"/>
      <c r="D503" s="5"/>
      <c r="E503" s="5"/>
      <c r="F503" s="5"/>
      <c r="G503" s="5"/>
      <c r="H503" s="5"/>
      <c r="I503" s="5"/>
      <c r="J503" s="5"/>
      <c r="K503" s="5"/>
      <c r="L503" s="5"/>
      <c r="M503" s="1434">
        <v>15</v>
      </c>
      <c r="N503" s="1435"/>
      <c r="O503" s="1435"/>
      <c r="P503" s="1436"/>
      <c r="Q503" s="121" t="s">
        <v>1657</v>
      </c>
      <c r="R503" s="5"/>
      <c r="S503" s="5"/>
      <c r="T503" s="5"/>
      <c r="U503" s="5"/>
      <c r="V503" s="5"/>
      <c r="W503" s="5"/>
      <c r="X503" s="5"/>
      <c r="Y503" s="5"/>
      <c r="Z503" s="5"/>
      <c r="AA503" s="5"/>
      <c r="AB503" s="5"/>
      <c r="AC503" s="5"/>
      <c r="AD503" s="5"/>
      <c r="AE503" s="5"/>
      <c r="AF503" s="5"/>
      <c r="AG503" s="5"/>
      <c r="AH503" s="1434">
        <v>206</v>
      </c>
      <c r="AI503" s="1435"/>
      <c r="AJ503" s="1435"/>
      <c r="AK503" s="1436"/>
      <c r="AZ503" s="3"/>
      <c r="BA503" s="3"/>
      <c r="BB503" s="3"/>
      <c r="BC503" s="3"/>
    </row>
    <row r="504" spans="1:66" ht="13"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3" customHeight="1">
      <c r="A505" s="2" t="s">
        <v>575</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3"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3"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438" t="s">
        <v>400</v>
      </c>
      <c r="AD507" s="1439"/>
      <c r="AE507" s="1439"/>
      <c r="AF507" s="1439"/>
      <c r="AG507" s="1439"/>
      <c r="AH507" s="1439"/>
      <c r="AI507" s="1439"/>
      <c r="AJ507" s="1439"/>
      <c r="AK507" s="1440"/>
      <c r="AZ507" s="3"/>
      <c r="BA507" s="3"/>
      <c r="BB507" s="3"/>
      <c r="BC507" s="3"/>
      <c r="BD507" s="3"/>
      <c r="BE507" s="3"/>
      <c r="BF507" s="3"/>
      <c r="BG507" s="3"/>
      <c r="BH507" s="3"/>
      <c r="BI507" s="3"/>
      <c r="BJ507" s="3"/>
      <c r="BK507" s="3"/>
      <c r="BL507" s="3"/>
      <c r="BM507" s="3"/>
      <c r="BN507" s="3"/>
    </row>
    <row r="508" spans="1:66" ht="13"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438" t="s">
        <v>401</v>
      </c>
      <c r="AD508" s="1439"/>
      <c r="AE508" s="1439"/>
      <c r="AF508" s="1439"/>
      <c r="AG508" s="50" t="s">
        <v>402</v>
      </c>
      <c r="AH508" s="1439" t="s">
        <v>403</v>
      </c>
      <c r="AI508" s="1439"/>
      <c r="AJ508" s="1439"/>
      <c r="AK508" s="1440"/>
      <c r="AZ508" s="3"/>
      <c r="BA508" s="3"/>
      <c r="BB508" s="3"/>
      <c r="BC508" s="3"/>
      <c r="BD508" s="3"/>
      <c r="BE508" s="3"/>
      <c r="BF508" s="3"/>
      <c r="BG508" s="3"/>
      <c r="BH508" s="3"/>
      <c r="BI508" s="3"/>
      <c r="BJ508" s="3"/>
      <c r="BK508" s="3"/>
      <c r="BL508" s="3"/>
      <c r="BM508" s="3"/>
      <c r="BN508" s="3"/>
    </row>
    <row r="509" spans="1:66" ht="13" customHeight="1">
      <c r="B509" s="1390" t="s">
        <v>404</v>
      </c>
      <c r="C509" s="1391"/>
      <c r="D509" s="1391"/>
      <c r="E509" s="1391"/>
      <c r="F509" s="1391"/>
      <c r="G509" s="1391"/>
      <c r="H509" s="1392"/>
      <c r="I509" s="42" t="s">
        <v>405</v>
      </c>
      <c r="J509" s="42"/>
      <c r="K509" s="42"/>
      <c r="L509" s="42"/>
      <c r="M509" s="42"/>
      <c r="N509" s="42"/>
      <c r="O509" s="42"/>
      <c r="P509" s="42"/>
      <c r="Q509" s="42"/>
      <c r="R509" s="42"/>
      <c r="S509" s="42"/>
      <c r="T509" s="42"/>
      <c r="U509" s="42"/>
      <c r="V509" s="42"/>
      <c r="W509" s="42"/>
      <c r="AC509" s="1414" t="s">
        <v>590</v>
      </c>
      <c r="AD509" s="1374"/>
      <c r="AE509" s="1374"/>
      <c r="AF509" s="1374"/>
      <c r="AG509" s="13" t="s">
        <v>402</v>
      </c>
      <c r="AH509" s="1412">
        <v>0</v>
      </c>
      <c r="AI509" s="1412"/>
      <c r="AJ509" s="1412"/>
      <c r="AK509" s="1413"/>
      <c r="AZ509" s="3"/>
      <c r="BA509" s="3"/>
      <c r="BB509" s="3"/>
      <c r="BC509" s="3"/>
      <c r="BD509" s="3"/>
      <c r="BE509" s="3"/>
      <c r="BF509" s="3"/>
      <c r="BG509" s="3"/>
      <c r="BH509" s="3"/>
      <c r="BI509" s="3"/>
      <c r="BJ509" s="3"/>
      <c r="BK509" s="3"/>
      <c r="BL509" s="3"/>
      <c r="BM509" s="3"/>
      <c r="BN509" s="3"/>
    </row>
    <row r="510" spans="1:66" ht="13" customHeight="1">
      <c r="B510" s="1393"/>
      <c r="C510" s="1394"/>
      <c r="D510" s="1394"/>
      <c r="E510" s="1394"/>
      <c r="F510" s="1394"/>
      <c r="G510" s="1394"/>
      <c r="H510" s="1395"/>
      <c r="I510" s="48" t="s">
        <v>406</v>
      </c>
      <c r="J510" s="48"/>
      <c r="K510" s="48"/>
      <c r="L510" s="48"/>
      <c r="M510" s="48"/>
      <c r="N510" s="48"/>
      <c r="O510" s="48"/>
      <c r="P510" s="48"/>
      <c r="Q510" s="48"/>
      <c r="R510" s="48"/>
      <c r="S510" s="48"/>
      <c r="T510" s="48"/>
      <c r="U510" s="48"/>
      <c r="V510" s="48"/>
      <c r="W510" s="48"/>
      <c r="X510" s="48"/>
      <c r="Y510" s="48"/>
      <c r="Z510" s="48"/>
      <c r="AA510" s="48"/>
      <c r="AB510" s="48"/>
      <c r="AC510" s="1414">
        <v>10</v>
      </c>
      <c r="AD510" s="1374"/>
      <c r="AE510" s="1374"/>
      <c r="AF510" s="1374"/>
      <c r="AG510" s="38" t="s">
        <v>402</v>
      </c>
      <c r="AH510" s="1412">
        <v>2026</v>
      </c>
      <c r="AI510" s="1412"/>
      <c r="AJ510" s="1412"/>
      <c r="AK510" s="1413"/>
      <c r="AZ510" s="3"/>
      <c r="BA510" s="3"/>
      <c r="BB510" s="3"/>
      <c r="BC510" s="3"/>
      <c r="BD510" s="3"/>
      <c r="BE510" s="3"/>
      <c r="BF510" s="3"/>
      <c r="BG510" s="3"/>
      <c r="BH510" s="3"/>
      <c r="BI510" s="3"/>
      <c r="BJ510" s="3"/>
      <c r="BK510" s="3"/>
      <c r="BL510" s="3"/>
      <c r="BM510" s="3"/>
      <c r="BN510" s="3"/>
    </row>
    <row r="511" spans="1:66" ht="13" customHeight="1">
      <c r="B511" s="1390" t="s">
        <v>407</v>
      </c>
      <c r="C511" s="1391"/>
      <c r="D511" s="1391"/>
      <c r="E511" s="1391"/>
      <c r="F511" s="1391"/>
      <c r="G511" s="1391"/>
      <c r="H511" s="1392"/>
      <c r="I511" s="42" t="s">
        <v>408</v>
      </c>
      <c r="J511" s="42"/>
      <c r="K511" s="42"/>
      <c r="L511" s="42"/>
      <c r="M511" s="42"/>
      <c r="N511" s="42"/>
      <c r="O511" s="42"/>
      <c r="P511" s="42"/>
      <c r="Q511" s="42"/>
      <c r="R511" s="42"/>
      <c r="S511" s="42"/>
      <c r="T511" s="42"/>
      <c r="U511" s="42"/>
      <c r="V511" s="42"/>
      <c r="W511" s="42"/>
      <c r="AC511" s="1414" t="s">
        <v>590</v>
      </c>
      <c r="AD511" s="1374"/>
      <c r="AE511" s="1374"/>
      <c r="AF511" s="1374"/>
      <c r="AG511" s="13" t="s">
        <v>402</v>
      </c>
      <c r="AH511" s="1412"/>
      <c r="AI511" s="1412"/>
      <c r="AJ511" s="1412"/>
      <c r="AK511" s="1413"/>
      <c r="AZ511" s="3"/>
      <c r="BA511" s="3"/>
      <c r="BB511" s="3"/>
      <c r="BC511" s="3"/>
      <c r="BD511" s="3"/>
      <c r="BE511" s="3"/>
      <c r="BF511" s="3"/>
      <c r="BG511" s="3"/>
      <c r="BH511" s="3"/>
      <c r="BI511" s="3"/>
      <c r="BJ511" s="3"/>
      <c r="BK511" s="3"/>
      <c r="BL511" s="3"/>
      <c r="BM511" s="3"/>
      <c r="BN511" s="3"/>
    </row>
    <row r="512" spans="1:66" ht="13" customHeight="1">
      <c r="B512" s="1393"/>
      <c r="C512" s="1394"/>
      <c r="D512" s="1394"/>
      <c r="E512" s="1394"/>
      <c r="F512" s="1394"/>
      <c r="G512" s="1394"/>
      <c r="H512" s="1395"/>
      <c r="I512" t="s">
        <v>409</v>
      </c>
      <c r="AC512" s="1414" t="s">
        <v>590</v>
      </c>
      <c r="AD512" s="1374"/>
      <c r="AE512" s="1374"/>
      <c r="AF512" s="1374"/>
      <c r="AG512" s="13" t="s">
        <v>402</v>
      </c>
      <c r="AH512" s="1412"/>
      <c r="AI512" s="1412"/>
      <c r="AJ512" s="1412"/>
      <c r="AK512" s="1413"/>
      <c r="AZ512" s="3"/>
      <c r="BA512" s="3"/>
      <c r="BB512" s="3"/>
      <c r="BC512" s="3"/>
      <c r="BD512" s="3"/>
      <c r="BE512" s="3"/>
      <c r="BF512" s="3"/>
      <c r="BG512" s="3"/>
      <c r="BH512" s="3"/>
      <c r="BI512" s="3"/>
      <c r="BJ512" s="3"/>
      <c r="BK512" s="3"/>
      <c r="BL512" s="3"/>
      <c r="BM512" s="3"/>
      <c r="BN512" s="3"/>
    </row>
    <row r="513" spans="2:66" ht="13" customHeight="1">
      <c r="B513" s="1393"/>
      <c r="C513" s="1394"/>
      <c r="D513" s="1394"/>
      <c r="E513" s="1394"/>
      <c r="F513" s="1394"/>
      <c r="G513" s="1394"/>
      <c r="H513" s="1395"/>
      <c r="I513" t="s">
        <v>410</v>
      </c>
      <c r="AC513" s="1414" t="s">
        <v>590</v>
      </c>
      <c r="AD513" s="1374"/>
      <c r="AE513" s="1374"/>
      <c r="AF513" s="1374"/>
      <c r="AG513" s="13" t="s">
        <v>402</v>
      </c>
      <c r="AH513" s="1412"/>
      <c r="AI513" s="1412"/>
      <c r="AJ513" s="1412"/>
      <c r="AK513" s="1413"/>
      <c r="AZ513" s="3"/>
      <c r="BA513" s="3"/>
      <c r="BB513" s="3"/>
      <c r="BC513" s="3"/>
      <c r="BD513" s="3"/>
      <c r="BE513" s="3"/>
      <c r="BF513" s="3"/>
      <c r="BG513" s="3"/>
      <c r="BH513" s="3"/>
      <c r="BI513" s="3"/>
      <c r="BJ513" s="3"/>
      <c r="BK513" s="3"/>
      <c r="BL513" s="3"/>
      <c r="BM513" s="3"/>
      <c r="BN513" s="3"/>
    </row>
    <row r="514" spans="2:66" ht="13" customHeight="1">
      <c r="B514" s="1393"/>
      <c r="C514" s="1394"/>
      <c r="D514" s="1394"/>
      <c r="E514" s="1394"/>
      <c r="F514" s="1394"/>
      <c r="G514" s="1394"/>
      <c r="H514" s="1395"/>
      <c r="I514" t="s">
        <v>411</v>
      </c>
      <c r="AC514" s="1414">
        <v>8</v>
      </c>
      <c r="AD514" s="1374"/>
      <c r="AE514" s="1374"/>
      <c r="AF514" s="1374"/>
      <c r="AG514" s="13" t="s">
        <v>402</v>
      </c>
      <c r="AH514" s="1412">
        <v>2026</v>
      </c>
      <c r="AI514" s="1412"/>
      <c r="AJ514" s="1412"/>
      <c r="AK514" s="1413"/>
      <c r="AZ514" s="3"/>
      <c r="BA514" s="3"/>
      <c r="BB514" s="3"/>
      <c r="BC514" s="3"/>
      <c r="BD514" s="3"/>
      <c r="BE514" s="3"/>
      <c r="BF514" s="3"/>
      <c r="BG514" s="3"/>
      <c r="BH514" s="3"/>
      <c r="BI514" s="3"/>
      <c r="BJ514" s="3"/>
      <c r="BK514" s="3"/>
      <c r="BL514" s="3"/>
      <c r="BM514" s="3"/>
      <c r="BN514" s="3"/>
    </row>
    <row r="515" spans="2:66" ht="13" customHeight="1">
      <c r="B515" s="1393"/>
      <c r="C515" s="1394"/>
      <c r="D515" s="1394"/>
      <c r="E515" s="1394"/>
      <c r="F515" s="1394"/>
      <c r="G515" s="1394"/>
      <c r="H515" s="1395"/>
      <c r="I515" s="3" t="s">
        <v>412</v>
      </c>
      <c r="AC515" s="1362">
        <v>10</v>
      </c>
      <c r="AD515" s="1363"/>
      <c r="AE515" s="1363"/>
      <c r="AF515" s="1363"/>
      <c r="AG515" s="13" t="s">
        <v>402</v>
      </c>
      <c r="AH515" s="1412">
        <v>2026</v>
      </c>
      <c r="AI515" s="1412"/>
      <c r="AJ515" s="1412"/>
      <c r="AK515" s="1413"/>
      <c r="AZ515" s="3"/>
      <c r="BA515" s="3"/>
      <c r="BB515" s="3"/>
      <c r="BC515" s="3"/>
      <c r="BD515" s="3"/>
      <c r="BE515" s="3"/>
      <c r="BF515" s="3"/>
      <c r="BG515" s="3"/>
      <c r="BH515" s="3"/>
      <c r="BI515" s="3"/>
      <c r="BJ515" s="3"/>
      <c r="BK515" s="3"/>
      <c r="BL515" s="3"/>
      <c r="BM515" s="3"/>
      <c r="BN515" s="3"/>
    </row>
    <row r="516" spans="2:66" ht="13" customHeight="1">
      <c r="B516" s="1393"/>
      <c r="C516" s="1394"/>
      <c r="D516" s="1394"/>
      <c r="E516" s="1394"/>
      <c r="F516" s="1394"/>
      <c r="G516" s="1394"/>
      <c r="H516" s="1395"/>
      <c r="I516" s="892" t="s">
        <v>169</v>
      </c>
      <c r="J516" s="48"/>
      <c r="K516" s="48"/>
      <c r="L516" s="1415" t="s">
        <v>333</v>
      </c>
      <c r="M516" s="1416"/>
      <c r="N516" s="1416"/>
      <c r="O516" s="1416"/>
      <c r="P516" s="1416"/>
      <c r="Q516" s="1416"/>
      <c r="R516" s="1416"/>
      <c r="S516" s="1416"/>
      <c r="T516" s="1416"/>
      <c r="U516" s="1416"/>
      <c r="V516" s="1416"/>
      <c r="W516" s="1416"/>
      <c r="X516" s="1416"/>
      <c r="Y516" s="1416"/>
      <c r="Z516" s="1416"/>
      <c r="AA516" s="1416"/>
      <c r="AB516" s="1417"/>
      <c r="AC516" s="1414" t="s">
        <v>590</v>
      </c>
      <c r="AD516" s="1374"/>
      <c r="AE516" s="1374"/>
      <c r="AF516" s="1374"/>
      <c r="AG516" s="38" t="s">
        <v>402</v>
      </c>
      <c r="AH516" s="1412"/>
      <c r="AI516" s="1412"/>
      <c r="AJ516" s="1412"/>
      <c r="AK516" s="1413"/>
      <c r="AZ516" s="3"/>
      <c r="BA516" s="3"/>
      <c r="BB516" s="3"/>
      <c r="BC516" s="3"/>
      <c r="BD516" s="3"/>
      <c r="BE516" s="3"/>
      <c r="BF516" s="3"/>
      <c r="BG516" s="3"/>
      <c r="BH516" s="3"/>
      <c r="BI516" s="3"/>
      <c r="BJ516" s="3"/>
      <c r="BK516" s="3"/>
      <c r="BL516" s="3"/>
      <c r="BM516" s="3"/>
      <c r="BN516" s="3"/>
    </row>
    <row r="517" spans="2:66" ht="13" customHeight="1">
      <c r="B517" s="867"/>
      <c r="C517" s="130"/>
      <c r="D517" s="130"/>
      <c r="E517" s="130"/>
      <c r="F517" s="130"/>
      <c r="G517" s="130"/>
      <c r="H517" s="868"/>
      <c r="I517" s="3" t="s">
        <v>1662</v>
      </c>
      <c r="AC517" s="1437" t="s">
        <v>1182</v>
      </c>
      <c r="AD517" s="1437"/>
      <c r="AE517" s="1437"/>
      <c r="AF517" s="1437"/>
      <c r="AG517" s="13"/>
      <c r="AH517" s="1399"/>
      <c r="AI517" s="1399"/>
      <c r="AJ517" s="1399"/>
      <c r="AK517" s="1400"/>
      <c r="AZ517" s="3"/>
      <c r="BA517" s="3"/>
      <c r="BB517" s="3"/>
      <c r="BC517" s="3"/>
      <c r="BD517" s="3"/>
      <c r="BE517" s="3"/>
      <c r="BF517" s="3"/>
      <c r="BG517" s="3"/>
      <c r="BH517" s="3"/>
      <c r="BI517" s="3"/>
      <c r="BJ517" s="3"/>
      <c r="BK517" s="3"/>
      <c r="BL517" s="3"/>
      <c r="BM517" s="3"/>
      <c r="BN517" s="3"/>
    </row>
    <row r="518" spans="2:66" ht="13" customHeight="1">
      <c r="B518" s="867"/>
      <c r="C518" s="130"/>
      <c r="D518" s="130"/>
      <c r="E518" s="130"/>
      <c r="F518" s="130"/>
      <c r="G518" s="130"/>
      <c r="H518" s="868"/>
      <c r="I518" t="s">
        <v>1659</v>
      </c>
      <c r="AC518" s="1362"/>
      <c r="AD518" s="1363"/>
      <c r="AE518" s="1363"/>
      <c r="AF518" s="1364"/>
      <c r="AG518" s="13"/>
      <c r="AH518" s="1399"/>
      <c r="AI518" s="1399"/>
      <c r="AJ518" s="1399"/>
      <c r="AK518" s="1400"/>
      <c r="AZ518" s="3"/>
      <c r="BA518" s="3"/>
      <c r="BB518" s="3"/>
      <c r="BC518" s="3"/>
      <c r="BD518" s="3"/>
      <c r="BE518" s="3"/>
      <c r="BF518" s="3"/>
      <c r="BG518" s="3"/>
      <c r="BH518" s="3"/>
      <c r="BI518" s="3"/>
      <c r="BJ518" s="3"/>
      <c r="BK518" s="3"/>
      <c r="BL518" s="3"/>
      <c r="BM518" s="3"/>
      <c r="BN518" s="3"/>
    </row>
    <row r="519" spans="2:66" ht="13" customHeight="1">
      <c r="B519" s="867"/>
      <c r="C519" s="130"/>
      <c r="D519" s="130"/>
      <c r="E519" s="130"/>
      <c r="F519" s="130"/>
      <c r="G519" s="130"/>
      <c r="H519" s="868"/>
      <c r="I519" t="s">
        <v>1660</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3" customHeight="1">
      <c r="B520" s="867"/>
      <c r="C520" s="130"/>
      <c r="D520" s="130"/>
      <c r="E520" s="130"/>
      <c r="F520" s="130"/>
      <c r="G520" s="130"/>
      <c r="H520" s="868"/>
      <c r="I520" s="893" t="s">
        <v>1661</v>
      </c>
      <c r="J520" s="48"/>
      <c r="K520" s="48"/>
      <c r="L520" s="48"/>
      <c r="M520" s="48"/>
      <c r="N520" s="48"/>
      <c r="O520" s="48"/>
      <c r="P520" s="48"/>
      <c r="Q520" s="48"/>
      <c r="R520" s="48"/>
      <c r="S520" s="48"/>
      <c r="T520" s="48"/>
      <c r="U520" s="48"/>
      <c r="V520" s="48"/>
      <c r="W520" s="48"/>
      <c r="X520" s="48"/>
      <c r="Y520" s="48"/>
      <c r="Z520" s="48"/>
      <c r="AA520" s="48"/>
      <c r="AB520" s="48"/>
      <c r="AC520" s="1441"/>
      <c r="AD520" s="1442"/>
      <c r="AE520" s="1442"/>
      <c r="AF520" s="1443"/>
      <c r="AG520" s="38"/>
      <c r="AH520" s="1592"/>
      <c r="AI520" s="1592"/>
      <c r="AJ520" s="1592"/>
      <c r="AK520" s="1593"/>
      <c r="AZ520" s="3"/>
      <c r="BA520" s="3"/>
      <c r="BB520" s="3"/>
      <c r="BC520" s="3"/>
      <c r="BD520" s="3"/>
      <c r="BE520" s="3"/>
      <c r="BF520" s="3"/>
      <c r="BG520" s="3"/>
      <c r="BH520" s="3"/>
      <c r="BI520" s="3"/>
      <c r="BJ520" s="3"/>
      <c r="BK520" s="3"/>
      <c r="BL520" s="3"/>
      <c r="BM520" s="3"/>
      <c r="BN520" s="3" t="s">
        <v>1182</v>
      </c>
    </row>
    <row r="521" spans="2:66" ht="13"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837" t="s">
        <v>401</v>
      </c>
      <c r="AD521" s="1410"/>
      <c r="AE521" s="1410"/>
      <c r="AF521" s="1410"/>
      <c r="AG521" s="38" t="s">
        <v>402</v>
      </c>
      <c r="AH521" s="1410" t="s">
        <v>403</v>
      </c>
      <c r="AI521" s="1410"/>
      <c r="AJ521" s="1410"/>
      <c r="AK521" s="1411"/>
      <c r="AZ521" s="3"/>
      <c r="BA521" s="3"/>
      <c r="BB521" s="3"/>
      <c r="BC521" s="3"/>
      <c r="BD521" s="3"/>
      <c r="BE521" s="3"/>
      <c r="BF521" s="3"/>
      <c r="BG521" s="3"/>
      <c r="BH521" s="3"/>
      <c r="BI521" s="3"/>
      <c r="BJ521" s="3"/>
      <c r="BK521" s="3"/>
      <c r="BL521" s="3"/>
      <c r="BM521" s="3"/>
      <c r="BN521" s="3" t="s">
        <v>2058</v>
      </c>
    </row>
    <row r="522" spans="2:66" ht="13" customHeight="1">
      <c r="B522" s="1390" t="s">
        <v>413</v>
      </c>
      <c r="C522" s="1391"/>
      <c r="D522" s="1391"/>
      <c r="E522" s="1391"/>
      <c r="F522" s="1391"/>
      <c r="G522" s="1391"/>
      <c r="H522" s="1392"/>
      <c r="I522" s="42" t="s">
        <v>414</v>
      </c>
      <c r="J522" s="42"/>
      <c r="K522" s="42"/>
      <c r="L522" s="42"/>
      <c r="M522" s="42"/>
      <c r="N522" s="42"/>
      <c r="O522" s="42"/>
      <c r="P522" s="42"/>
      <c r="Q522" s="42"/>
      <c r="R522" s="42"/>
      <c r="S522" s="42"/>
      <c r="T522" s="42"/>
      <c r="U522" s="42"/>
      <c r="V522" s="42"/>
      <c r="W522" s="42"/>
      <c r="AC522" s="1414">
        <v>1</v>
      </c>
      <c r="AD522" s="1374"/>
      <c r="AE522" s="1374"/>
      <c r="AF522" s="1374"/>
      <c r="AG522" s="13" t="s">
        <v>402</v>
      </c>
      <c r="AH522" s="1412">
        <v>2026</v>
      </c>
      <c r="AI522" s="1412"/>
      <c r="AJ522" s="1412"/>
      <c r="AK522" s="1413"/>
      <c r="AZ522" s="3"/>
      <c r="BA522" s="3"/>
      <c r="BB522" s="3"/>
      <c r="BC522" s="3"/>
      <c r="BD522" s="3"/>
      <c r="BE522" s="3"/>
      <c r="BF522" s="3"/>
      <c r="BG522" s="3"/>
      <c r="BH522" s="3"/>
      <c r="BI522" s="3"/>
      <c r="BJ522" s="3"/>
      <c r="BK522" s="3"/>
      <c r="BL522" s="3"/>
      <c r="BM522" s="3"/>
      <c r="BN522" s="3" t="s">
        <v>2059</v>
      </c>
    </row>
    <row r="523" spans="2:66" ht="13" customHeight="1">
      <c r="B523" s="1393"/>
      <c r="C523" s="1394"/>
      <c r="D523" s="1394"/>
      <c r="E523" s="1394"/>
      <c r="F523" s="1394"/>
      <c r="G523" s="1394"/>
      <c r="H523" s="1395"/>
      <c r="I523" t="s">
        <v>415</v>
      </c>
      <c r="AC523" s="1414">
        <v>2</v>
      </c>
      <c r="AD523" s="1374"/>
      <c r="AE523" s="1374"/>
      <c r="AF523" s="1374"/>
      <c r="AG523" s="13" t="s">
        <v>402</v>
      </c>
      <c r="AH523" s="1412">
        <v>2026</v>
      </c>
      <c r="AI523" s="1412"/>
      <c r="AJ523" s="1412"/>
      <c r="AK523" s="1413"/>
      <c r="AZ523" s="3"/>
      <c r="BA523" s="3"/>
      <c r="BB523" s="3"/>
      <c r="BC523" s="3"/>
      <c r="BD523" s="3"/>
      <c r="BE523" s="3"/>
      <c r="BF523" s="3"/>
      <c r="BG523" s="3"/>
      <c r="BH523" s="3"/>
      <c r="BI523" s="3"/>
      <c r="BJ523" s="3"/>
      <c r="BK523" s="3"/>
      <c r="BL523" s="3"/>
      <c r="BM523" s="3"/>
      <c r="BN523" s="3" t="s">
        <v>2060</v>
      </c>
    </row>
    <row r="524" spans="2:66" ht="13" customHeight="1">
      <c r="B524" s="1393"/>
      <c r="C524" s="1394"/>
      <c r="D524" s="1394"/>
      <c r="E524" s="1394"/>
      <c r="F524" s="1394"/>
      <c r="G524" s="1394"/>
      <c r="H524" s="1395"/>
      <c r="I524" s="48" t="s">
        <v>416</v>
      </c>
      <c r="J524" s="48"/>
      <c r="K524" s="48"/>
      <c r="L524" s="48"/>
      <c r="M524" s="48"/>
      <c r="N524" s="48"/>
      <c r="O524" s="48"/>
      <c r="P524" s="48"/>
      <c r="Q524" s="48"/>
      <c r="R524" s="48"/>
      <c r="S524" s="48"/>
      <c r="T524" s="48"/>
      <c r="U524" s="48"/>
      <c r="V524" s="48"/>
      <c r="W524" s="48"/>
      <c r="X524" s="48"/>
      <c r="Y524" s="48"/>
      <c r="Z524" s="48"/>
      <c r="AA524" s="48"/>
      <c r="AB524" s="48"/>
      <c r="AC524" s="1414">
        <v>10</v>
      </c>
      <c r="AD524" s="1374"/>
      <c r="AE524" s="1374"/>
      <c r="AF524" s="1374"/>
      <c r="AG524" s="38" t="s">
        <v>402</v>
      </c>
      <c r="AH524" s="1412">
        <v>2026</v>
      </c>
      <c r="AI524" s="1412"/>
      <c r="AJ524" s="1412"/>
      <c r="AK524" s="1413"/>
      <c r="AZ524" s="3"/>
      <c r="BA524" s="3"/>
      <c r="BB524" s="3"/>
      <c r="BC524" s="3"/>
      <c r="BD524" s="3"/>
      <c r="BE524" s="3"/>
      <c r="BF524" s="3"/>
      <c r="BG524" s="3"/>
      <c r="BH524" s="3"/>
      <c r="BI524" s="3"/>
      <c r="BJ524" s="3"/>
      <c r="BK524" s="3"/>
      <c r="BL524" s="3"/>
      <c r="BM524" s="3"/>
      <c r="BN524" s="3" t="s">
        <v>2061</v>
      </c>
    </row>
    <row r="525" spans="2:66" ht="13" customHeight="1">
      <c r="B525" s="1390" t="s">
        <v>417</v>
      </c>
      <c r="C525" s="1391"/>
      <c r="D525" s="1391"/>
      <c r="E525" s="1391"/>
      <c r="F525" s="1391"/>
      <c r="G525" s="1391"/>
      <c r="H525" s="1392"/>
      <c r="I525" s="42" t="s">
        <v>414</v>
      </c>
      <c r="J525" s="42"/>
      <c r="K525" s="42"/>
      <c r="L525" s="42"/>
      <c r="M525" s="42"/>
      <c r="N525" s="42"/>
      <c r="O525" s="42"/>
      <c r="P525" s="42"/>
      <c r="Q525" s="42"/>
      <c r="R525" s="42"/>
      <c r="S525" s="42"/>
      <c r="T525" s="42"/>
      <c r="U525" s="42"/>
      <c r="V525" s="42"/>
      <c r="W525" s="42"/>
      <c r="X525" s="42"/>
      <c r="Y525" s="42"/>
      <c r="Z525" s="42"/>
      <c r="AA525" s="42"/>
      <c r="AB525" s="42"/>
      <c r="AC525" s="1362">
        <v>1</v>
      </c>
      <c r="AD525" s="1363"/>
      <c r="AE525" s="1363"/>
      <c r="AF525" s="1363"/>
      <c r="AG525" s="129" t="s">
        <v>402</v>
      </c>
      <c r="AH525" s="1412">
        <v>2026</v>
      </c>
      <c r="AI525" s="1412"/>
      <c r="AJ525" s="1412"/>
      <c r="AK525" s="1413"/>
      <c r="AZ525" s="3"/>
      <c r="BB525" s="3"/>
      <c r="BC525" s="3"/>
      <c r="BD525" s="3"/>
      <c r="BE525" s="3"/>
      <c r="BF525" s="3"/>
      <c r="BG525" s="3"/>
      <c r="BH525" s="3"/>
      <c r="BI525" s="3"/>
      <c r="BJ525" s="3"/>
      <c r="BK525" s="3"/>
      <c r="BL525" s="3"/>
      <c r="BM525" s="3"/>
      <c r="BN525" s="3" t="s">
        <v>2062</v>
      </c>
    </row>
    <row r="526" spans="2:66" ht="13" customHeight="1">
      <c r="B526" s="1393"/>
      <c r="C526" s="1394"/>
      <c r="D526" s="1394"/>
      <c r="E526" s="1394"/>
      <c r="F526" s="1394"/>
      <c r="G526" s="1394"/>
      <c r="H526" s="1395"/>
      <c r="I526" t="s">
        <v>415</v>
      </c>
      <c r="AC526" s="1414">
        <v>2</v>
      </c>
      <c r="AD526" s="1374"/>
      <c r="AE526" s="1374"/>
      <c r="AF526" s="1374"/>
      <c r="AG526" s="13" t="s">
        <v>402</v>
      </c>
      <c r="AH526" s="1412">
        <v>2026</v>
      </c>
      <c r="AI526" s="1412"/>
      <c r="AJ526" s="1412"/>
      <c r="AK526" s="1413"/>
      <c r="BB526" s="3"/>
      <c r="BC526" s="3"/>
      <c r="BD526" s="3"/>
      <c r="BE526" s="3"/>
      <c r="BF526" s="3"/>
      <c r="BG526" s="3"/>
      <c r="BH526" s="3"/>
      <c r="BI526" s="3"/>
      <c r="BJ526" s="3"/>
      <c r="BK526" s="3"/>
      <c r="BL526" s="3"/>
      <c r="BM526" s="3"/>
      <c r="BN526" s="3" t="s">
        <v>2063</v>
      </c>
    </row>
    <row r="527" spans="2:66" ht="13" customHeight="1">
      <c r="B527" s="1396"/>
      <c r="C527" s="1397"/>
      <c r="D527" s="1397"/>
      <c r="E527" s="1397"/>
      <c r="F527" s="1397"/>
      <c r="G527" s="1397"/>
      <c r="H527" s="1398"/>
      <c r="I527" s="48" t="s">
        <v>416</v>
      </c>
      <c r="J527" s="48"/>
      <c r="K527" s="48"/>
      <c r="L527" s="48"/>
      <c r="M527" s="48"/>
      <c r="N527" s="48"/>
      <c r="O527" s="48"/>
      <c r="P527" s="48"/>
      <c r="Q527" s="48"/>
      <c r="R527" s="48"/>
      <c r="S527" s="48"/>
      <c r="T527" s="48"/>
      <c r="U527" s="48"/>
      <c r="V527" s="48"/>
      <c r="W527" s="48"/>
      <c r="X527" s="48"/>
      <c r="Y527" s="48"/>
      <c r="Z527" s="48"/>
      <c r="AA527" s="48"/>
      <c r="AB527" s="48"/>
      <c r="AC527" s="1414">
        <v>2</v>
      </c>
      <c r="AD527" s="1374"/>
      <c r="AE527" s="1374"/>
      <c r="AF527" s="1374"/>
      <c r="AG527" s="38" t="s">
        <v>402</v>
      </c>
      <c r="AH527" s="1412">
        <v>2029</v>
      </c>
      <c r="AI527" s="1412"/>
      <c r="AJ527" s="1412"/>
      <c r="AK527" s="1413"/>
      <c r="BB527" s="3"/>
      <c r="BC527" s="3"/>
      <c r="BD527" s="3"/>
      <c r="BE527" s="3"/>
      <c r="BF527" s="3"/>
      <c r="BG527" s="3"/>
      <c r="BH527" s="3"/>
      <c r="BI527" s="3"/>
      <c r="BJ527" s="3"/>
      <c r="BK527" s="3"/>
      <c r="BL527" s="3"/>
      <c r="BM527" s="3"/>
      <c r="BN527" s="3" t="s">
        <v>2064</v>
      </c>
    </row>
    <row r="528" spans="2:66" ht="13" customHeight="1">
      <c r="B528" s="1390" t="s">
        <v>418</v>
      </c>
      <c r="C528" s="1391"/>
      <c r="D528" s="1391"/>
      <c r="E528" s="1391"/>
      <c r="F528" s="1391"/>
      <c r="G528" s="1391"/>
      <c r="H528" s="1392"/>
      <c r="I528" s="41" t="s">
        <v>419</v>
      </c>
      <c r="J528" s="42"/>
      <c r="K528" s="42"/>
      <c r="L528" s="42"/>
      <c r="M528" s="42"/>
      <c r="N528" s="42"/>
      <c r="O528" s="1415" t="s">
        <v>333</v>
      </c>
      <c r="P528" s="1416"/>
      <c r="Q528" s="1416"/>
      <c r="R528" s="1416"/>
      <c r="S528" s="1416"/>
      <c r="T528" s="1416"/>
      <c r="U528" s="1416"/>
      <c r="V528" s="1416"/>
      <c r="W528" s="1416"/>
      <c r="X528" s="1416"/>
      <c r="Y528" s="1416"/>
      <c r="Z528" s="1416"/>
      <c r="AA528" s="1416"/>
      <c r="AB528" s="58"/>
      <c r="AC528" s="1362" t="s">
        <v>590</v>
      </c>
      <c r="AD528" s="1363"/>
      <c r="AE528" s="1363"/>
      <c r="AF528" s="1363"/>
      <c r="AG528" s="129" t="s">
        <v>402</v>
      </c>
      <c r="AH528" s="1412"/>
      <c r="AI528" s="1412"/>
      <c r="AJ528" s="1412"/>
      <c r="AK528" s="1413"/>
      <c r="AZ528" s="3"/>
      <c r="BB528" s="3"/>
      <c r="BC528" s="3"/>
      <c r="BD528" s="3"/>
      <c r="BE528" s="3"/>
      <c r="BF528" s="3"/>
      <c r="BG528" s="3"/>
      <c r="BH528" s="3"/>
      <c r="BI528" s="3"/>
      <c r="BJ528" s="3"/>
      <c r="BK528" s="3"/>
      <c r="BL528" s="3"/>
      <c r="BM528" s="3"/>
      <c r="BN528" s="3" t="s">
        <v>2065</v>
      </c>
    </row>
    <row r="529" spans="2:66" ht="13" customHeight="1">
      <c r="B529" s="1393"/>
      <c r="C529" s="1394"/>
      <c r="D529" s="1394"/>
      <c r="E529" s="1394"/>
      <c r="F529" s="1394"/>
      <c r="G529" s="1394"/>
      <c r="H529" s="1395"/>
      <c r="I529" s="114" t="s">
        <v>420</v>
      </c>
      <c r="AB529" s="65"/>
      <c r="AC529" s="1414" t="s">
        <v>590</v>
      </c>
      <c r="AD529" s="1374"/>
      <c r="AE529" s="1374"/>
      <c r="AF529" s="1374"/>
      <c r="AG529" s="13" t="s">
        <v>402</v>
      </c>
      <c r="AH529" s="1412"/>
      <c r="AI529" s="1412"/>
      <c r="AJ529" s="1412"/>
      <c r="AK529" s="1413"/>
      <c r="AZ529" s="3"/>
      <c r="BB529" s="3"/>
      <c r="BC529" s="3"/>
      <c r="BD529" s="3"/>
      <c r="BE529" s="3"/>
      <c r="BF529" s="3"/>
      <c r="BG529" s="3"/>
      <c r="BH529" s="3"/>
      <c r="BI529" s="3"/>
      <c r="BJ529" s="3"/>
      <c r="BK529" s="3"/>
      <c r="BL529" s="3"/>
      <c r="BM529" s="3"/>
      <c r="BN529" s="3" t="s">
        <v>2066</v>
      </c>
    </row>
    <row r="530" spans="2:66" ht="13" customHeight="1">
      <c r="B530" s="1393"/>
      <c r="C530" s="1394"/>
      <c r="D530" s="1394"/>
      <c r="E530" s="1394"/>
      <c r="F530" s="1394"/>
      <c r="G530" s="1394"/>
      <c r="H530" s="1395"/>
      <c r="I530" s="47" t="s">
        <v>421</v>
      </c>
      <c r="J530" s="48"/>
      <c r="K530" s="48"/>
      <c r="L530" s="48"/>
      <c r="M530" s="48"/>
      <c r="N530" s="48"/>
      <c r="O530" s="48"/>
      <c r="P530" s="48"/>
      <c r="Q530" s="48"/>
      <c r="R530" s="48"/>
      <c r="S530" s="48"/>
      <c r="T530" s="48"/>
      <c r="U530" s="48"/>
      <c r="V530" s="48"/>
      <c r="W530" s="48"/>
      <c r="X530" s="48"/>
      <c r="Y530" s="48"/>
      <c r="Z530" s="48"/>
      <c r="AA530" s="48"/>
      <c r="AB530" s="49"/>
      <c r="AC530" s="1414" t="s">
        <v>590</v>
      </c>
      <c r="AD530" s="1374"/>
      <c r="AE530" s="1374"/>
      <c r="AF530" s="1374"/>
      <c r="AG530" s="38" t="s">
        <v>402</v>
      </c>
      <c r="AH530" s="1412"/>
      <c r="AI530" s="1412"/>
      <c r="AJ530" s="1412"/>
      <c r="AK530" s="1413"/>
      <c r="AZ530" s="3"/>
      <c r="BA530" s="3"/>
      <c r="BB530" s="3"/>
      <c r="BC530" s="3"/>
      <c r="BD530" s="3"/>
      <c r="BE530" s="3"/>
      <c r="BF530" s="3"/>
      <c r="BG530" s="3"/>
      <c r="BH530" s="3"/>
      <c r="BI530" s="3"/>
      <c r="BJ530" s="3"/>
      <c r="BK530" s="3"/>
      <c r="BL530" s="3"/>
      <c r="BM530" s="3"/>
      <c r="BN530" s="3" t="s">
        <v>2067</v>
      </c>
    </row>
    <row r="531" spans="2:66" ht="13" customHeight="1">
      <c r="B531" s="1393"/>
      <c r="C531" s="1394"/>
      <c r="D531" s="1394"/>
      <c r="E531" s="1394"/>
      <c r="F531" s="1394"/>
      <c r="G531" s="1394"/>
      <c r="H531" s="1395"/>
      <c r="I531" s="42" t="s">
        <v>422</v>
      </c>
      <c r="J531" s="42"/>
      <c r="K531" s="42"/>
      <c r="L531" s="42"/>
      <c r="M531" s="42"/>
      <c r="N531" s="42"/>
      <c r="O531" s="1415" t="s">
        <v>333</v>
      </c>
      <c r="P531" s="1416"/>
      <c r="Q531" s="1416"/>
      <c r="R531" s="1416"/>
      <c r="S531" s="1416"/>
      <c r="T531" s="1416"/>
      <c r="U531" s="1416"/>
      <c r="V531" s="1416"/>
      <c r="W531" s="1416"/>
      <c r="X531" s="1416"/>
      <c r="Y531" s="1416"/>
      <c r="Z531" s="1416"/>
      <c r="AA531" s="1416"/>
      <c r="AC531" s="1414" t="s">
        <v>590</v>
      </c>
      <c r="AD531" s="1374"/>
      <c r="AE531" s="1374"/>
      <c r="AF531" s="1374"/>
      <c r="AG531" s="13" t="s">
        <v>402</v>
      </c>
      <c r="AH531" s="1412"/>
      <c r="AI531" s="1412"/>
      <c r="AJ531" s="1412"/>
      <c r="AK531" s="1413"/>
      <c r="AZ531" s="3"/>
      <c r="BA531" s="3"/>
      <c r="BB531" s="3"/>
      <c r="BC531" s="3"/>
      <c r="BD531" s="3"/>
      <c r="BE531" s="3"/>
      <c r="BF531" s="3"/>
      <c r="BG531" s="3"/>
      <c r="BH531" s="3"/>
      <c r="BI531" s="3"/>
      <c r="BJ531" s="3"/>
      <c r="BK531" s="3"/>
      <c r="BL531" s="3"/>
      <c r="BM531" s="3"/>
      <c r="BN531" s="3" t="s">
        <v>2068</v>
      </c>
    </row>
    <row r="532" spans="2:66" ht="13" customHeight="1">
      <c r="B532" s="1393"/>
      <c r="C532" s="1394"/>
      <c r="D532" s="1394"/>
      <c r="E532" s="1394"/>
      <c r="F532" s="1394"/>
      <c r="G532" s="1394"/>
      <c r="H532" s="1395"/>
      <c r="I532" t="s">
        <v>420</v>
      </c>
      <c r="AC532" s="1414" t="s">
        <v>590</v>
      </c>
      <c r="AD532" s="1374"/>
      <c r="AE532" s="1374"/>
      <c r="AF532" s="1374"/>
      <c r="AG532" s="13" t="s">
        <v>402</v>
      </c>
      <c r="AH532" s="1412"/>
      <c r="AI532" s="1412"/>
      <c r="AJ532" s="1412"/>
      <c r="AK532" s="1413"/>
      <c r="AZ532" s="3"/>
      <c r="BA532" s="3"/>
      <c r="BB532" s="3"/>
      <c r="BC532" s="3"/>
      <c r="BD532" s="3"/>
      <c r="BE532" s="3"/>
      <c r="BF532" s="3"/>
      <c r="BG532" s="3"/>
      <c r="BH532" s="3"/>
      <c r="BI532" s="3"/>
      <c r="BJ532" s="3"/>
      <c r="BK532" s="3"/>
      <c r="BL532" s="3"/>
      <c r="BM532" s="3"/>
      <c r="BN532" s="3" t="s">
        <v>2069</v>
      </c>
    </row>
    <row r="533" spans="2:66" ht="13" customHeight="1">
      <c r="B533" s="1393"/>
      <c r="C533" s="1394"/>
      <c r="D533" s="1394"/>
      <c r="E533" s="1394"/>
      <c r="F533" s="1394"/>
      <c r="G533" s="1394"/>
      <c r="H533" s="1395"/>
      <c r="I533" s="48" t="s">
        <v>421</v>
      </c>
      <c r="J533" s="48"/>
      <c r="K533" s="48"/>
      <c r="L533" s="48"/>
      <c r="M533" s="48"/>
      <c r="N533" s="48"/>
      <c r="O533" s="48"/>
      <c r="P533" s="48"/>
      <c r="Q533" s="48"/>
      <c r="R533" s="48"/>
      <c r="S533" s="48"/>
      <c r="T533" s="48"/>
      <c r="U533" s="48"/>
      <c r="V533" s="48"/>
      <c r="W533" s="48"/>
      <c r="X533" s="48"/>
      <c r="Y533" s="48"/>
      <c r="Z533" s="48"/>
      <c r="AA533" s="48"/>
      <c r="AB533" s="48"/>
      <c r="AC533" s="1414" t="s">
        <v>590</v>
      </c>
      <c r="AD533" s="1374"/>
      <c r="AE533" s="1374"/>
      <c r="AF533" s="1374"/>
      <c r="AG533" s="38" t="s">
        <v>402</v>
      </c>
      <c r="AH533" s="1412"/>
      <c r="AI533" s="1412"/>
      <c r="AJ533" s="1412"/>
      <c r="AK533" s="1413"/>
      <c r="AZ533" s="3"/>
      <c r="BA533" s="3"/>
      <c r="BB533" s="3"/>
      <c r="BC533" s="3"/>
      <c r="BD533" s="3"/>
      <c r="BE533" s="3"/>
      <c r="BF533" s="3"/>
      <c r="BG533" s="3"/>
      <c r="BH533" s="3"/>
      <c r="BI533" s="3"/>
      <c r="BJ533" s="3"/>
      <c r="BK533" s="3"/>
      <c r="BL533" s="3"/>
      <c r="BM533" s="3"/>
      <c r="BN533" s="3" t="s">
        <v>2070</v>
      </c>
    </row>
    <row r="534" spans="2:66" ht="13" customHeight="1">
      <c r="B534" s="1393"/>
      <c r="C534" s="1394"/>
      <c r="D534" s="1394"/>
      <c r="E534" s="1394"/>
      <c r="F534" s="1394"/>
      <c r="G534" s="1394"/>
      <c r="H534" s="1395"/>
      <c r="I534" s="42" t="s">
        <v>422</v>
      </c>
      <c r="J534" s="42"/>
      <c r="K534" s="42"/>
      <c r="L534" s="42"/>
      <c r="M534" s="42"/>
      <c r="N534" s="42"/>
      <c r="O534" s="1415" t="s">
        <v>333</v>
      </c>
      <c r="P534" s="1416"/>
      <c r="Q534" s="1416"/>
      <c r="R534" s="1416"/>
      <c r="S534" s="1416"/>
      <c r="T534" s="1416"/>
      <c r="U534" s="1416"/>
      <c r="V534" s="1416"/>
      <c r="W534" s="1416"/>
      <c r="X534" s="1416"/>
      <c r="Y534" s="1416"/>
      <c r="Z534" s="1416"/>
      <c r="AA534" s="1416"/>
      <c r="AC534" s="1414" t="s">
        <v>590</v>
      </c>
      <c r="AD534" s="1374"/>
      <c r="AE534" s="1374"/>
      <c r="AF534" s="1374"/>
      <c r="AG534" s="13" t="s">
        <v>402</v>
      </c>
      <c r="AH534" s="1412"/>
      <c r="AI534" s="1412"/>
      <c r="AJ534" s="1412"/>
      <c r="AK534" s="1413"/>
      <c r="AZ534" s="3"/>
      <c r="BA534" s="3"/>
      <c r="BB534" s="3"/>
      <c r="BC534" s="3"/>
      <c r="BD534" s="3"/>
      <c r="BE534" s="3"/>
      <c r="BF534" s="3"/>
      <c r="BG534" s="3"/>
      <c r="BH534" s="3"/>
      <c r="BI534" s="3"/>
      <c r="BJ534" s="3"/>
      <c r="BK534" s="3"/>
      <c r="BL534" s="3"/>
      <c r="BM534" s="3"/>
      <c r="BN534" s="3" t="s">
        <v>2071</v>
      </c>
    </row>
    <row r="535" spans="2:66" ht="13" customHeight="1">
      <c r="B535" s="1393"/>
      <c r="C535" s="1394"/>
      <c r="D535" s="1394"/>
      <c r="E535" s="1394"/>
      <c r="F535" s="1394"/>
      <c r="G535" s="1394"/>
      <c r="H535" s="1395"/>
      <c r="I535" t="s">
        <v>420</v>
      </c>
      <c r="AC535" s="1414" t="s">
        <v>590</v>
      </c>
      <c r="AD535" s="1374"/>
      <c r="AE535" s="1374"/>
      <c r="AF535" s="1374"/>
      <c r="AG535" s="13" t="s">
        <v>402</v>
      </c>
      <c r="AH535" s="1412"/>
      <c r="AI535" s="1412"/>
      <c r="AJ535" s="1412"/>
      <c r="AK535" s="1413"/>
      <c r="AZ535" s="3"/>
      <c r="BA535" s="3"/>
      <c r="BB535" s="3"/>
      <c r="BC535" s="3"/>
      <c r="BD535" s="3"/>
      <c r="BE535" s="3"/>
      <c r="BF535" s="3"/>
      <c r="BG535" s="3"/>
      <c r="BH535" s="3"/>
      <c r="BI535" s="3"/>
      <c r="BJ535" s="3"/>
      <c r="BK535" s="3"/>
      <c r="BL535" s="3"/>
      <c r="BM535" s="3"/>
      <c r="BN535" s="3" t="s">
        <v>2072</v>
      </c>
    </row>
    <row r="536" spans="2:66" ht="13" customHeight="1">
      <c r="B536" s="1393"/>
      <c r="C536" s="1394"/>
      <c r="D536" s="1394"/>
      <c r="E536" s="1394"/>
      <c r="F536" s="1394"/>
      <c r="G536" s="1394"/>
      <c r="H536" s="1395"/>
      <c r="I536" s="48" t="s">
        <v>421</v>
      </c>
      <c r="J536" s="48"/>
      <c r="K536" s="48"/>
      <c r="L536" s="48"/>
      <c r="M536" s="48"/>
      <c r="N536" s="48"/>
      <c r="O536" s="48"/>
      <c r="P536" s="48"/>
      <c r="Q536" s="48"/>
      <c r="R536" s="48"/>
      <c r="S536" s="48"/>
      <c r="T536" s="48"/>
      <c r="U536" s="48"/>
      <c r="V536" s="48"/>
      <c r="W536" s="48"/>
      <c r="X536" s="48"/>
      <c r="Y536" s="48"/>
      <c r="Z536" s="48"/>
      <c r="AA536" s="48"/>
      <c r="AB536" s="48"/>
      <c r="AC536" s="1414" t="s">
        <v>590</v>
      </c>
      <c r="AD536" s="1374"/>
      <c r="AE536" s="1374"/>
      <c r="AF536" s="1374"/>
      <c r="AG536" s="38" t="s">
        <v>402</v>
      </c>
      <c r="AH536" s="1412"/>
      <c r="AI536" s="1412"/>
      <c r="AJ536" s="1412"/>
      <c r="AK536" s="1413"/>
      <c r="AZ536" s="3"/>
      <c r="BA536" s="3"/>
      <c r="BB536" s="3"/>
      <c r="BC536" s="3"/>
      <c r="BD536" s="3"/>
      <c r="BE536" s="3"/>
      <c r="BF536" s="3"/>
      <c r="BG536" s="3"/>
      <c r="BH536" s="3"/>
      <c r="BI536" s="3"/>
      <c r="BJ536" s="3"/>
      <c r="BK536" s="3"/>
      <c r="BL536" s="3"/>
      <c r="BM536" s="3"/>
      <c r="BN536" s="3" t="s">
        <v>2073</v>
      </c>
    </row>
    <row r="537" spans="2:66" ht="13" customHeight="1">
      <c r="B537" s="1393"/>
      <c r="C537" s="1394"/>
      <c r="D537" s="1394"/>
      <c r="E537" s="1394"/>
      <c r="F537" s="1394"/>
      <c r="G537" s="1394"/>
      <c r="H537" s="1395"/>
      <c r="I537" s="42" t="s">
        <v>422</v>
      </c>
      <c r="J537" s="42"/>
      <c r="K537" s="42"/>
      <c r="L537" s="42"/>
      <c r="M537" s="42"/>
      <c r="N537" s="42"/>
      <c r="O537" s="1415" t="s">
        <v>333</v>
      </c>
      <c r="P537" s="1416"/>
      <c r="Q537" s="1416"/>
      <c r="R537" s="1416"/>
      <c r="S537" s="1416"/>
      <c r="T537" s="1416"/>
      <c r="U537" s="1416"/>
      <c r="V537" s="1416"/>
      <c r="W537" s="1416"/>
      <c r="X537" s="1416"/>
      <c r="Y537" s="1416"/>
      <c r="Z537" s="1416"/>
      <c r="AA537" s="1416"/>
      <c r="AC537" s="1414" t="s">
        <v>590</v>
      </c>
      <c r="AD537" s="1374"/>
      <c r="AE537" s="1374"/>
      <c r="AF537" s="1374"/>
      <c r="AG537" s="13" t="s">
        <v>402</v>
      </c>
      <c r="AH537" s="1412"/>
      <c r="AI537" s="1412"/>
      <c r="AJ537" s="1412"/>
      <c r="AK537" s="1413"/>
      <c r="AZ537" s="3"/>
      <c r="BA537" s="3"/>
      <c r="BB537" s="3"/>
      <c r="BC537" s="3"/>
      <c r="BD537" s="3"/>
      <c r="BE537" s="3"/>
      <c r="BF537" s="3"/>
      <c r="BG537" s="3"/>
      <c r="BH537" s="3"/>
      <c r="BI537" s="3"/>
      <c r="BJ537" s="3"/>
      <c r="BK537" s="3"/>
      <c r="BL537" s="3"/>
      <c r="BM537" s="3"/>
      <c r="BN537" s="3" t="s">
        <v>2074</v>
      </c>
    </row>
    <row r="538" spans="2:66" ht="13" customHeight="1">
      <c r="B538" s="1393"/>
      <c r="C538" s="1394"/>
      <c r="D538" s="1394"/>
      <c r="E538" s="1394"/>
      <c r="F538" s="1394"/>
      <c r="G538" s="1394"/>
      <c r="H538" s="1395"/>
      <c r="I538" t="s">
        <v>420</v>
      </c>
      <c r="AC538" s="1414" t="s">
        <v>590</v>
      </c>
      <c r="AD538" s="1374"/>
      <c r="AE538" s="1374"/>
      <c r="AF538" s="1374"/>
      <c r="AG538" s="13" t="s">
        <v>402</v>
      </c>
      <c r="AH538" s="1412"/>
      <c r="AI538" s="1412"/>
      <c r="AJ538" s="1412"/>
      <c r="AK538" s="1413"/>
      <c r="AZ538" s="3"/>
      <c r="BA538" s="3"/>
      <c r="BB538" s="3"/>
      <c r="BC538" s="3"/>
      <c r="BD538" s="3"/>
      <c r="BE538" s="3"/>
      <c r="BF538" s="3"/>
      <c r="BG538" s="3"/>
      <c r="BH538" s="3"/>
      <c r="BI538" s="3"/>
      <c r="BJ538" s="3"/>
      <c r="BK538" s="3"/>
      <c r="BL538" s="3"/>
      <c r="BM538" s="3"/>
      <c r="BN538" s="3" t="s">
        <v>2075</v>
      </c>
    </row>
    <row r="539" spans="2:66" ht="13" customHeight="1">
      <c r="B539" s="1393"/>
      <c r="C539" s="1394"/>
      <c r="D539" s="1394"/>
      <c r="E539" s="1394"/>
      <c r="F539" s="1394"/>
      <c r="G539" s="1394"/>
      <c r="H539" s="1395"/>
      <c r="I539" s="48" t="s">
        <v>421</v>
      </c>
      <c r="J539" s="48"/>
      <c r="K539" s="48"/>
      <c r="L539" s="48"/>
      <c r="M539" s="48"/>
      <c r="N539" s="48"/>
      <c r="O539" s="48"/>
      <c r="P539" s="48"/>
      <c r="Q539" s="48"/>
      <c r="R539" s="48"/>
      <c r="S539" s="48"/>
      <c r="T539" s="48"/>
      <c r="U539" s="48"/>
      <c r="V539" s="48"/>
      <c r="W539" s="48"/>
      <c r="X539" s="48"/>
      <c r="Y539" s="48"/>
      <c r="Z539" s="48"/>
      <c r="AA539" s="48"/>
      <c r="AB539" s="48"/>
      <c r="AC539" s="1414" t="s">
        <v>590</v>
      </c>
      <c r="AD539" s="1374"/>
      <c r="AE539" s="1374"/>
      <c r="AF539" s="1374"/>
      <c r="AG539" s="38" t="s">
        <v>402</v>
      </c>
      <c r="AH539" s="1412"/>
      <c r="AI539" s="1412"/>
      <c r="AJ539" s="1412"/>
      <c r="AK539" s="1413"/>
      <c r="AZ539" s="3"/>
      <c r="BA539" s="3"/>
      <c r="BB539" s="3"/>
      <c r="BC539" s="3"/>
      <c r="BD539" s="3"/>
      <c r="BE539" s="3"/>
      <c r="BF539" s="3"/>
      <c r="BG539" s="3"/>
      <c r="BH539" s="3"/>
      <c r="BI539" s="3"/>
      <c r="BJ539" s="3"/>
      <c r="BK539" s="3"/>
      <c r="BL539" s="3"/>
      <c r="BM539" s="3"/>
      <c r="BN539" s="3" t="s">
        <v>2076</v>
      </c>
    </row>
    <row r="540" spans="2:66" ht="13" customHeight="1">
      <c r="B540" s="1393"/>
      <c r="C540" s="1394"/>
      <c r="D540" s="1394"/>
      <c r="E540" s="1394"/>
      <c r="F540" s="1394"/>
      <c r="G540" s="1394"/>
      <c r="H540" s="1395"/>
      <c r="I540" s="42" t="s">
        <v>422</v>
      </c>
      <c r="J540" s="42"/>
      <c r="K540" s="42"/>
      <c r="L540" s="42"/>
      <c r="M540" s="42"/>
      <c r="N540" s="42"/>
      <c r="O540" s="1415" t="s">
        <v>333</v>
      </c>
      <c r="P540" s="1416"/>
      <c r="Q540" s="1416"/>
      <c r="R540" s="1416"/>
      <c r="S540" s="1416"/>
      <c r="T540" s="1416"/>
      <c r="U540" s="1416"/>
      <c r="V540" s="1416"/>
      <c r="W540" s="1416"/>
      <c r="X540" s="1416"/>
      <c r="Y540" s="1416"/>
      <c r="Z540" s="1416"/>
      <c r="AA540" s="1416"/>
      <c r="AC540" s="1414" t="s">
        <v>590</v>
      </c>
      <c r="AD540" s="1374"/>
      <c r="AE540" s="1374"/>
      <c r="AF540" s="1374"/>
      <c r="AG540" s="13" t="s">
        <v>402</v>
      </c>
      <c r="AH540" s="1412"/>
      <c r="AI540" s="1412"/>
      <c r="AJ540" s="1412"/>
      <c r="AK540" s="1413"/>
      <c r="AZ540" s="3"/>
      <c r="BA540" s="3"/>
      <c r="BB540" s="3"/>
      <c r="BC540" s="3"/>
      <c r="BD540" s="3"/>
      <c r="BE540" s="3"/>
      <c r="BF540" s="3"/>
      <c r="BG540" s="3"/>
      <c r="BH540" s="3"/>
      <c r="BI540" s="3"/>
      <c r="BJ540" s="3"/>
      <c r="BK540" s="3"/>
      <c r="BL540" s="3"/>
      <c r="BM540" s="3"/>
      <c r="BN540" s="3" t="s">
        <v>2077</v>
      </c>
    </row>
    <row r="541" spans="2:66" ht="13" customHeight="1">
      <c r="B541" s="1393"/>
      <c r="C541" s="1394"/>
      <c r="D541" s="1394"/>
      <c r="E541" s="1394"/>
      <c r="F541" s="1394"/>
      <c r="G541" s="1394"/>
      <c r="H541" s="1395"/>
      <c r="I541" t="s">
        <v>420</v>
      </c>
      <c r="AC541" s="1414" t="s">
        <v>590</v>
      </c>
      <c r="AD541" s="1374"/>
      <c r="AE541" s="1374"/>
      <c r="AF541" s="1374"/>
      <c r="AG541" s="38" t="s">
        <v>402</v>
      </c>
      <c r="AH541" s="1412"/>
      <c r="AI541" s="1412"/>
      <c r="AJ541" s="1412"/>
      <c r="AK541" s="1413"/>
      <c r="AZ541" s="3"/>
      <c r="BA541" s="3"/>
      <c r="BB541" s="3"/>
      <c r="BC541" s="3"/>
      <c r="BD541" s="3"/>
      <c r="BE541" s="3"/>
      <c r="BF541" s="3"/>
      <c r="BG541" s="3"/>
      <c r="BH541" s="3"/>
      <c r="BI541" s="3"/>
      <c r="BJ541" s="3"/>
      <c r="BK541" s="3"/>
      <c r="BL541" s="3"/>
      <c r="BM541" s="3"/>
      <c r="BN541" s="3" t="s">
        <v>2078</v>
      </c>
    </row>
    <row r="542" spans="2:66" ht="13" customHeight="1">
      <c r="B542" s="1393"/>
      <c r="C542" s="1394"/>
      <c r="D542" s="1394"/>
      <c r="E542" s="1394"/>
      <c r="F542" s="1394"/>
      <c r="G542" s="1394"/>
      <c r="H542" s="1395"/>
      <c r="I542" s="48" t="s">
        <v>421</v>
      </c>
      <c r="J542" s="48"/>
      <c r="K542" s="48"/>
      <c r="L542" s="48"/>
      <c r="M542" s="48"/>
      <c r="N542" s="48"/>
      <c r="O542" s="48"/>
      <c r="P542" s="48"/>
      <c r="Q542" s="48"/>
      <c r="R542" s="48"/>
      <c r="S542" s="48"/>
      <c r="T542" s="48"/>
      <c r="U542" s="48"/>
      <c r="V542" s="48"/>
      <c r="W542" s="48"/>
      <c r="X542" s="48"/>
      <c r="Y542" s="48"/>
      <c r="Z542" s="48"/>
      <c r="AA542" s="48"/>
      <c r="AB542" s="48"/>
      <c r="AC542" s="1414" t="s">
        <v>590</v>
      </c>
      <c r="AD542" s="1374"/>
      <c r="AE542" s="1374"/>
      <c r="AF542" s="1374"/>
      <c r="AG542" s="13" t="s">
        <v>402</v>
      </c>
      <c r="AH542" s="1412"/>
      <c r="AI542" s="1412"/>
      <c r="AJ542" s="1412"/>
      <c r="AK542" s="1413"/>
      <c r="AZ542" s="3"/>
      <c r="BA542" s="3"/>
      <c r="BB542" s="3"/>
      <c r="BC542" s="3"/>
      <c r="BD542" s="3"/>
      <c r="BE542" s="3"/>
      <c r="BF542" s="3"/>
      <c r="BG542" s="3"/>
      <c r="BH542" s="3"/>
      <c r="BI542" s="3"/>
      <c r="BJ542" s="3"/>
      <c r="BK542" s="3"/>
      <c r="BL542" s="3"/>
      <c r="BM542" s="3"/>
      <c r="BN542" s="3" t="s">
        <v>2079</v>
      </c>
    </row>
    <row r="543" spans="2:66" ht="13" customHeight="1">
      <c r="B543" s="1393"/>
      <c r="C543" s="1394"/>
      <c r="D543" s="1394"/>
      <c r="E543" s="1394"/>
      <c r="F543" s="1394"/>
      <c r="G543" s="1394"/>
      <c r="H543" s="1395"/>
      <c r="I543" s="42" t="s">
        <v>422</v>
      </c>
      <c r="J543" s="42"/>
      <c r="K543" s="42"/>
      <c r="L543" s="42"/>
      <c r="M543" s="42"/>
      <c r="N543" s="42"/>
      <c r="O543" s="1415" t="s">
        <v>333</v>
      </c>
      <c r="P543" s="1416"/>
      <c r="Q543" s="1416"/>
      <c r="R543" s="1416"/>
      <c r="S543" s="1416"/>
      <c r="T543" s="1416"/>
      <c r="U543" s="1416"/>
      <c r="V543" s="1416"/>
      <c r="W543" s="1416"/>
      <c r="X543" s="1416"/>
      <c r="Y543" s="1416"/>
      <c r="Z543" s="1416"/>
      <c r="AA543" s="1416"/>
      <c r="AC543" s="1414" t="s">
        <v>590</v>
      </c>
      <c r="AD543" s="1374"/>
      <c r="AE543" s="1374"/>
      <c r="AF543" s="1374"/>
      <c r="AG543" s="38" t="s">
        <v>402</v>
      </c>
      <c r="AH543" s="1412"/>
      <c r="AI543" s="1412"/>
      <c r="AJ543" s="1412"/>
      <c r="AK543" s="1413"/>
      <c r="AZ543" s="3"/>
      <c r="BA543" s="3"/>
      <c r="BB543" s="3"/>
      <c r="BC543" s="3"/>
      <c r="BD543" s="3"/>
      <c r="BE543" s="3"/>
      <c r="BF543" s="3"/>
      <c r="BG543" s="3"/>
      <c r="BH543" s="3"/>
      <c r="BI543" s="3"/>
      <c r="BJ543" s="3"/>
      <c r="BK543" s="3"/>
      <c r="BL543" s="3"/>
      <c r="BM543" s="3"/>
      <c r="BN543" s="3" t="s">
        <v>2080</v>
      </c>
    </row>
    <row r="544" spans="2:66" ht="13" customHeight="1">
      <c r="B544" s="1393"/>
      <c r="C544" s="1394"/>
      <c r="D544" s="1394"/>
      <c r="E544" s="1394"/>
      <c r="F544" s="1394"/>
      <c r="G544" s="1394"/>
      <c r="H544" s="1395"/>
      <c r="I544" t="s">
        <v>420</v>
      </c>
      <c r="AC544" s="1414" t="s">
        <v>590</v>
      </c>
      <c r="AD544" s="1374"/>
      <c r="AE544" s="1374"/>
      <c r="AF544" s="1374"/>
      <c r="AG544" s="13" t="s">
        <v>402</v>
      </c>
      <c r="AH544" s="1412"/>
      <c r="AI544" s="1412"/>
      <c r="AJ544" s="1412"/>
      <c r="AK544" s="1413"/>
      <c r="AZ544" s="3"/>
      <c r="BA544" s="3"/>
      <c r="BB544" s="3"/>
      <c r="BC544" s="3"/>
      <c r="BD544" s="3"/>
      <c r="BE544" s="3"/>
      <c r="BF544" s="3"/>
      <c r="BG544" s="3"/>
      <c r="BH544" s="3"/>
      <c r="BI544" s="3"/>
      <c r="BJ544" s="3"/>
      <c r="BK544" s="3"/>
      <c r="BL544" s="3"/>
      <c r="BM544" s="3"/>
      <c r="BN544" s="3" t="s">
        <v>2081</v>
      </c>
    </row>
    <row r="545" spans="1:66" ht="13" customHeight="1">
      <c r="B545" s="1393"/>
      <c r="C545" s="1394"/>
      <c r="D545" s="1394"/>
      <c r="E545" s="1394"/>
      <c r="F545" s="1394"/>
      <c r="G545" s="1394"/>
      <c r="H545" s="1395"/>
      <c r="I545" s="48" t="s">
        <v>421</v>
      </c>
      <c r="J545" s="48"/>
      <c r="K545" s="48"/>
      <c r="L545" s="48"/>
      <c r="M545" s="48"/>
      <c r="N545" s="48"/>
      <c r="O545" s="48"/>
      <c r="P545" s="48"/>
      <c r="Q545" s="48"/>
      <c r="R545" s="48"/>
      <c r="S545" s="48"/>
      <c r="T545" s="48"/>
      <c r="U545" s="48"/>
      <c r="V545" s="48"/>
      <c r="W545" s="48"/>
      <c r="X545" s="48"/>
      <c r="Y545" s="48"/>
      <c r="Z545" s="48"/>
      <c r="AA545" s="48"/>
      <c r="AB545" s="48"/>
      <c r="AC545" s="1414" t="s">
        <v>590</v>
      </c>
      <c r="AD545" s="1374"/>
      <c r="AE545" s="1374"/>
      <c r="AF545" s="1374"/>
      <c r="AG545" s="38" t="s">
        <v>402</v>
      </c>
      <c r="AH545" s="1412"/>
      <c r="AI545" s="1412"/>
      <c r="AJ545" s="1412"/>
      <c r="AK545" s="1413"/>
      <c r="AZ545" s="3"/>
      <c r="BA545" s="3"/>
      <c r="BB545" s="3"/>
      <c r="BC545" s="3"/>
      <c r="BD545" s="3"/>
      <c r="BE545" s="3"/>
      <c r="BF545" s="3"/>
      <c r="BG545" s="3"/>
      <c r="BH545" s="3"/>
      <c r="BI545" s="3"/>
      <c r="BJ545" s="3"/>
      <c r="BK545" s="3"/>
      <c r="BL545" s="3"/>
      <c r="BM545" s="3"/>
      <c r="BN545" s="3" t="s">
        <v>2082</v>
      </c>
    </row>
    <row r="546" spans="1:66" ht="13" customHeight="1">
      <c r="B546" s="1393"/>
      <c r="C546" s="1394"/>
      <c r="D546" s="1394"/>
      <c r="E546" s="1394"/>
      <c r="F546" s="1394"/>
      <c r="G546" s="1394"/>
      <c r="H546" s="1395"/>
      <c r="I546" s="42" t="s">
        <v>561</v>
      </c>
      <c r="J546" s="42"/>
      <c r="K546" s="42"/>
      <c r="L546" s="42"/>
      <c r="M546" s="42"/>
      <c r="N546" s="42"/>
      <c r="O546" s="42"/>
      <c r="P546" s="42"/>
      <c r="Q546" s="42"/>
      <c r="R546" s="42"/>
      <c r="S546" s="42"/>
      <c r="T546" s="42"/>
      <c r="U546" s="42"/>
      <c r="V546" s="42"/>
      <c r="W546" s="42"/>
      <c r="AC546" s="1414">
        <v>10</v>
      </c>
      <c r="AD546" s="1374"/>
      <c r="AE546" s="1374"/>
      <c r="AF546" s="1374"/>
      <c r="AG546" s="38" t="s">
        <v>402</v>
      </c>
      <c r="AH546" s="1412">
        <v>2026</v>
      </c>
      <c r="AI546" s="1412"/>
      <c r="AJ546" s="1412"/>
      <c r="AK546" s="1413"/>
      <c r="AZ546" s="3"/>
      <c r="BA546" s="3"/>
      <c r="BB546" s="3"/>
      <c r="BC546" s="3"/>
      <c r="BD546" s="3"/>
      <c r="BE546" s="3"/>
      <c r="BF546" s="3"/>
      <c r="BG546" s="3"/>
      <c r="BH546" s="3"/>
      <c r="BI546" s="3"/>
      <c r="BJ546" s="3"/>
      <c r="BK546" s="3"/>
      <c r="BL546" s="3"/>
      <c r="BM546" s="3"/>
      <c r="BN546" s="3"/>
    </row>
    <row r="547" spans="1:66" ht="13" customHeight="1">
      <c r="B547" s="1393"/>
      <c r="C547" s="1394"/>
      <c r="D547" s="1394"/>
      <c r="E547" s="1394"/>
      <c r="F547" s="1394"/>
      <c r="G547" s="1394"/>
      <c r="H547" s="1395"/>
      <c r="I547" t="s">
        <v>562</v>
      </c>
      <c r="AC547" s="1414">
        <v>10</v>
      </c>
      <c r="AD547" s="1374"/>
      <c r="AE547" s="1374"/>
      <c r="AF547" s="1374"/>
      <c r="AG547" s="13" t="s">
        <v>402</v>
      </c>
      <c r="AH547" s="1412">
        <v>2026</v>
      </c>
      <c r="AI547" s="1412"/>
      <c r="AJ547" s="1412"/>
      <c r="AK547" s="1413"/>
      <c r="AZ547" s="3"/>
      <c r="BA547" s="3"/>
      <c r="BB547" s="3"/>
      <c r="BC547" s="3"/>
      <c r="BD547" s="3"/>
      <c r="BE547" s="3"/>
      <c r="BF547" s="3"/>
      <c r="BG547" s="3"/>
      <c r="BH547" s="3"/>
      <c r="BI547" s="3"/>
      <c r="BJ547" s="3"/>
      <c r="BK547" s="3"/>
      <c r="BL547" s="3"/>
      <c r="BM547" s="3"/>
      <c r="BN547" s="3"/>
    </row>
    <row r="548" spans="1:66" ht="13" customHeight="1">
      <c r="B548" s="1393"/>
      <c r="C548" s="1394"/>
      <c r="D548" s="1394"/>
      <c r="E548" s="1394"/>
      <c r="F548" s="1394"/>
      <c r="G548" s="1394"/>
      <c r="H548" s="1395"/>
      <c r="I548" t="s">
        <v>563</v>
      </c>
      <c r="AC548" s="1414">
        <v>8</v>
      </c>
      <c r="AD548" s="1374"/>
      <c r="AE548" s="1374"/>
      <c r="AF548" s="1374"/>
      <c r="AG548" s="38" t="s">
        <v>402</v>
      </c>
      <c r="AH548" s="1412">
        <v>2028</v>
      </c>
      <c r="AI548" s="1412"/>
      <c r="AJ548" s="1412"/>
      <c r="AK548" s="1413"/>
      <c r="AZ548" s="3"/>
      <c r="BA548" s="3"/>
      <c r="BB548" s="3"/>
      <c r="BC548" s="3"/>
      <c r="BD548" s="3"/>
      <c r="BE548" s="3"/>
      <c r="BF548" s="3"/>
      <c r="BG548" s="3"/>
      <c r="BH548" s="3"/>
      <c r="BI548" s="3"/>
      <c r="BJ548" s="3"/>
      <c r="BK548" s="3"/>
      <c r="BL548" s="3"/>
      <c r="BM548" s="3"/>
      <c r="BN548" s="3"/>
    </row>
    <row r="549" spans="1:66" ht="13" customHeight="1">
      <c r="B549" s="1393"/>
      <c r="C549" s="1394"/>
      <c r="D549" s="1394"/>
      <c r="E549" s="1394"/>
      <c r="F549" s="1394"/>
      <c r="G549" s="1394"/>
      <c r="H549" s="1395"/>
      <c r="I549" t="s">
        <v>564</v>
      </c>
      <c r="AC549" s="1414">
        <v>8</v>
      </c>
      <c r="AD549" s="1374"/>
      <c r="AE549" s="1374"/>
      <c r="AF549" s="1374"/>
      <c r="AG549" s="38" t="s">
        <v>402</v>
      </c>
      <c r="AH549" s="1412">
        <v>2028</v>
      </c>
      <c r="AI549" s="1412"/>
      <c r="AJ549" s="1412"/>
      <c r="AK549" s="1413"/>
      <c r="AZ549" s="3"/>
      <c r="BA549" s="3"/>
      <c r="BB549" s="3"/>
      <c r="BC549" s="3"/>
      <c r="BD549" s="3"/>
      <c r="BE549" s="3"/>
      <c r="BF549" s="3"/>
      <c r="BG549" s="3"/>
      <c r="BH549" s="3"/>
      <c r="BI549" s="3"/>
      <c r="BJ549" s="3"/>
      <c r="BK549" s="3"/>
      <c r="BL549" s="3"/>
      <c r="BM549" s="3"/>
      <c r="BN549" s="3"/>
    </row>
    <row r="550" spans="1:66" ht="13" customHeight="1">
      <c r="B550" s="1396"/>
      <c r="C550" s="1397"/>
      <c r="D550" s="1397"/>
      <c r="E550" s="1397"/>
      <c r="F550" s="1397"/>
      <c r="G550" s="1397"/>
      <c r="H550" s="1398"/>
      <c r="I550" s="48" t="s">
        <v>450</v>
      </c>
      <c r="J550" s="48"/>
      <c r="K550" s="48"/>
      <c r="L550" s="48"/>
      <c r="M550" s="48"/>
      <c r="N550" s="48"/>
      <c r="O550" s="48"/>
      <c r="P550" s="48"/>
      <c r="Q550" s="48"/>
      <c r="R550" s="48"/>
      <c r="S550" s="48"/>
      <c r="T550" s="48"/>
      <c r="U550" s="48"/>
      <c r="V550" s="48"/>
      <c r="W550" s="48"/>
      <c r="X550" s="48"/>
      <c r="Y550" s="48"/>
      <c r="Z550" s="48"/>
      <c r="AA550" s="48"/>
      <c r="AB550" s="48"/>
      <c r="AC550" s="1414">
        <v>11</v>
      </c>
      <c r="AD550" s="1374"/>
      <c r="AE550" s="1374"/>
      <c r="AF550" s="1374"/>
      <c r="AG550" s="38" t="s">
        <v>402</v>
      </c>
      <c r="AH550" s="1412">
        <v>2028</v>
      </c>
      <c r="AI550" s="1412"/>
      <c r="AJ550" s="1412"/>
      <c r="AK550" s="1413"/>
      <c r="BB550" s="3"/>
      <c r="BC550" s="3"/>
      <c r="BD550" s="3"/>
      <c r="BE550" s="3"/>
      <c r="BF550" s="3"/>
      <c r="BG550" s="3"/>
      <c r="BH550" s="3" t="s">
        <v>112</v>
      </c>
      <c r="BI550" s="3" t="str">
        <f>N657</f>
        <v>Yes</v>
      </c>
      <c r="BJ550" s="3"/>
      <c r="BK550" s="3"/>
      <c r="BL550" s="3"/>
      <c r="BM550" s="3"/>
      <c r="BN550" s="3"/>
    </row>
    <row r="551" spans="1:66" ht="13"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3" customHeight="1">
      <c r="A552" s="1276" t="s">
        <v>542</v>
      </c>
      <c r="B552" s="1276"/>
      <c r="C552" s="1276"/>
      <c r="D552" s="1276"/>
      <c r="E552" s="1276"/>
      <c r="F552" s="1276"/>
      <c r="G552" s="1276"/>
      <c r="H552" s="1276"/>
      <c r="I552" s="1276"/>
      <c r="J552" s="1276"/>
      <c r="K552" s="1276"/>
      <c r="L552" s="1276"/>
      <c r="M552" s="1276"/>
      <c r="N552" s="1276"/>
      <c r="O552" s="1276"/>
      <c r="P552" s="1276"/>
      <c r="Q552" s="1276"/>
      <c r="R552" s="1276"/>
      <c r="S552" s="1276"/>
      <c r="T552" s="1276"/>
      <c r="U552" s="1276"/>
      <c r="V552" s="1276"/>
      <c r="W552" s="1276"/>
      <c r="X552" s="1276"/>
      <c r="Y552" s="1276"/>
      <c r="Z552" s="1276"/>
      <c r="AA552" s="1276"/>
      <c r="AB552" s="1276"/>
      <c r="AC552" s="1276"/>
      <c r="AD552" s="1276"/>
      <c r="AE552" s="1276"/>
      <c r="AF552" s="1276"/>
      <c r="AG552" s="1276"/>
      <c r="AH552" s="1276"/>
      <c r="AI552" s="1276"/>
      <c r="AJ552" s="1276"/>
      <c r="AK552" s="1276"/>
      <c r="AL552" s="1276"/>
      <c r="AM552" s="1276"/>
      <c r="AN552" s="1276"/>
      <c r="AO552" s="1276"/>
      <c r="AP552" s="1276"/>
      <c r="AQ552" s="1276"/>
      <c r="AR552" s="1276"/>
      <c r="AS552" s="1276"/>
      <c r="AT552" s="1276"/>
      <c r="AU552" s="895"/>
      <c r="AV552" s="895"/>
      <c r="AW552" s="895"/>
      <c r="AX552" s="895"/>
      <c r="AY552" s="895"/>
      <c r="BB552" s="3"/>
      <c r="BC552" s="3"/>
      <c r="BD552" s="3"/>
      <c r="BE552" s="3"/>
      <c r="BF552" s="3"/>
      <c r="BG552" s="3"/>
      <c r="BH552" s="3"/>
      <c r="BI552" s="3"/>
      <c r="BJ552" s="3"/>
      <c r="BK552" s="3"/>
      <c r="BL552" s="3"/>
      <c r="BM552" s="3"/>
      <c r="BN552" s="3"/>
    </row>
    <row r="553" spans="1:66" ht="13" customHeight="1">
      <c r="A553" s="1276"/>
      <c r="B553" s="1276"/>
      <c r="C553" s="1276"/>
      <c r="D553" s="1276"/>
      <c r="E553" s="1276"/>
      <c r="F553" s="1276"/>
      <c r="G553" s="1276"/>
      <c r="H553" s="1276"/>
      <c r="I553" s="1276"/>
      <c r="J553" s="1276"/>
      <c r="K553" s="1276"/>
      <c r="L553" s="1276"/>
      <c r="M553" s="1276"/>
      <c r="N553" s="1276"/>
      <c r="O553" s="1276"/>
      <c r="P553" s="1276"/>
      <c r="Q553" s="1276"/>
      <c r="R553" s="1276"/>
      <c r="S553" s="1276"/>
      <c r="T553" s="1276"/>
      <c r="U553" s="1276"/>
      <c r="V553" s="1276"/>
      <c r="W553" s="1276"/>
      <c r="X553" s="1276"/>
      <c r="Y553" s="1276"/>
      <c r="Z553" s="1276"/>
      <c r="AA553" s="1276"/>
      <c r="AB553" s="1276"/>
      <c r="AC553" s="1276"/>
      <c r="AD553" s="1276"/>
      <c r="AE553" s="1276"/>
      <c r="AF553" s="1276"/>
      <c r="AG553" s="1276"/>
      <c r="AH553" s="1276"/>
      <c r="AI553" s="1276"/>
      <c r="AJ553" s="1276"/>
      <c r="AK553" s="1276"/>
      <c r="AL553" s="1276"/>
      <c r="AM553" s="1276"/>
      <c r="AN553" s="1276"/>
      <c r="AO553" s="1276"/>
      <c r="AP553" s="1276"/>
      <c r="AQ553" s="1276"/>
      <c r="AR553" s="1276"/>
      <c r="AS553" s="1276"/>
      <c r="AT553" s="1276"/>
      <c r="BB553" s="3"/>
      <c r="BC553" s="3"/>
      <c r="BD553" s="3"/>
      <c r="BE553" s="3"/>
      <c r="BF553" s="3"/>
      <c r="BG553" s="3"/>
      <c r="BH553" s="3"/>
      <c r="BI553" s="3"/>
    </row>
    <row r="554" spans="1:66" ht="13" customHeight="1">
      <c r="BB554" s="3"/>
      <c r="BC554" s="3"/>
      <c r="BD554" s="3"/>
      <c r="BE554" s="3"/>
      <c r="BF554" s="3"/>
      <c r="BG554" s="3"/>
      <c r="BH554" s="3"/>
      <c r="BI554" s="3"/>
    </row>
    <row r="555" spans="1:66" ht="13" customHeight="1">
      <c r="A555" s="2" t="s">
        <v>318</v>
      </c>
      <c r="B555" s="2"/>
      <c r="C555" s="2" t="s">
        <v>451</v>
      </c>
      <c r="BB555" s="3"/>
      <c r="BC555" s="3"/>
      <c r="BD555" s="3"/>
      <c r="BE555" s="3"/>
      <c r="BF555" s="3"/>
      <c r="BG555" s="3"/>
      <c r="BH555" s="3"/>
      <c r="BI555" s="3"/>
    </row>
    <row r="556" spans="1:66" ht="13" customHeight="1">
      <c r="A556" s="2"/>
      <c r="B556" s="2"/>
      <c r="C556" s="2"/>
      <c r="BB556" s="3"/>
      <c r="BC556" s="3"/>
      <c r="BD556" s="3"/>
      <c r="BE556" s="3"/>
      <c r="BF556" s="3"/>
      <c r="BG556" s="3"/>
      <c r="BH556" s="3"/>
      <c r="BI556" s="3"/>
    </row>
    <row r="557" spans="1:66" ht="13" customHeight="1">
      <c r="A557" s="2"/>
      <c r="B557" s="2"/>
      <c r="C557" s="2"/>
      <c r="D557" s="2" t="s">
        <v>2054</v>
      </c>
      <c r="AC557" s="98"/>
      <c r="BB557" s="3"/>
      <c r="BC557" s="3"/>
      <c r="BD557" s="3"/>
      <c r="BE557" s="3"/>
      <c r="BF557" s="3"/>
      <c r="BG557" s="3"/>
      <c r="BH557" s="3"/>
      <c r="BI557" s="3"/>
    </row>
    <row r="558" spans="1:66" ht="13" customHeight="1">
      <c r="B558" s="512"/>
      <c r="BB558" s="3"/>
      <c r="BC558" s="3"/>
      <c r="BD558" s="3"/>
      <c r="BE558" s="3"/>
      <c r="BF558" s="3"/>
      <c r="BG558" s="3"/>
      <c r="BH558" s="3" t="s">
        <v>119</v>
      </c>
      <c r="BI558" s="3" t="str">
        <f>N665</f>
        <v>Yes</v>
      </c>
    </row>
    <row r="559" spans="1:66" ht="13" customHeight="1">
      <c r="B559" s="1390" t="s">
        <v>2056</v>
      </c>
      <c r="C559" s="1391"/>
      <c r="D559" s="1391"/>
      <c r="E559" s="1391"/>
      <c r="F559" s="1391"/>
      <c r="G559" s="1391"/>
      <c r="H559" s="1391"/>
      <c r="I559" s="1391"/>
      <c r="J559" s="1391"/>
      <c r="K559" s="1391"/>
      <c r="L559" s="1392"/>
      <c r="M559" s="1390" t="s">
        <v>2057</v>
      </c>
      <c r="N559" s="1391"/>
      <c r="O559" s="1391"/>
      <c r="P559" s="1392"/>
      <c r="Q559" s="1390" t="s">
        <v>2083</v>
      </c>
      <c r="R559" s="1391"/>
      <c r="S559" s="1392"/>
      <c r="T559" s="1390" t="s">
        <v>2084</v>
      </c>
      <c r="U559" s="1391"/>
      <c r="V559" s="1392"/>
      <c r="W559" s="1390" t="s">
        <v>452</v>
      </c>
      <c r="X559" s="1391"/>
      <c r="Y559" s="1392"/>
      <c r="Z559" s="1390" t="s">
        <v>1826</v>
      </c>
      <c r="AA559" s="1391"/>
      <c r="AB559" s="1391"/>
      <c r="AC559" s="1391"/>
      <c r="AD559" s="1392"/>
      <c r="AE559" s="1390" t="s">
        <v>1663</v>
      </c>
      <c r="AF559" s="1391"/>
      <c r="AG559" s="1391"/>
      <c r="AH559" s="1392"/>
      <c r="AI559" s="1390" t="s">
        <v>1664</v>
      </c>
      <c r="AJ559" s="1391"/>
      <c r="AK559" s="1391"/>
      <c r="AL559" s="1392"/>
      <c r="AM559" s="1390" t="s">
        <v>453</v>
      </c>
      <c r="AN559" s="1391"/>
      <c r="AO559" s="1391"/>
      <c r="AP559" s="1391"/>
      <c r="AQ559" s="1391"/>
      <c r="AR559" s="1391"/>
      <c r="AS559" s="1392"/>
      <c r="BB559" s="3"/>
      <c r="BC559" s="3"/>
      <c r="BD559" s="3"/>
      <c r="BE559" s="3"/>
      <c r="BF559" s="3"/>
      <c r="BG559" s="3"/>
      <c r="BH559" s="3" t="s">
        <v>580</v>
      </c>
      <c r="BI559" s="3" t="str">
        <f>AG665</f>
        <v>Yes</v>
      </c>
    </row>
    <row r="560" spans="1:66" ht="13" customHeight="1">
      <c r="B560" s="1393"/>
      <c r="C560" s="1394"/>
      <c r="D560" s="1394"/>
      <c r="E560" s="1394"/>
      <c r="F560" s="1394"/>
      <c r="G560" s="1394"/>
      <c r="H560" s="1394"/>
      <c r="I560" s="1394"/>
      <c r="J560" s="1394"/>
      <c r="K560" s="1394"/>
      <c r="L560" s="1395"/>
      <c r="M560" s="1393"/>
      <c r="N560" s="1394"/>
      <c r="O560" s="1394"/>
      <c r="P560" s="1395"/>
      <c r="Q560" s="1393"/>
      <c r="R560" s="1394"/>
      <c r="S560" s="1395"/>
      <c r="T560" s="1393"/>
      <c r="U560" s="1394"/>
      <c r="V560" s="1395"/>
      <c r="W560" s="1393"/>
      <c r="X560" s="1394"/>
      <c r="Y560" s="1395"/>
      <c r="Z560" s="1393"/>
      <c r="AA560" s="1394"/>
      <c r="AB560" s="1394"/>
      <c r="AC560" s="1394"/>
      <c r="AD560" s="1395"/>
      <c r="AE560" s="1393"/>
      <c r="AF560" s="1394"/>
      <c r="AG560" s="1394"/>
      <c r="AH560" s="1395"/>
      <c r="AI560" s="1393"/>
      <c r="AJ560" s="1394"/>
      <c r="AK560" s="1394"/>
      <c r="AL560" s="1395"/>
      <c r="AM560" s="1393"/>
      <c r="AN560" s="1394"/>
      <c r="AO560" s="1394"/>
      <c r="AP560" s="1394"/>
      <c r="AQ560" s="1394"/>
      <c r="AR560" s="1394"/>
      <c r="AS560" s="1395"/>
      <c r="AU560" s="1141"/>
      <c r="BB560" s="3"/>
      <c r="BC560" s="3"/>
      <c r="BD560" s="3"/>
      <c r="BE560" s="3"/>
      <c r="BF560" s="3"/>
      <c r="BG560" s="3"/>
      <c r="BH560" s="3"/>
      <c r="BI560" s="3"/>
    </row>
    <row r="561" spans="1:61" ht="13" customHeight="1">
      <c r="B561" s="1396"/>
      <c r="C561" s="1397"/>
      <c r="D561" s="1397"/>
      <c r="E561" s="1397"/>
      <c r="F561" s="1397"/>
      <c r="G561" s="1397"/>
      <c r="H561" s="1397"/>
      <c r="I561" s="1397"/>
      <c r="J561" s="1397"/>
      <c r="K561" s="1397"/>
      <c r="L561" s="1398"/>
      <c r="M561" s="1396"/>
      <c r="N561" s="1397"/>
      <c r="O561" s="1397"/>
      <c r="P561" s="1398"/>
      <c r="Q561" s="1396"/>
      <c r="R561" s="1397"/>
      <c r="S561" s="1398"/>
      <c r="T561" s="1396"/>
      <c r="U561" s="1397"/>
      <c r="V561" s="1398"/>
      <c r="W561" s="1396"/>
      <c r="X561" s="1397"/>
      <c r="Y561" s="1398"/>
      <c r="Z561" s="1396"/>
      <c r="AA561" s="1397"/>
      <c r="AB561" s="1397"/>
      <c r="AC561" s="1397"/>
      <c r="AD561" s="1398"/>
      <c r="AE561" s="1396"/>
      <c r="AF561" s="1397"/>
      <c r="AG561" s="1397"/>
      <c r="AH561" s="1398"/>
      <c r="AI561" s="1396"/>
      <c r="AJ561" s="1397"/>
      <c r="AK561" s="1397"/>
      <c r="AL561" s="1398"/>
      <c r="AM561" s="1396"/>
      <c r="AN561" s="1397"/>
      <c r="AO561" s="1397"/>
      <c r="AP561" s="1397"/>
      <c r="AQ561" s="1397"/>
      <c r="AR561" s="1397"/>
      <c r="AS561" s="1398"/>
      <c r="AU561" s="1141"/>
      <c r="BB561" s="3"/>
      <c r="BC561" s="3"/>
      <c r="BD561" s="3"/>
      <c r="BE561" s="3"/>
      <c r="BF561" s="3"/>
      <c r="BG561" s="3"/>
      <c r="BH561" s="3"/>
      <c r="BI561" s="3"/>
    </row>
    <row r="562" spans="1:61" ht="13" customHeight="1">
      <c r="B562" s="51" t="s">
        <v>112</v>
      </c>
      <c r="C562" s="1463" t="s">
        <v>2735</v>
      </c>
      <c r="D562" s="1463"/>
      <c r="E562" s="1463"/>
      <c r="F562" s="1463"/>
      <c r="G562" s="1463"/>
      <c r="H562" s="1463"/>
      <c r="I562" s="1463"/>
      <c r="J562" s="1463"/>
      <c r="K562" s="1463"/>
      <c r="L562" s="1463"/>
      <c r="M562" s="1463" t="s">
        <v>2073</v>
      </c>
      <c r="N562" s="1463"/>
      <c r="O562" s="1463"/>
      <c r="P562" s="1463"/>
      <c r="Q562" s="1459">
        <v>24</v>
      </c>
      <c r="R562" s="1459"/>
      <c r="S562" s="1460"/>
      <c r="T562" s="1458"/>
      <c r="U562" s="1459"/>
      <c r="V562" s="1460"/>
      <c r="W562" s="1455">
        <v>6.7500000000000004E-2</v>
      </c>
      <c r="X562" s="1456"/>
      <c r="Y562" s="1457"/>
      <c r="Z562" s="1426" t="s">
        <v>2737</v>
      </c>
      <c r="AA562" s="1426"/>
      <c r="AB562" s="1426"/>
      <c r="AC562" s="1426"/>
      <c r="AD562" s="1426"/>
      <c r="AE562" s="1406">
        <v>1</v>
      </c>
      <c r="AF562" s="1407"/>
      <c r="AG562" s="1407"/>
      <c r="AH562" s="1408"/>
      <c r="AI562" s="1467"/>
      <c r="AJ562" s="1468"/>
      <c r="AK562" s="1468"/>
      <c r="AL562" s="1469"/>
      <c r="AM562" s="1464">
        <v>18240960</v>
      </c>
      <c r="AN562" s="1465"/>
      <c r="AO562" s="1465"/>
      <c r="AP562" s="1465"/>
      <c r="AQ562" s="1465"/>
      <c r="AR562" s="1465"/>
      <c r="AS562" s="1466"/>
      <c r="AT562" s="1142"/>
      <c r="AU562" s="1141"/>
      <c r="BB562" s="3"/>
      <c r="BC562" s="3"/>
      <c r="BD562" s="3"/>
      <c r="BE562" s="3"/>
      <c r="BF562" s="3"/>
      <c r="BG562" s="3"/>
      <c r="BH562" s="3"/>
      <c r="BI562" s="3"/>
    </row>
    <row r="563" spans="1:61" ht="13" customHeight="1">
      <c r="B563" s="52" t="s">
        <v>113</v>
      </c>
      <c r="C563" s="1496" t="s">
        <v>2770</v>
      </c>
      <c r="D563" s="1496"/>
      <c r="E563" s="1496"/>
      <c r="F563" s="1496"/>
      <c r="G563" s="1496"/>
      <c r="H563" s="1496"/>
      <c r="I563" s="1496"/>
      <c r="J563" s="1496"/>
      <c r="K563" s="1496"/>
      <c r="L563" s="1496"/>
      <c r="M563" s="1463" t="s">
        <v>2074</v>
      </c>
      <c r="N563" s="1463"/>
      <c r="O563" s="1463"/>
      <c r="P563" s="1463"/>
      <c r="Q563" s="1458">
        <v>24</v>
      </c>
      <c r="R563" s="1459"/>
      <c r="S563" s="1460"/>
      <c r="T563" s="1458"/>
      <c r="U563" s="1459"/>
      <c r="V563" s="1460"/>
      <c r="W563" s="1455">
        <v>0.08</v>
      </c>
      <c r="X563" s="1456"/>
      <c r="Y563" s="1457"/>
      <c r="Z563" s="1426" t="s">
        <v>2737</v>
      </c>
      <c r="AA563" s="1426"/>
      <c r="AB563" s="1426"/>
      <c r="AC563" s="1426"/>
      <c r="AD563" s="1426"/>
      <c r="AE563" s="1406">
        <v>2</v>
      </c>
      <c r="AF563" s="1407"/>
      <c r="AG563" s="1407"/>
      <c r="AH563" s="1408"/>
      <c r="AI563" s="1467"/>
      <c r="AJ563" s="1468"/>
      <c r="AK563" s="1468"/>
      <c r="AL563" s="1469"/>
      <c r="AM563" s="1464">
        <v>5000000</v>
      </c>
      <c r="AN563" s="1465"/>
      <c r="AO563" s="1465"/>
      <c r="AP563" s="1465"/>
      <c r="AQ563" s="1465"/>
      <c r="AR563" s="1465"/>
      <c r="AS563" s="1466"/>
      <c r="AT563" s="1142" t="str">
        <f>IF(AND(NOT(C562=""),C563="",NOT(C564="")),"!","")</f>
        <v/>
      </c>
      <c r="AU563" s="1141"/>
      <c r="BB563" s="3"/>
      <c r="BC563" s="3"/>
      <c r="BD563" s="3"/>
      <c r="BE563" s="3"/>
      <c r="BF563" s="3"/>
      <c r="BG563" s="3"/>
      <c r="BH563" s="3"/>
      <c r="BI563" s="3"/>
    </row>
    <row r="564" spans="1:61" ht="13" customHeight="1">
      <c r="B564" s="52" t="s">
        <v>119</v>
      </c>
      <c r="C564" s="1496" t="s">
        <v>2735</v>
      </c>
      <c r="D564" s="1496"/>
      <c r="E564" s="1496"/>
      <c r="F564" s="1496"/>
      <c r="G564" s="1496"/>
      <c r="H564" s="1496"/>
      <c r="I564" s="1496"/>
      <c r="J564" s="1496"/>
      <c r="K564" s="1496"/>
      <c r="L564" s="1496"/>
      <c r="M564" s="1463" t="s">
        <v>2072</v>
      </c>
      <c r="N564" s="1463"/>
      <c r="O564" s="1463"/>
      <c r="P564" s="1463"/>
      <c r="Q564" s="1458">
        <v>24</v>
      </c>
      <c r="R564" s="1459"/>
      <c r="S564" s="1460"/>
      <c r="T564" s="1458"/>
      <c r="U564" s="1459"/>
      <c r="V564" s="1460"/>
      <c r="W564" s="1455">
        <v>6.7500000000000004E-2</v>
      </c>
      <c r="X564" s="1456"/>
      <c r="Y564" s="1457"/>
      <c r="Z564" s="1426" t="s">
        <v>2737</v>
      </c>
      <c r="AA564" s="1426"/>
      <c r="AB564" s="1426"/>
      <c r="AC564" s="1426"/>
      <c r="AD564" s="1426"/>
      <c r="AE564" s="1406">
        <v>1</v>
      </c>
      <c r="AF564" s="1407"/>
      <c r="AG564" s="1407"/>
      <c r="AH564" s="1408"/>
      <c r="AI564" s="1467"/>
      <c r="AJ564" s="1468"/>
      <c r="AK564" s="1468"/>
      <c r="AL564" s="1469"/>
      <c r="AM564" s="1464">
        <v>18752850</v>
      </c>
      <c r="AN564" s="1465"/>
      <c r="AO564" s="1465"/>
      <c r="AP564" s="1465"/>
      <c r="AQ564" s="1465"/>
      <c r="AR564" s="1465"/>
      <c r="AS564" s="1466"/>
      <c r="AT564" s="1142" t="str">
        <f>IF(AND(NOT(C563=""),C564="",NOT(C565="")),"!","")</f>
        <v/>
      </c>
      <c r="AU564" s="1141"/>
      <c r="BB564" s="3"/>
      <c r="BC564" s="3"/>
      <c r="BD564" s="3"/>
      <c r="BE564" s="3"/>
      <c r="BF564" s="3"/>
      <c r="BG564" s="3"/>
      <c r="BH564" s="3"/>
      <c r="BI564" s="3"/>
    </row>
    <row r="565" spans="1:61" ht="13" customHeight="1">
      <c r="B565" s="52" t="s">
        <v>580</v>
      </c>
      <c r="C565" s="1496" t="s">
        <v>2698</v>
      </c>
      <c r="D565" s="1496"/>
      <c r="E565" s="1496"/>
      <c r="F565" s="1496"/>
      <c r="G565" s="1496"/>
      <c r="H565" s="1496"/>
      <c r="I565" s="1496"/>
      <c r="J565" s="1496"/>
      <c r="K565" s="1496"/>
      <c r="L565" s="1496"/>
      <c r="M565" s="1463" t="s">
        <v>2064</v>
      </c>
      <c r="N565" s="1463"/>
      <c r="O565" s="1463"/>
      <c r="P565" s="1463"/>
      <c r="Q565" s="1458"/>
      <c r="R565" s="1459"/>
      <c r="S565" s="1460"/>
      <c r="T565" s="1458"/>
      <c r="U565" s="1459"/>
      <c r="V565" s="1460"/>
      <c r="W565" s="1455"/>
      <c r="X565" s="1456"/>
      <c r="Y565" s="1457"/>
      <c r="Z565" s="1426" t="s">
        <v>1182</v>
      </c>
      <c r="AA565" s="1426"/>
      <c r="AB565" s="1426"/>
      <c r="AC565" s="1426"/>
      <c r="AD565" s="1426"/>
      <c r="AE565" s="1406"/>
      <c r="AF565" s="1407"/>
      <c r="AG565" s="1407"/>
      <c r="AH565" s="1408"/>
      <c r="AI565" s="1467"/>
      <c r="AJ565" s="1468"/>
      <c r="AK565" s="1468"/>
      <c r="AL565" s="1469"/>
      <c r="AM565" s="1464">
        <v>9916293</v>
      </c>
      <c r="AN565" s="1465"/>
      <c r="AO565" s="1465"/>
      <c r="AP565" s="1465"/>
      <c r="AQ565" s="1465"/>
      <c r="AR565" s="1465"/>
      <c r="AS565" s="1466"/>
      <c r="AT565" s="1142" t="str">
        <f>IF(AND(NOT(C564=""),C565="",NOT(C566="")),"!","")</f>
        <v/>
      </c>
      <c r="AU565" s="1141"/>
      <c r="BB565" s="3"/>
      <c r="BC565" s="3"/>
      <c r="BD565" s="3"/>
      <c r="BE565" s="3"/>
      <c r="BF565" s="3"/>
      <c r="BG565" s="3"/>
      <c r="BH565" s="3"/>
      <c r="BI565" s="3"/>
    </row>
    <row r="566" spans="1:61" ht="13" customHeight="1">
      <c r="B566" s="52" t="s">
        <v>762</v>
      </c>
      <c r="C566" s="1496" t="s">
        <v>2736</v>
      </c>
      <c r="D566" s="1496"/>
      <c r="E566" s="1496"/>
      <c r="F566" s="1496"/>
      <c r="G566" s="1496"/>
      <c r="H566" s="1496"/>
      <c r="I566" s="1496"/>
      <c r="J566" s="1496"/>
      <c r="K566" s="1496"/>
      <c r="L566" s="1496"/>
      <c r="M566" s="1463" t="s">
        <v>2081</v>
      </c>
      <c r="N566" s="1463"/>
      <c r="O566" s="1463"/>
      <c r="P566" s="1463"/>
      <c r="Q566" s="1458"/>
      <c r="R566" s="1459"/>
      <c r="S566" s="1460"/>
      <c r="T566" s="1458"/>
      <c r="U566" s="1459"/>
      <c r="V566" s="1460"/>
      <c r="W566" s="1455"/>
      <c r="X566" s="1456"/>
      <c r="Y566" s="1457"/>
      <c r="Z566" s="1426" t="s">
        <v>1182</v>
      </c>
      <c r="AA566" s="1426"/>
      <c r="AB566" s="1426"/>
      <c r="AC566" s="1426"/>
      <c r="AD566" s="1426"/>
      <c r="AE566" s="1406"/>
      <c r="AF566" s="1407"/>
      <c r="AG566" s="1407"/>
      <c r="AH566" s="1408"/>
      <c r="AI566" s="1467"/>
      <c r="AJ566" s="1468"/>
      <c r="AK566" s="1468"/>
      <c r="AL566" s="1469"/>
      <c r="AM566" s="1464">
        <v>3850000</v>
      </c>
      <c r="AN566" s="1465"/>
      <c r="AO566" s="1465"/>
      <c r="AP566" s="1465"/>
      <c r="AQ566" s="1465"/>
      <c r="AR566" s="1465"/>
      <c r="AS566" s="1466"/>
      <c r="AT566" s="1142" t="str">
        <f t="shared" ref="AT566:AT573" si="2">IF(AND(NOT(C565=""),C566="",NOT(C567="")),"!","")</f>
        <v/>
      </c>
      <c r="AU566" s="1141"/>
      <c r="BB566" s="3"/>
      <c r="BC566" s="3"/>
      <c r="BD566" s="3"/>
      <c r="BE566" s="3"/>
      <c r="BF566" s="3"/>
      <c r="BG566" s="3"/>
      <c r="BH566" s="3" t="s">
        <v>762</v>
      </c>
      <c r="BI566" s="3" t="str">
        <f>N673</f>
        <v>No</v>
      </c>
    </row>
    <row r="567" spans="1:61" ht="13" customHeight="1">
      <c r="B567" s="52" t="s">
        <v>583</v>
      </c>
      <c r="C567" s="1496" t="s">
        <v>2644</v>
      </c>
      <c r="D567" s="1496"/>
      <c r="E567" s="1496"/>
      <c r="F567" s="1496"/>
      <c r="G567" s="1496"/>
      <c r="H567" s="1496"/>
      <c r="I567" s="1496"/>
      <c r="J567" s="1496"/>
      <c r="K567" s="1496"/>
      <c r="L567" s="1496"/>
      <c r="M567" s="1463" t="s">
        <v>2060</v>
      </c>
      <c r="N567" s="1463"/>
      <c r="O567" s="1463"/>
      <c r="P567" s="1463"/>
      <c r="Q567" s="1458"/>
      <c r="R567" s="1459"/>
      <c r="S567" s="1460"/>
      <c r="T567" s="1458"/>
      <c r="U567" s="1459"/>
      <c r="V567" s="1460"/>
      <c r="W567" s="1455"/>
      <c r="X567" s="1456"/>
      <c r="Y567" s="1457"/>
      <c r="Z567" s="1426" t="s">
        <v>1182</v>
      </c>
      <c r="AA567" s="1426"/>
      <c r="AB567" s="1426"/>
      <c r="AC567" s="1426"/>
      <c r="AD567" s="1426"/>
      <c r="AE567" s="1406"/>
      <c r="AF567" s="1407"/>
      <c r="AG567" s="1407"/>
      <c r="AH567" s="1408"/>
      <c r="AI567" s="1467"/>
      <c r="AJ567" s="1468"/>
      <c r="AK567" s="1468"/>
      <c r="AL567" s="1469"/>
      <c r="AM567" s="1464">
        <v>11055127</v>
      </c>
      <c r="AN567" s="1465"/>
      <c r="AO567" s="1465"/>
      <c r="AP567" s="1465"/>
      <c r="AQ567" s="1465"/>
      <c r="AR567" s="1465"/>
      <c r="AS567" s="1466"/>
      <c r="AT567" s="1142" t="str">
        <f t="shared" si="2"/>
        <v/>
      </c>
      <c r="AU567" s="1141"/>
      <c r="BB567" s="3"/>
      <c r="BC567" s="3"/>
      <c r="BD567" s="3"/>
      <c r="BE567" s="3"/>
      <c r="BF567" s="3"/>
      <c r="BG567" s="3"/>
      <c r="BH567" s="3" t="s">
        <v>583</v>
      </c>
      <c r="BI567" s="3" t="str">
        <f>AG673</f>
        <v>No</v>
      </c>
    </row>
    <row r="568" spans="1:61" ht="13" customHeight="1">
      <c r="B568" s="52" t="s">
        <v>454</v>
      </c>
      <c r="C568" s="1496" t="s">
        <v>2644</v>
      </c>
      <c r="D568" s="1496"/>
      <c r="E568" s="1496"/>
      <c r="F568" s="1496"/>
      <c r="G568" s="1496"/>
      <c r="H568" s="1496"/>
      <c r="I568" s="1496"/>
      <c r="J568" s="1496"/>
      <c r="K568" s="1496"/>
      <c r="L568" s="1496"/>
      <c r="M568" s="1463" t="s">
        <v>2059</v>
      </c>
      <c r="N568" s="1463"/>
      <c r="O568" s="1463"/>
      <c r="P568" s="1463"/>
      <c r="Q568" s="1458"/>
      <c r="R568" s="1459"/>
      <c r="S568" s="1460"/>
      <c r="T568" s="1458"/>
      <c r="U568" s="1459"/>
      <c r="V568" s="1460"/>
      <c r="W568" s="1455"/>
      <c r="X568" s="1456"/>
      <c r="Y568" s="1457"/>
      <c r="Z568" s="1426" t="s">
        <v>1182</v>
      </c>
      <c r="AA568" s="1426"/>
      <c r="AB568" s="1426"/>
      <c r="AC568" s="1426"/>
      <c r="AD568" s="1426"/>
      <c r="AE568" s="1406"/>
      <c r="AF568" s="1407"/>
      <c r="AG568" s="1407"/>
      <c r="AH568" s="1408"/>
      <c r="AI568" s="1467"/>
      <c r="AJ568" s="1468"/>
      <c r="AK568" s="1468"/>
      <c r="AL568" s="1469"/>
      <c r="AM568" s="1464">
        <v>644209</v>
      </c>
      <c r="AN568" s="1465"/>
      <c r="AO568" s="1465"/>
      <c r="AP568" s="1465"/>
      <c r="AQ568" s="1465"/>
      <c r="AR568" s="1465"/>
      <c r="AS568" s="1466"/>
      <c r="AT568" s="1142" t="str">
        <f t="shared" si="2"/>
        <v/>
      </c>
      <c r="AU568" s="1141"/>
      <c r="BB568" s="3"/>
      <c r="BC568" s="3"/>
      <c r="BD568" s="3"/>
      <c r="BE568" s="3"/>
      <c r="BF568" s="3"/>
      <c r="BG568" s="3"/>
      <c r="BH568" s="3"/>
      <c r="BI568" s="3"/>
    </row>
    <row r="569" spans="1:61" ht="13" customHeight="1">
      <c r="B569" s="52" t="s">
        <v>455</v>
      </c>
      <c r="C569" s="1496"/>
      <c r="D569" s="1496"/>
      <c r="E569" s="1496"/>
      <c r="F569" s="1496"/>
      <c r="G569" s="1496"/>
      <c r="H569" s="1496"/>
      <c r="I569" s="1496"/>
      <c r="J569" s="1496"/>
      <c r="K569" s="1496"/>
      <c r="L569" s="1496"/>
      <c r="M569" s="1463" t="s">
        <v>1182</v>
      </c>
      <c r="N569" s="1463"/>
      <c r="O569" s="1463"/>
      <c r="P569" s="1463"/>
      <c r="Q569" s="1458"/>
      <c r="R569" s="1459"/>
      <c r="S569" s="1460"/>
      <c r="T569" s="1458"/>
      <c r="U569" s="1459"/>
      <c r="V569" s="1460"/>
      <c r="W569" s="1455"/>
      <c r="X569" s="1456"/>
      <c r="Y569" s="1457"/>
      <c r="Z569" s="1426" t="s">
        <v>1182</v>
      </c>
      <c r="AA569" s="1426"/>
      <c r="AB569" s="1426"/>
      <c r="AC569" s="1426"/>
      <c r="AD569" s="1426"/>
      <c r="AE569" s="1406"/>
      <c r="AF569" s="1407"/>
      <c r="AG569" s="1407"/>
      <c r="AH569" s="1408"/>
      <c r="AI569" s="1467"/>
      <c r="AJ569" s="1468"/>
      <c r="AK569" s="1468"/>
      <c r="AL569" s="1469"/>
      <c r="AM569" s="1464"/>
      <c r="AN569" s="1465"/>
      <c r="AO569" s="1465"/>
      <c r="AP569" s="1465"/>
      <c r="AQ569" s="1465"/>
      <c r="AR569" s="1465"/>
      <c r="AS569" s="1466"/>
      <c r="AT569" s="1142" t="str">
        <f t="shared" si="2"/>
        <v/>
      </c>
      <c r="AU569" s="1141"/>
      <c r="BB569" s="3"/>
      <c r="BC569" s="3"/>
      <c r="BD569" s="3"/>
      <c r="BE569" s="3"/>
      <c r="BF569" s="3"/>
      <c r="BG569" s="3"/>
      <c r="BH569" s="3"/>
      <c r="BI569" s="3"/>
    </row>
    <row r="570" spans="1:61" ht="13" customHeight="1">
      <c r="B570" s="52" t="s">
        <v>460</v>
      </c>
      <c r="C570" s="1496"/>
      <c r="D570" s="1496"/>
      <c r="E570" s="1496"/>
      <c r="F570" s="1496"/>
      <c r="G570" s="1496"/>
      <c r="H570" s="1496"/>
      <c r="I570" s="1496"/>
      <c r="J570" s="1496"/>
      <c r="K570" s="1496"/>
      <c r="L570" s="1496"/>
      <c r="M570" s="1463" t="s">
        <v>1182</v>
      </c>
      <c r="N570" s="1463"/>
      <c r="O570" s="1463"/>
      <c r="P570" s="1463"/>
      <c r="Q570" s="1458"/>
      <c r="R570" s="1459"/>
      <c r="S570" s="1460"/>
      <c r="T570" s="1458"/>
      <c r="U570" s="1459"/>
      <c r="V570" s="1460"/>
      <c r="W570" s="1455"/>
      <c r="X570" s="1456"/>
      <c r="Y570" s="1457"/>
      <c r="Z570" s="1426" t="s">
        <v>1182</v>
      </c>
      <c r="AA570" s="1426"/>
      <c r="AB570" s="1426"/>
      <c r="AC570" s="1426"/>
      <c r="AD570" s="1426"/>
      <c r="AE570" s="1406"/>
      <c r="AF570" s="1407"/>
      <c r="AG570" s="1407"/>
      <c r="AH570" s="1408"/>
      <c r="AI570" s="1467"/>
      <c r="AJ570" s="1468"/>
      <c r="AK570" s="1468"/>
      <c r="AL570" s="1469"/>
      <c r="AM570" s="1464"/>
      <c r="AN570" s="1465"/>
      <c r="AO570" s="1465"/>
      <c r="AP570" s="1465"/>
      <c r="AQ570" s="1465"/>
      <c r="AR570" s="1465"/>
      <c r="AS570" s="1466"/>
      <c r="AT570" s="1142" t="str">
        <f t="shared" si="2"/>
        <v/>
      </c>
      <c r="AU570" s="1141"/>
      <c r="BB570" s="3"/>
      <c r="BC570" s="3"/>
      <c r="BD570" s="3"/>
      <c r="BE570" s="3"/>
      <c r="BF570" s="3"/>
      <c r="BG570" s="3"/>
      <c r="BH570" s="3"/>
      <c r="BI570" s="3"/>
    </row>
    <row r="571" spans="1:61" ht="13" customHeight="1">
      <c r="B571" s="52" t="s">
        <v>645</v>
      </c>
      <c r="C571" s="1496"/>
      <c r="D571" s="1496"/>
      <c r="E571" s="1496"/>
      <c r="F571" s="1496"/>
      <c r="G571" s="1496"/>
      <c r="H571" s="1496"/>
      <c r="I571" s="1496"/>
      <c r="J571" s="1496"/>
      <c r="K571" s="1496"/>
      <c r="L571" s="1496"/>
      <c r="M571" s="1463" t="s">
        <v>1182</v>
      </c>
      <c r="N571" s="1463"/>
      <c r="O571" s="1463"/>
      <c r="P571" s="1463"/>
      <c r="Q571" s="1458"/>
      <c r="R571" s="1459"/>
      <c r="S571" s="1460"/>
      <c r="T571" s="1458"/>
      <c r="U571" s="1459"/>
      <c r="V571" s="1460"/>
      <c r="W571" s="1455"/>
      <c r="X571" s="1456"/>
      <c r="Y571" s="1457"/>
      <c r="Z571" s="1426" t="s">
        <v>1182</v>
      </c>
      <c r="AA571" s="1426"/>
      <c r="AB571" s="1426"/>
      <c r="AC571" s="1426"/>
      <c r="AD571" s="1426"/>
      <c r="AE571" s="1406"/>
      <c r="AF571" s="1407"/>
      <c r="AG571" s="1407"/>
      <c r="AH571" s="1408"/>
      <c r="AI571" s="1467"/>
      <c r="AJ571" s="1468"/>
      <c r="AK571" s="1468"/>
      <c r="AL571" s="1469"/>
      <c r="AM571" s="1464"/>
      <c r="AN571" s="1465"/>
      <c r="AO571" s="1465"/>
      <c r="AP571" s="1465"/>
      <c r="AQ571" s="1465"/>
      <c r="AR571" s="1465"/>
      <c r="AS571" s="1466"/>
      <c r="AT571" s="1142" t="str">
        <f t="shared" si="2"/>
        <v/>
      </c>
      <c r="BB571" s="3"/>
      <c r="BC571" s="3"/>
      <c r="BD571" s="3"/>
      <c r="BE571" s="3"/>
      <c r="BF571" s="3"/>
      <c r="BG571" s="3"/>
      <c r="BH571" s="3"/>
      <c r="BI571" s="3"/>
    </row>
    <row r="572" spans="1:61" ht="13" customHeight="1">
      <c r="B572" s="52" t="s">
        <v>361</v>
      </c>
      <c r="C572" s="1496"/>
      <c r="D572" s="1496"/>
      <c r="E572" s="1496"/>
      <c r="F572" s="1496"/>
      <c r="G572" s="1496"/>
      <c r="H572" s="1496"/>
      <c r="I572" s="1496"/>
      <c r="J572" s="1496"/>
      <c r="K572" s="1496"/>
      <c r="L572" s="1496"/>
      <c r="M572" s="1463" t="s">
        <v>1182</v>
      </c>
      <c r="N572" s="1463"/>
      <c r="O572" s="1463"/>
      <c r="P572" s="1463"/>
      <c r="Q572" s="1458"/>
      <c r="R572" s="1459"/>
      <c r="S572" s="1460"/>
      <c r="T572" s="1458"/>
      <c r="U572" s="1459"/>
      <c r="V572" s="1460"/>
      <c r="W572" s="1455"/>
      <c r="X572" s="1456"/>
      <c r="Y572" s="1457"/>
      <c r="Z572" s="1426" t="s">
        <v>1182</v>
      </c>
      <c r="AA572" s="1426"/>
      <c r="AB572" s="1426"/>
      <c r="AC572" s="1426"/>
      <c r="AD572" s="1426"/>
      <c r="AE572" s="1406"/>
      <c r="AF572" s="1407"/>
      <c r="AG572" s="1407"/>
      <c r="AH572" s="1408"/>
      <c r="AI572" s="1467"/>
      <c r="AJ572" s="1468"/>
      <c r="AK572" s="1468"/>
      <c r="AL572" s="1469"/>
      <c r="AM572" s="1464"/>
      <c r="AN572" s="1465"/>
      <c r="AO572" s="1465"/>
      <c r="AP572" s="1465"/>
      <c r="AQ572" s="1465"/>
      <c r="AR572" s="1465"/>
      <c r="AS572" s="1466"/>
      <c r="AT572" s="1142" t="str">
        <f t="shared" si="2"/>
        <v/>
      </c>
      <c r="BB572" s="3"/>
      <c r="BC572" s="3"/>
      <c r="BD572" s="3"/>
      <c r="BE572" s="3"/>
      <c r="BF572" s="3"/>
      <c r="BG572" s="3"/>
      <c r="BH572" s="3"/>
      <c r="BI572" s="3"/>
    </row>
    <row r="573" spans="1:61" ht="13" customHeight="1">
      <c r="B573" s="52" t="s">
        <v>362</v>
      </c>
      <c r="C573" s="1496"/>
      <c r="D573" s="1496"/>
      <c r="E573" s="1496"/>
      <c r="F573" s="1496"/>
      <c r="G573" s="1496"/>
      <c r="H573" s="1496"/>
      <c r="I573" s="1496"/>
      <c r="J573" s="1496"/>
      <c r="K573" s="1496"/>
      <c r="L573" s="1496"/>
      <c r="M573" s="1463" t="s">
        <v>1182</v>
      </c>
      <c r="N573" s="1463"/>
      <c r="O573" s="1463"/>
      <c r="P573" s="1463"/>
      <c r="Q573" s="1458"/>
      <c r="R573" s="1459"/>
      <c r="S573" s="1460"/>
      <c r="T573" s="1458"/>
      <c r="U573" s="1459"/>
      <c r="V573" s="1460"/>
      <c r="W573" s="1455"/>
      <c r="X573" s="1456"/>
      <c r="Y573" s="1457"/>
      <c r="Z573" s="1426" t="s">
        <v>1182</v>
      </c>
      <c r="AA573" s="1426"/>
      <c r="AB573" s="1426"/>
      <c r="AC573" s="1426"/>
      <c r="AD573" s="1426"/>
      <c r="AE573" s="1406"/>
      <c r="AF573" s="1407"/>
      <c r="AG573" s="1407"/>
      <c r="AH573" s="1408"/>
      <c r="AI573" s="1467"/>
      <c r="AJ573" s="1468"/>
      <c r="AK573" s="1468"/>
      <c r="AL573" s="1469"/>
      <c r="AM573" s="1464"/>
      <c r="AN573" s="1465"/>
      <c r="AO573" s="1465"/>
      <c r="AP573" s="1465"/>
      <c r="AQ573" s="1465"/>
      <c r="AR573" s="1465"/>
      <c r="AS573" s="1466"/>
      <c r="AT573" s="1142" t="str">
        <f t="shared" si="2"/>
        <v/>
      </c>
      <c r="BB573" s="3"/>
      <c r="BC573" s="3"/>
      <c r="BD573" s="3"/>
      <c r="BE573" s="3"/>
      <c r="BF573" s="3"/>
      <c r="BG573" s="3"/>
      <c r="BH573" s="3"/>
      <c r="BI573" s="3"/>
    </row>
    <row r="574" spans="1:61" ht="13" customHeight="1">
      <c r="B574" s="1402" t="s">
        <v>127</v>
      </c>
      <c r="C574" s="1403"/>
      <c r="D574" s="1403"/>
      <c r="E574" s="1403"/>
      <c r="F574" s="1403"/>
      <c r="G574" s="1403"/>
      <c r="H574" s="1403"/>
      <c r="I574" s="1403"/>
      <c r="J574" s="1403"/>
      <c r="K574" s="1403"/>
      <c r="L574" s="1403"/>
      <c r="M574" s="1403"/>
      <c r="N574" s="1403"/>
      <c r="O574" s="1403"/>
      <c r="P574" s="1403"/>
      <c r="Q574" s="1403"/>
      <c r="R574" s="1403"/>
      <c r="S574" s="1403"/>
      <c r="T574" s="1403"/>
      <c r="U574" s="1404"/>
      <c r="V574" s="1403"/>
      <c r="W574" s="1403"/>
      <c r="X574" s="1403"/>
      <c r="Y574" s="1403"/>
      <c r="Z574" s="1403"/>
      <c r="AA574" s="1403"/>
      <c r="AB574" s="1403"/>
      <c r="AC574" s="1403"/>
      <c r="AD574" s="1403"/>
      <c r="AE574" s="1403"/>
      <c r="AF574" s="1403"/>
      <c r="AG574" s="1403"/>
      <c r="AH574" s="1403"/>
      <c r="AI574" s="1403"/>
      <c r="AJ574" s="1403"/>
      <c r="AK574" s="1403"/>
      <c r="AL574" s="1405"/>
      <c r="AM574" s="1471">
        <f>SUM(AM562:AS573)</f>
        <v>67459439</v>
      </c>
      <c r="AN574" s="1472"/>
      <c r="AO574" s="1472"/>
      <c r="AP574" s="1472"/>
      <c r="AQ574" s="1472"/>
      <c r="AR574" s="1472"/>
      <c r="AS574" s="1473"/>
      <c r="BB574" s="3"/>
      <c r="BC574" s="3"/>
      <c r="BD574" s="3"/>
      <c r="BE574" s="3"/>
      <c r="BF574" s="3"/>
      <c r="BG574" s="3"/>
      <c r="BH574" s="3" t="s">
        <v>454</v>
      </c>
      <c r="BI574" s="3" t="str">
        <f>N681</f>
        <v>No</v>
      </c>
    </row>
    <row r="575" spans="1:61" ht="13"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No</v>
      </c>
    </row>
    <row r="576" spans="1:61" ht="13" customHeight="1">
      <c r="A576" s="55" t="s">
        <v>112</v>
      </c>
      <c r="B576" t="s">
        <v>462</v>
      </c>
      <c r="G576" s="1479" t="str">
        <f>C562</f>
        <v>Citibank, N.A.</v>
      </c>
      <c r="H576" s="1479"/>
      <c r="I576" s="1479"/>
      <c r="J576" s="1479"/>
      <c r="K576" s="1479"/>
      <c r="L576" s="1479"/>
      <c r="M576" s="1479"/>
      <c r="N576" s="1479"/>
      <c r="O576" s="1479"/>
      <c r="P576" s="1479"/>
      <c r="Q576" s="1479"/>
      <c r="R576" s="1479"/>
      <c r="S576" s="8"/>
      <c r="T576" s="55" t="s">
        <v>113</v>
      </c>
      <c r="U576" t="s">
        <v>462</v>
      </c>
      <c r="Z576" s="1479" t="str">
        <f>C563</f>
        <v>Bonneville Multifamily Capital</v>
      </c>
      <c r="AA576" s="1479"/>
      <c r="AB576" s="1479"/>
      <c r="AC576" s="1479"/>
      <c r="AD576" s="1479"/>
      <c r="AE576" s="1479"/>
      <c r="AF576" s="1479"/>
      <c r="AG576" s="1479"/>
      <c r="AH576" s="1479"/>
      <c r="AI576" s="1479"/>
      <c r="AJ576" s="1479"/>
      <c r="AK576" s="1479"/>
      <c r="BB576" s="3"/>
      <c r="BC576" s="3"/>
      <c r="BD576" s="3"/>
      <c r="BE576" s="3"/>
      <c r="BF576" s="3"/>
      <c r="BG576" s="3"/>
      <c r="BH576" s="3"/>
      <c r="BI576" s="3"/>
    </row>
    <row r="577" spans="1:61" ht="13" customHeight="1">
      <c r="A577" s="22"/>
      <c r="B577" t="s">
        <v>85</v>
      </c>
      <c r="G577" s="1401" t="s">
        <v>2738</v>
      </c>
      <c r="H577" s="1401"/>
      <c r="I577" s="1401"/>
      <c r="J577" s="1401"/>
      <c r="K577" s="1401"/>
      <c r="L577" s="1401"/>
      <c r="M577" s="1401"/>
      <c r="N577" s="1401"/>
      <c r="O577" s="1401"/>
      <c r="P577" s="1401"/>
      <c r="Q577" s="1401"/>
      <c r="R577" s="1401"/>
      <c r="S577" s="8"/>
      <c r="T577" s="22"/>
      <c r="U577" t="s">
        <v>85</v>
      </c>
      <c r="Z577" s="1401" t="s">
        <v>2771</v>
      </c>
      <c r="AA577" s="1401"/>
      <c r="AB577" s="1401"/>
      <c r="AC577" s="1401"/>
      <c r="AD577" s="1401"/>
      <c r="AE577" s="1401"/>
      <c r="AF577" s="1401"/>
      <c r="AG577" s="1401"/>
      <c r="AH577" s="1401"/>
      <c r="AI577" s="1401"/>
      <c r="AJ577" s="1401"/>
      <c r="AK577" s="1401"/>
      <c r="BB577" s="3"/>
      <c r="BC577" s="3"/>
      <c r="BD577" s="3"/>
      <c r="BE577" s="3"/>
      <c r="BF577" s="3"/>
      <c r="BG577" s="3"/>
      <c r="BH577" s="3"/>
      <c r="BI577" s="3"/>
    </row>
    <row r="578" spans="1:61" ht="13" customHeight="1">
      <c r="A578" s="22"/>
      <c r="B578" t="s">
        <v>579</v>
      </c>
      <c r="G578" s="1401" t="s">
        <v>2739</v>
      </c>
      <c r="H578" s="1401"/>
      <c r="I578" s="1401"/>
      <c r="J578" s="1401"/>
      <c r="K578" s="1401"/>
      <c r="L578" s="1401"/>
      <c r="M578" s="1401"/>
      <c r="N578" s="1401"/>
      <c r="O578" s="1401"/>
      <c r="P578" s="1401"/>
      <c r="Q578" s="1401"/>
      <c r="R578" s="1401"/>
      <c r="T578" s="22"/>
      <c r="U578" t="s">
        <v>579</v>
      </c>
      <c r="Z578" s="1428" t="s">
        <v>2772</v>
      </c>
      <c r="AA578" s="1428"/>
      <c r="AB578" s="1428"/>
      <c r="AC578" s="1428"/>
      <c r="AD578" s="1428"/>
      <c r="AE578" s="1428"/>
      <c r="AF578" s="1428"/>
      <c r="AG578" s="1428"/>
      <c r="AH578" s="1428"/>
      <c r="AI578" s="1428"/>
      <c r="AJ578" s="1428"/>
      <c r="AK578" s="1428"/>
      <c r="BB578" s="3"/>
      <c r="BC578" s="3"/>
      <c r="BD578" s="3"/>
      <c r="BE578" s="3"/>
      <c r="BF578" s="3"/>
      <c r="BG578" s="3"/>
      <c r="BH578" s="3"/>
      <c r="BI578" s="3"/>
    </row>
    <row r="579" spans="1:61" ht="13" customHeight="1">
      <c r="A579" s="22"/>
      <c r="B579" t="s">
        <v>17</v>
      </c>
      <c r="G579" s="1401" t="s">
        <v>2740</v>
      </c>
      <c r="H579" s="1401"/>
      <c r="I579" s="1401"/>
      <c r="J579" s="1401"/>
      <c r="K579" s="1401"/>
      <c r="L579" s="1401"/>
      <c r="M579" s="1401"/>
      <c r="N579" s="1401"/>
      <c r="O579" s="1401"/>
      <c r="P579" s="1401"/>
      <c r="Q579" s="1401"/>
      <c r="R579" s="1401"/>
      <c r="S579" s="8"/>
      <c r="T579" s="22"/>
      <c r="U579" t="s">
        <v>17</v>
      </c>
      <c r="Z579" s="1428" t="s">
        <v>2773</v>
      </c>
      <c r="AA579" s="1428"/>
      <c r="AB579" s="1428"/>
      <c r="AC579" s="1428"/>
      <c r="AD579" s="1428"/>
      <c r="AE579" s="1428"/>
      <c r="AF579" s="1428"/>
      <c r="AG579" s="1428"/>
      <c r="AH579" s="1428"/>
      <c r="AI579" s="1428"/>
      <c r="AJ579" s="1428"/>
      <c r="AK579" s="1428"/>
      <c r="BB579" s="3"/>
      <c r="BC579" s="3"/>
      <c r="BD579" s="3"/>
      <c r="BE579" s="3"/>
      <c r="BF579" s="3"/>
      <c r="BG579" s="3"/>
      <c r="BH579" s="3"/>
      <c r="BI579" s="3"/>
    </row>
    <row r="580" spans="1:61" ht="13" customHeight="1">
      <c r="A580" s="22"/>
      <c r="B580" t="s">
        <v>315</v>
      </c>
      <c r="G580" s="1532" t="s">
        <v>2741</v>
      </c>
      <c r="H580" s="1478"/>
      <c r="I580" s="1478"/>
      <c r="J580" s="1478"/>
      <c r="K580" s="1478"/>
      <c r="L580" s="1478"/>
      <c r="O580" s="33" t="s">
        <v>205</v>
      </c>
      <c r="P580" s="1470"/>
      <c r="Q580" s="1470"/>
      <c r="R580" s="1470"/>
      <c r="S580" s="10"/>
      <c r="T580" s="22"/>
      <c r="U580" t="s">
        <v>315</v>
      </c>
      <c r="Z580" s="1532" t="s">
        <v>2774</v>
      </c>
      <c r="AA580" s="1478"/>
      <c r="AB580" s="1478"/>
      <c r="AC580" s="1478"/>
      <c r="AD580" s="1478"/>
      <c r="AE580" s="1478"/>
      <c r="AH580" s="33" t="s">
        <v>205</v>
      </c>
      <c r="AI580" s="1470"/>
      <c r="AJ580" s="1470"/>
      <c r="AK580" s="1470"/>
      <c r="BB580" s="3"/>
      <c r="BC580" s="3"/>
      <c r="BD580" s="3"/>
      <c r="BE580" s="3"/>
      <c r="BF580" s="3"/>
      <c r="BG580" s="3"/>
      <c r="BH580" s="3"/>
      <c r="BI580" s="3"/>
    </row>
    <row r="581" spans="1:61" ht="13" customHeight="1">
      <c r="A581" s="22"/>
      <c r="B581" t="s">
        <v>18</v>
      </c>
      <c r="H581" s="1401" t="s">
        <v>2742</v>
      </c>
      <c r="I581" s="1401"/>
      <c r="J581" s="1401"/>
      <c r="K581" s="1401"/>
      <c r="L581" s="1401"/>
      <c r="M581" s="1401"/>
      <c r="N581" s="1401"/>
      <c r="O581" s="1401"/>
      <c r="P581" s="1401"/>
      <c r="Q581" s="1401"/>
      <c r="R581" s="1401"/>
      <c r="S581" s="8"/>
      <c r="T581" s="22"/>
      <c r="U581" t="s">
        <v>18</v>
      </c>
      <c r="AA581" s="1401" t="s">
        <v>2775</v>
      </c>
      <c r="AB581" s="1401"/>
      <c r="AC581" s="1401"/>
      <c r="AD581" s="1401"/>
      <c r="AE581" s="1401"/>
      <c r="AF581" s="1401"/>
      <c r="AG581" s="1401"/>
      <c r="AH581" s="1401"/>
      <c r="AI581" s="1401"/>
      <c r="AJ581" s="1401"/>
      <c r="AK581" s="1401"/>
      <c r="BB581" s="3"/>
      <c r="BC581" s="3"/>
      <c r="BD581" s="3"/>
      <c r="BE581" s="3"/>
      <c r="BF581" s="3"/>
      <c r="BG581" s="3"/>
      <c r="BH581" s="3"/>
      <c r="BI581" s="3"/>
    </row>
    <row r="582" spans="1:61" ht="13" customHeight="1">
      <c r="A582" s="22"/>
      <c r="B582" s="320" t="s">
        <v>1183</v>
      </c>
      <c r="H582" s="8"/>
      <c r="I582" s="8"/>
      <c r="J582" s="8"/>
      <c r="K582" s="8"/>
      <c r="L582" s="8"/>
      <c r="M582" s="1596"/>
      <c r="N582" s="1596"/>
      <c r="O582" s="1596"/>
      <c r="P582" s="1596"/>
      <c r="Q582" s="1596"/>
      <c r="R582" s="1596"/>
      <c r="S582" s="8"/>
      <c r="T582" s="22"/>
      <c r="U582" s="320" t="s">
        <v>1183</v>
      </c>
      <c r="AA582" s="8"/>
      <c r="AB582" s="8"/>
      <c r="AC582" s="8"/>
      <c r="AD582" s="8"/>
      <c r="AE582" s="8"/>
      <c r="AF582" s="1596"/>
      <c r="AG582" s="1596"/>
      <c r="AH582" s="1596"/>
      <c r="AI582" s="1596"/>
      <c r="AJ582" s="1596"/>
      <c r="AK582" s="1596"/>
      <c r="BB582" s="3"/>
      <c r="BC582" s="3"/>
      <c r="BD582" s="3"/>
      <c r="BE582" s="3"/>
      <c r="BF582" s="3"/>
      <c r="BG582" s="3"/>
      <c r="BH582" s="3"/>
      <c r="BI582" s="3"/>
    </row>
    <row r="583" spans="1:61" ht="13" customHeight="1">
      <c r="A583" s="22"/>
      <c r="B583" t="s">
        <v>20</v>
      </c>
      <c r="N583" s="1409" t="s">
        <v>544</v>
      </c>
      <c r="O583" s="1409"/>
      <c r="T583" s="22"/>
      <c r="U583" t="s">
        <v>20</v>
      </c>
      <c r="AG583" s="1409" t="s">
        <v>544</v>
      </c>
      <c r="AH583" s="1409"/>
      <c r="BB583" s="3"/>
      <c r="BC583" s="3"/>
      <c r="BD583" s="3"/>
      <c r="BE583" s="3"/>
      <c r="BF583" s="3"/>
      <c r="BG583" s="3"/>
      <c r="BH583" s="3"/>
      <c r="BI583" s="3"/>
    </row>
    <row r="584" spans="1:61" ht="13" customHeight="1">
      <c r="A584" s="22"/>
      <c r="T584" s="22"/>
      <c r="BB584" s="3"/>
      <c r="BC584" s="3"/>
      <c r="BD584" s="3"/>
      <c r="BE584" s="3"/>
      <c r="BF584" s="3"/>
      <c r="BG584" s="3"/>
      <c r="BH584" s="3"/>
      <c r="BI584" s="3"/>
    </row>
    <row r="585" spans="1:61" ht="13" customHeight="1">
      <c r="A585" s="55" t="s">
        <v>119</v>
      </c>
      <c r="B585" t="s">
        <v>462</v>
      </c>
      <c r="G585" s="1479" t="str">
        <f>C564</f>
        <v>Citibank, N.A.</v>
      </c>
      <c r="H585" s="1479"/>
      <c r="I585" s="1479"/>
      <c r="J585" s="1479"/>
      <c r="K585" s="1479"/>
      <c r="L585" s="1479"/>
      <c r="M585" s="1479"/>
      <c r="N585" s="1479"/>
      <c r="O585" s="1479"/>
      <c r="P585" s="1479"/>
      <c r="Q585" s="1479"/>
      <c r="R585" s="1479"/>
      <c r="T585" s="55" t="s">
        <v>580</v>
      </c>
      <c r="U585" t="s">
        <v>462</v>
      </c>
      <c r="Z585" s="1479" t="str">
        <f>C565</f>
        <v>Boston Financial</v>
      </c>
      <c r="AA585" s="1479"/>
      <c r="AB585" s="1479"/>
      <c r="AC585" s="1479"/>
      <c r="AD585" s="1479"/>
      <c r="AE585" s="1479"/>
      <c r="AF585" s="1479"/>
      <c r="AG585" s="1479"/>
      <c r="AH585" s="1479"/>
      <c r="AI585" s="1479"/>
      <c r="AJ585" s="1479"/>
      <c r="AK585" s="1479"/>
      <c r="BB585" s="3"/>
      <c r="BC585" s="3"/>
    </row>
    <row r="586" spans="1:61" ht="13" customHeight="1">
      <c r="A586" s="22"/>
      <c r="B586" t="s">
        <v>85</v>
      </c>
      <c r="G586" s="1401" t="s">
        <v>2738</v>
      </c>
      <c r="H586" s="1401"/>
      <c r="I586" s="1401"/>
      <c r="J586" s="1401"/>
      <c r="K586" s="1401"/>
      <c r="L586" s="1401"/>
      <c r="M586" s="1401"/>
      <c r="N586" s="1401"/>
      <c r="O586" s="1401"/>
      <c r="P586" s="1401"/>
      <c r="Q586" s="1401"/>
      <c r="R586" s="1401"/>
      <c r="T586" s="22"/>
      <c r="U586" t="s">
        <v>85</v>
      </c>
      <c r="Z586" s="1401" t="s">
        <v>2699</v>
      </c>
      <c r="AA586" s="1401"/>
      <c r="AB586" s="1401"/>
      <c r="AC586" s="1401"/>
      <c r="AD586" s="1401"/>
      <c r="AE586" s="1401"/>
      <c r="AF586" s="1401"/>
      <c r="AG586" s="1401"/>
      <c r="AH586" s="1401"/>
      <c r="AI586" s="1401"/>
      <c r="AJ586" s="1401"/>
      <c r="AK586" s="1401"/>
      <c r="BB586" s="3"/>
      <c r="BC586" s="3"/>
    </row>
    <row r="587" spans="1:61" ht="13" customHeight="1">
      <c r="A587" s="22"/>
      <c r="B587" t="s">
        <v>579</v>
      </c>
      <c r="G587" s="1428" t="s">
        <v>2739</v>
      </c>
      <c r="H587" s="1428"/>
      <c r="I587" s="1428"/>
      <c r="J587" s="1428"/>
      <c r="K587" s="1428"/>
      <c r="L587" s="1428"/>
      <c r="M587" s="1428"/>
      <c r="N587" s="1428"/>
      <c r="O587" s="1428"/>
      <c r="P587" s="1428"/>
      <c r="Q587" s="1428"/>
      <c r="R587" s="1428"/>
      <c r="T587" s="22"/>
      <c r="U587" t="s">
        <v>579</v>
      </c>
      <c r="Z587" s="1428" t="s">
        <v>2747</v>
      </c>
      <c r="AA587" s="1428"/>
      <c r="AB587" s="1428"/>
      <c r="AC587" s="1428"/>
      <c r="AD587" s="1428"/>
      <c r="AE587" s="1428"/>
      <c r="AF587" s="1428"/>
      <c r="AG587" s="1428"/>
      <c r="AH587" s="1428"/>
      <c r="AI587" s="1428"/>
      <c r="AJ587" s="1428"/>
      <c r="AK587" s="1428"/>
      <c r="BB587" s="3"/>
      <c r="BC587" s="3"/>
    </row>
    <row r="588" spans="1:61" ht="13" customHeight="1">
      <c r="A588" s="22"/>
      <c r="B588" t="s">
        <v>17</v>
      </c>
      <c r="G588" s="1428" t="s">
        <v>2740</v>
      </c>
      <c r="H588" s="1428"/>
      <c r="I588" s="1428"/>
      <c r="J588" s="1428"/>
      <c r="K588" s="1428"/>
      <c r="L588" s="1428"/>
      <c r="M588" s="1428"/>
      <c r="N588" s="1428"/>
      <c r="O588" s="1428"/>
      <c r="P588" s="1428"/>
      <c r="Q588" s="1428"/>
      <c r="R588" s="1428"/>
      <c r="T588" s="22"/>
      <c r="U588" t="s">
        <v>17</v>
      </c>
      <c r="Z588" s="1428" t="s">
        <v>2701</v>
      </c>
      <c r="AA588" s="1428"/>
      <c r="AB588" s="1428"/>
      <c r="AC588" s="1428"/>
      <c r="AD588" s="1428"/>
      <c r="AE588" s="1428"/>
      <c r="AF588" s="1428"/>
      <c r="AG588" s="1428"/>
      <c r="AH588" s="1428"/>
      <c r="AI588" s="1428"/>
      <c r="AJ588" s="1428"/>
      <c r="AK588" s="1428"/>
      <c r="BB588" s="3"/>
      <c r="BC588" s="3"/>
    </row>
    <row r="589" spans="1:61" ht="13" customHeight="1">
      <c r="A589" s="22"/>
      <c r="B589" t="s">
        <v>315</v>
      </c>
      <c r="G589" s="1532" t="s">
        <v>2741</v>
      </c>
      <c r="H589" s="1478"/>
      <c r="I589" s="1478"/>
      <c r="J589" s="1478"/>
      <c r="K589" s="1478"/>
      <c r="L589" s="1478"/>
      <c r="O589" s="33" t="s">
        <v>205</v>
      </c>
      <c r="P589" s="1470"/>
      <c r="Q589" s="1470"/>
      <c r="R589" s="1470"/>
      <c r="T589" s="22"/>
      <c r="U589" t="s">
        <v>315</v>
      </c>
      <c r="Z589" s="1532" t="s">
        <v>2702</v>
      </c>
      <c r="AA589" s="1478"/>
      <c r="AB589" s="1478"/>
      <c r="AC589" s="1478"/>
      <c r="AD589" s="1478"/>
      <c r="AE589" s="1478"/>
      <c r="AH589" s="33" t="s">
        <v>205</v>
      </c>
      <c r="AI589" s="1470"/>
      <c r="AJ589" s="1470"/>
      <c r="AK589" s="1470"/>
      <c r="BB589" s="3"/>
      <c r="BC589" s="3"/>
    </row>
    <row r="590" spans="1:61" ht="13" customHeight="1">
      <c r="A590" s="22"/>
      <c r="B590" t="s">
        <v>18</v>
      </c>
      <c r="H590" s="1401" t="s">
        <v>2744</v>
      </c>
      <c r="I590" s="1401"/>
      <c r="J590" s="1401"/>
      <c r="K590" s="1401"/>
      <c r="L590" s="1401"/>
      <c r="M590" s="1401"/>
      <c r="N590" s="1401"/>
      <c r="O590" s="1401"/>
      <c r="P590" s="1401"/>
      <c r="Q590" s="1401"/>
      <c r="R590" s="1401"/>
      <c r="T590" s="22"/>
      <c r="U590" t="s">
        <v>18</v>
      </c>
      <c r="AA590" s="1401" t="s">
        <v>2748</v>
      </c>
      <c r="AB590" s="1401"/>
      <c r="AC590" s="1401"/>
      <c r="AD590" s="1401"/>
      <c r="AE590" s="1401"/>
      <c r="AF590" s="1401"/>
      <c r="AG590" s="1401"/>
      <c r="AH590" s="1401"/>
      <c r="AI590" s="1401"/>
      <c r="AJ590" s="1401"/>
      <c r="AK590" s="1401"/>
      <c r="BB590" s="3"/>
      <c r="BC590" s="3"/>
    </row>
    <row r="591" spans="1:61" ht="13" customHeight="1">
      <c r="A591" s="22"/>
      <c r="B591" t="s">
        <v>20</v>
      </c>
      <c r="N591" s="1409" t="s">
        <v>544</v>
      </c>
      <c r="O591" s="1409"/>
      <c r="T591" s="22"/>
      <c r="U591" t="s">
        <v>20</v>
      </c>
      <c r="AG591" s="1409" t="s">
        <v>544</v>
      </c>
      <c r="AH591" s="1409"/>
      <c r="BB591" s="3"/>
      <c r="BC591" s="3"/>
    </row>
    <row r="592" spans="1:61" ht="13" customHeight="1">
      <c r="A592" s="22"/>
      <c r="T592" s="22"/>
      <c r="BB592" s="3"/>
      <c r="BC592" s="3"/>
    </row>
    <row r="593" spans="1:55" ht="13" customHeight="1">
      <c r="A593" s="55" t="s">
        <v>762</v>
      </c>
      <c r="B593" t="s">
        <v>462</v>
      </c>
      <c r="G593" s="1479" t="str">
        <f>C566</f>
        <v>Safehold TI Allowance</v>
      </c>
      <c r="H593" s="1479"/>
      <c r="I593" s="1479"/>
      <c r="J593" s="1479"/>
      <c r="K593" s="1479"/>
      <c r="L593" s="1479"/>
      <c r="M593" s="1479"/>
      <c r="N593" s="1479"/>
      <c r="O593" s="1479"/>
      <c r="P593" s="1479"/>
      <c r="Q593" s="1479"/>
      <c r="R593" s="1479"/>
      <c r="T593" s="55" t="s">
        <v>583</v>
      </c>
      <c r="U593" t="s">
        <v>462</v>
      </c>
      <c r="Z593" s="1479" t="str">
        <f>C567</f>
        <v>LIHTC Advisors, LLC</v>
      </c>
      <c r="AA593" s="1479"/>
      <c r="AB593" s="1479"/>
      <c r="AC593" s="1479"/>
      <c r="AD593" s="1479"/>
      <c r="AE593" s="1479"/>
      <c r="AF593" s="1479"/>
      <c r="AG593" s="1479"/>
      <c r="AH593" s="1479"/>
      <c r="AI593" s="1479"/>
      <c r="AJ593" s="1479"/>
      <c r="AK593" s="1479"/>
      <c r="BB593" s="3"/>
      <c r="BC593" s="3"/>
    </row>
    <row r="594" spans="1:55" ht="13" customHeight="1">
      <c r="A594" s="22"/>
      <c r="B594" t="s">
        <v>85</v>
      </c>
      <c r="G594" s="1401" t="s">
        <v>2763</v>
      </c>
      <c r="H594" s="1401"/>
      <c r="I594" s="1401"/>
      <c r="J594" s="1401"/>
      <c r="K594" s="1401"/>
      <c r="L594" s="1401"/>
      <c r="M594" s="1401"/>
      <c r="N594" s="1401"/>
      <c r="O594" s="1401"/>
      <c r="P594" s="1401"/>
      <c r="Q594" s="1401"/>
      <c r="R594" s="1401"/>
      <c r="T594" s="22"/>
      <c r="U594" t="s">
        <v>85</v>
      </c>
      <c r="Z594" s="1401" t="s">
        <v>2745</v>
      </c>
      <c r="AA594" s="1401"/>
      <c r="AB594" s="1401"/>
      <c r="AC594" s="1401"/>
      <c r="AD594" s="1401"/>
      <c r="AE594" s="1401"/>
      <c r="AF594" s="1401"/>
      <c r="AG594" s="1401"/>
      <c r="AH594" s="1401"/>
      <c r="AI594" s="1401"/>
      <c r="AJ594" s="1401"/>
      <c r="AK594" s="1401"/>
      <c r="BB594" s="3"/>
      <c r="BC594" s="3"/>
    </row>
    <row r="595" spans="1:55" ht="13" customHeight="1">
      <c r="A595" s="22"/>
      <c r="B595" t="s">
        <v>579</v>
      </c>
      <c r="G595" s="1401" t="s">
        <v>2764</v>
      </c>
      <c r="H595" s="1401"/>
      <c r="I595" s="1401"/>
      <c r="J595" s="1401"/>
      <c r="K595" s="1401"/>
      <c r="L595" s="1401"/>
      <c r="M595" s="1401"/>
      <c r="N595" s="1401"/>
      <c r="O595" s="1401"/>
      <c r="P595" s="1401"/>
      <c r="Q595" s="1401"/>
      <c r="R595" s="1401"/>
      <c r="T595" s="22"/>
      <c r="U595" t="s">
        <v>579</v>
      </c>
      <c r="Z595" s="1428" t="s">
        <v>2749</v>
      </c>
      <c r="AA595" s="1428"/>
      <c r="AB595" s="1428"/>
      <c r="AC595" s="1428"/>
      <c r="AD595" s="1428"/>
      <c r="AE595" s="1428"/>
      <c r="AF595" s="1428"/>
      <c r="AG595" s="1428"/>
      <c r="AH595" s="1428"/>
      <c r="AI595" s="1428"/>
      <c r="AJ595" s="1428"/>
      <c r="AK595" s="1428"/>
      <c r="BB595" s="3"/>
      <c r="BC595" s="3"/>
    </row>
    <row r="596" spans="1:55" ht="13" customHeight="1">
      <c r="A596" s="22"/>
      <c r="B596" t="s">
        <v>17</v>
      </c>
      <c r="G596" s="1401" t="s">
        <v>2765</v>
      </c>
      <c r="H596" s="1401"/>
      <c r="I596" s="1401"/>
      <c r="J596" s="1401"/>
      <c r="K596" s="1401"/>
      <c r="L596" s="1401"/>
      <c r="M596" s="1401"/>
      <c r="N596" s="1401"/>
      <c r="O596" s="1401"/>
      <c r="P596" s="1401"/>
      <c r="Q596" s="1401"/>
      <c r="R596" s="1401"/>
      <c r="T596" s="22"/>
      <c r="U596" t="s">
        <v>17</v>
      </c>
      <c r="Z596" s="1428" t="s">
        <v>2658</v>
      </c>
      <c r="AA596" s="1428"/>
      <c r="AB596" s="1428"/>
      <c r="AC596" s="1428"/>
      <c r="AD596" s="1428"/>
      <c r="AE596" s="1428"/>
      <c r="AF596" s="1428"/>
      <c r="AG596" s="1428"/>
      <c r="AH596" s="1428"/>
      <c r="AI596" s="1428"/>
      <c r="AJ596" s="1428"/>
      <c r="AK596" s="1428"/>
    </row>
    <row r="597" spans="1:55" ht="13" customHeight="1">
      <c r="A597" s="22"/>
      <c r="B597" t="s">
        <v>315</v>
      </c>
      <c r="G597" s="1532" t="s">
        <v>2766</v>
      </c>
      <c r="H597" s="1478"/>
      <c r="I597" s="1478"/>
      <c r="J597" s="1478"/>
      <c r="K597" s="1478"/>
      <c r="L597" s="1478"/>
      <c r="O597" s="33" t="s">
        <v>205</v>
      </c>
      <c r="P597" s="1470"/>
      <c r="Q597" s="1470"/>
      <c r="R597" s="1470"/>
      <c r="T597" s="22"/>
      <c r="U597" t="s">
        <v>315</v>
      </c>
      <c r="Z597" s="1532" t="s">
        <v>2659</v>
      </c>
      <c r="AA597" s="1478"/>
      <c r="AB597" s="1478"/>
      <c r="AC597" s="1478"/>
      <c r="AD597" s="1478"/>
      <c r="AE597" s="1478"/>
      <c r="AH597" s="33" t="s">
        <v>205</v>
      </c>
      <c r="AI597" s="1470"/>
      <c r="AJ597" s="1470"/>
      <c r="AK597" s="1470"/>
      <c r="AZ597" s="3"/>
      <c r="BA597" s="3"/>
      <c r="BB597" s="3"/>
      <c r="BC597" s="3"/>
    </row>
    <row r="598" spans="1:55" ht="13" customHeight="1">
      <c r="A598" s="22"/>
      <c r="B598" t="s">
        <v>18</v>
      </c>
      <c r="H598" s="1401" t="s">
        <v>2762</v>
      </c>
      <c r="I598" s="1401"/>
      <c r="J598" s="1401"/>
      <c r="K598" s="1401"/>
      <c r="L598" s="1401"/>
      <c r="M598" s="1401"/>
      <c r="N598" s="1401"/>
      <c r="O598" s="1401"/>
      <c r="P598" s="1401"/>
      <c r="Q598" s="1401"/>
      <c r="R598" s="1401"/>
      <c r="T598" s="22"/>
      <c r="U598" t="s">
        <v>18</v>
      </c>
      <c r="AA598" s="1401" t="s">
        <v>2260</v>
      </c>
      <c r="AB598" s="1401"/>
      <c r="AC598" s="1401"/>
      <c r="AD598" s="1401"/>
      <c r="AE598" s="1401"/>
      <c r="AF598" s="1401"/>
      <c r="AG598" s="1401"/>
      <c r="AH598" s="1401"/>
      <c r="AI598" s="1401"/>
      <c r="AJ598" s="1401"/>
      <c r="AK598" s="1401"/>
      <c r="AZ598" s="3"/>
      <c r="BA598" s="3"/>
      <c r="BB598" s="3"/>
      <c r="BC598" s="3"/>
    </row>
    <row r="599" spans="1:55" ht="13" customHeight="1">
      <c r="A599" s="22"/>
      <c r="B599" t="s">
        <v>20</v>
      </c>
      <c r="N599" s="1409" t="s">
        <v>544</v>
      </c>
      <c r="O599" s="1409"/>
      <c r="T599" s="22"/>
      <c r="U599" t="s">
        <v>20</v>
      </c>
      <c r="AG599" s="1409" t="s">
        <v>544</v>
      </c>
      <c r="AH599" s="1409"/>
      <c r="AZ599" s="3"/>
      <c r="BA599" s="3"/>
      <c r="BB599" s="3"/>
      <c r="BC599" s="3"/>
    </row>
    <row r="600" spans="1:55" ht="13" customHeight="1">
      <c r="A600" s="22"/>
      <c r="T600" s="22"/>
      <c r="AZ600" s="3"/>
      <c r="BA600" s="3"/>
      <c r="BB600" s="3"/>
      <c r="BC600" s="3"/>
    </row>
    <row r="601" spans="1:55" ht="13" customHeight="1">
      <c r="A601" s="55" t="s">
        <v>454</v>
      </c>
      <c r="B601" t="s">
        <v>462</v>
      </c>
      <c r="G601" s="1479" t="str">
        <f>C568</f>
        <v>LIHTC Advisors, LLC</v>
      </c>
      <c r="H601" s="1479"/>
      <c r="I601" s="1479"/>
      <c r="J601" s="1479"/>
      <c r="K601" s="1479"/>
      <c r="L601" s="1479"/>
      <c r="M601" s="1479"/>
      <c r="N601" s="1479"/>
      <c r="O601" s="1479"/>
      <c r="P601" s="1479"/>
      <c r="Q601" s="1479"/>
      <c r="R601" s="1479"/>
      <c r="T601" s="55" t="s">
        <v>455</v>
      </c>
      <c r="U601" t="s">
        <v>462</v>
      </c>
      <c r="Z601" s="1479">
        <f>C569</f>
        <v>0</v>
      </c>
      <c r="AA601" s="1479"/>
      <c r="AB601" s="1479"/>
      <c r="AC601" s="1479"/>
      <c r="AD601" s="1479"/>
      <c r="AE601" s="1479"/>
      <c r="AF601" s="1479"/>
      <c r="AG601" s="1479"/>
      <c r="AH601" s="1479"/>
      <c r="AI601" s="1479"/>
      <c r="AJ601" s="1479"/>
      <c r="AK601" s="1479"/>
      <c r="AZ601" s="3"/>
      <c r="BA601" s="3"/>
      <c r="BB601" s="3"/>
      <c r="BC601" s="3"/>
    </row>
    <row r="602" spans="1:55" s="4" customFormat="1" ht="13" customHeight="1">
      <c r="A602" s="22"/>
      <c r="B602" t="s">
        <v>85</v>
      </c>
      <c r="C602"/>
      <c r="D602"/>
      <c r="E602"/>
      <c r="F602"/>
      <c r="G602" s="1401" t="s">
        <v>2745</v>
      </c>
      <c r="H602" s="1401"/>
      <c r="I602" s="1401"/>
      <c r="J602" s="1401"/>
      <c r="K602" s="1401"/>
      <c r="L602" s="1401"/>
      <c r="M602" s="1401"/>
      <c r="N602" s="1401"/>
      <c r="O602" s="1401"/>
      <c r="P602" s="1401"/>
      <c r="Q602" s="1401"/>
      <c r="R602" s="1401"/>
      <c r="S602"/>
      <c r="T602" s="22"/>
      <c r="U602" t="s">
        <v>85</v>
      </c>
      <c r="V602"/>
      <c r="W602"/>
      <c r="X602"/>
      <c r="Y602"/>
      <c r="Z602" s="1401"/>
      <c r="AA602" s="1401"/>
      <c r="AB602" s="1401"/>
      <c r="AC602" s="1401"/>
      <c r="AD602" s="1401"/>
      <c r="AE602" s="1401"/>
      <c r="AF602" s="1401"/>
      <c r="AG602" s="1401"/>
      <c r="AH602" s="1401"/>
      <c r="AI602" s="1401"/>
      <c r="AJ602" s="1401"/>
      <c r="AK602" s="1401"/>
      <c r="AL602"/>
      <c r="AM602"/>
      <c r="AN602"/>
      <c r="AO602"/>
      <c r="AP602"/>
      <c r="AQ602"/>
      <c r="AR602"/>
      <c r="AS602"/>
      <c r="AT602"/>
      <c r="AU602"/>
      <c r="AV602"/>
      <c r="AW602"/>
      <c r="AX602"/>
      <c r="AY602"/>
      <c r="AZ602" s="3"/>
      <c r="BA602" s="3"/>
      <c r="BB602" s="3"/>
      <c r="BC602" s="3"/>
    </row>
    <row r="603" spans="1:55" s="4" customFormat="1" ht="13" customHeight="1">
      <c r="A603" s="22"/>
      <c r="B603" t="s">
        <v>579</v>
      </c>
      <c r="C603"/>
      <c r="D603"/>
      <c r="E603"/>
      <c r="F603"/>
      <c r="G603" s="1401" t="s">
        <v>2749</v>
      </c>
      <c r="H603" s="1401"/>
      <c r="I603" s="1401"/>
      <c r="J603" s="1401"/>
      <c r="K603" s="1401"/>
      <c r="L603" s="1401"/>
      <c r="M603" s="1401"/>
      <c r="N603" s="1401"/>
      <c r="O603" s="1401"/>
      <c r="P603" s="1401"/>
      <c r="Q603" s="1401"/>
      <c r="R603" s="1401"/>
      <c r="S603"/>
      <c r="T603" s="22"/>
      <c r="U603" t="s">
        <v>579</v>
      </c>
      <c r="V603"/>
      <c r="W603"/>
      <c r="X603"/>
      <c r="Y603"/>
      <c r="Z603" s="1428"/>
      <c r="AA603" s="1428"/>
      <c r="AB603" s="1428"/>
      <c r="AC603" s="1428"/>
      <c r="AD603" s="1428"/>
      <c r="AE603" s="1428"/>
      <c r="AF603" s="1428"/>
      <c r="AG603" s="1428"/>
      <c r="AH603" s="1428"/>
      <c r="AI603" s="1428"/>
      <c r="AJ603" s="1428"/>
      <c r="AK603" s="1428"/>
      <c r="AL603"/>
      <c r="AM603"/>
      <c r="AN603"/>
      <c r="AO603"/>
      <c r="AP603"/>
      <c r="AQ603"/>
      <c r="AR603"/>
      <c r="AS603"/>
      <c r="AT603"/>
      <c r="AU603"/>
      <c r="AV603"/>
      <c r="AW603"/>
      <c r="AX603"/>
      <c r="AY603"/>
      <c r="AZ603" s="3"/>
      <c r="BA603" s="3"/>
      <c r="BB603" s="3"/>
      <c r="BC603" s="3"/>
    </row>
    <row r="604" spans="1:55" s="4" customFormat="1" ht="13" customHeight="1">
      <c r="A604" s="22"/>
      <c r="B604" t="s">
        <v>17</v>
      </c>
      <c r="C604"/>
      <c r="D604"/>
      <c r="E604"/>
      <c r="F604"/>
      <c r="G604" s="1401" t="s">
        <v>2658</v>
      </c>
      <c r="H604" s="1401"/>
      <c r="I604" s="1401"/>
      <c r="J604" s="1401"/>
      <c r="K604" s="1401"/>
      <c r="L604" s="1401"/>
      <c r="M604" s="1401"/>
      <c r="N604" s="1401"/>
      <c r="O604" s="1401"/>
      <c r="P604" s="1401"/>
      <c r="Q604" s="1401"/>
      <c r="R604" s="1401"/>
      <c r="S604"/>
      <c r="T604" s="22"/>
      <c r="U604" t="s">
        <v>17</v>
      </c>
      <c r="V604"/>
      <c r="W604"/>
      <c r="X604"/>
      <c r="Y604"/>
      <c r="Z604" s="1428"/>
      <c r="AA604" s="1428"/>
      <c r="AB604" s="1428"/>
      <c r="AC604" s="1428"/>
      <c r="AD604" s="1428"/>
      <c r="AE604" s="1428"/>
      <c r="AF604" s="1428"/>
      <c r="AG604" s="1428"/>
      <c r="AH604" s="1428"/>
      <c r="AI604" s="1428"/>
      <c r="AJ604" s="1428"/>
      <c r="AK604" s="1428"/>
      <c r="AL604"/>
      <c r="AM604"/>
      <c r="AN604"/>
      <c r="AO604"/>
      <c r="AP604"/>
      <c r="AQ604"/>
      <c r="AR604"/>
      <c r="AS604"/>
      <c r="AT604"/>
      <c r="AU604"/>
      <c r="AV604"/>
      <c r="AW604"/>
      <c r="AX604"/>
      <c r="AY604"/>
      <c r="BB604" s="3"/>
      <c r="BC604" s="3"/>
    </row>
    <row r="605" spans="1:55" s="4" customFormat="1" ht="13" customHeight="1">
      <c r="A605" s="22"/>
      <c r="B605" t="s">
        <v>315</v>
      </c>
      <c r="C605"/>
      <c r="D605"/>
      <c r="E605"/>
      <c r="F605"/>
      <c r="G605" s="1532" t="s">
        <v>2659</v>
      </c>
      <c r="H605" s="1478"/>
      <c r="I605" s="1478"/>
      <c r="J605" s="1478"/>
      <c r="K605" s="1478"/>
      <c r="L605" s="1478"/>
      <c r="M605"/>
      <c r="N605"/>
      <c r="O605" s="33" t="s">
        <v>205</v>
      </c>
      <c r="P605" s="1470"/>
      <c r="Q605" s="1470"/>
      <c r="R605" s="1470"/>
      <c r="S605"/>
      <c r="T605" s="22"/>
      <c r="U605" t="s">
        <v>315</v>
      </c>
      <c r="V605"/>
      <c r="W605"/>
      <c r="X605"/>
      <c r="Y605"/>
      <c r="Z605" s="1478"/>
      <c r="AA605" s="1478"/>
      <c r="AB605" s="1478"/>
      <c r="AC605" s="1478"/>
      <c r="AD605" s="1478"/>
      <c r="AE605" s="1478"/>
      <c r="AF605"/>
      <c r="AG605"/>
      <c r="AH605" s="33" t="s">
        <v>205</v>
      </c>
      <c r="AI605" s="1470"/>
      <c r="AJ605" s="1470"/>
      <c r="AK605" s="1470"/>
      <c r="AL605"/>
      <c r="AM605"/>
      <c r="AN605"/>
      <c r="AO605"/>
      <c r="AP605"/>
      <c r="AQ605"/>
      <c r="AR605"/>
      <c r="AS605"/>
      <c r="AT605"/>
      <c r="AU605"/>
      <c r="AV605"/>
      <c r="AW605"/>
      <c r="AX605"/>
      <c r="AY605"/>
      <c r="BB605" s="3"/>
      <c r="BC605" s="3"/>
    </row>
    <row r="606" spans="1:55" s="4" customFormat="1" ht="13" customHeight="1">
      <c r="A606" s="22"/>
      <c r="B606" t="s">
        <v>18</v>
      </c>
      <c r="C606"/>
      <c r="D606"/>
      <c r="E606"/>
      <c r="F606"/>
      <c r="G606"/>
      <c r="H606" s="1401" t="s">
        <v>2750</v>
      </c>
      <c r="I606" s="1401"/>
      <c r="J606" s="1401"/>
      <c r="K606" s="1401"/>
      <c r="L606" s="1401"/>
      <c r="M606" s="1401"/>
      <c r="N606" s="1401"/>
      <c r="O606" s="1401"/>
      <c r="P606" s="1401"/>
      <c r="Q606" s="1401"/>
      <c r="R606" s="1401"/>
      <c r="S606"/>
      <c r="T606" s="22"/>
      <c r="U606" t="s">
        <v>18</v>
      </c>
      <c r="V606"/>
      <c r="W606"/>
      <c r="X606"/>
      <c r="Y606"/>
      <c r="Z606"/>
      <c r="AA606" s="1401"/>
      <c r="AB606" s="1401"/>
      <c r="AC606" s="1401"/>
      <c r="AD606" s="1401"/>
      <c r="AE606" s="1401"/>
      <c r="AF606" s="1401"/>
      <c r="AG606" s="1401"/>
      <c r="AH606" s="1401"/>
      <c r="AI606" s="1401"/>
      <c r="AJ606" s="1401"/>
      <c r="AK606" s="1401"/>
      <c r="AL606"/>
      <c r="AM606"/>
      <c r="AN606"/>
      <c r="AO606"/>
      <c r="AP606"/>
      <c r="AQ606"/>
      <c r="AR606"/>
      <c r="AS606"/>
      <c r="AT606"/>
      <c r="AU606"/>
      <c r="AV606"/>
      <c r="AW606"/>
      <c r="AX606"/>
      <c r="AY606"/>
      <c r="BB606" s="3"/>
      <c r="BC606" s="3"/>
    </row>
    <row r="607" spans="1:55" ht="13" customHeight="1">
      <c r="A607" s="22"/>
      <c r="B607" t="s">
        <v>20</v>
      </c>
      <c r="N607" s="1409" t="s">
        <v>544</v>
      </c>
      <c r="O607" s="1409"/>
      <c r="T607" s="22"/>
      <c r="U607" t="s">
        <v>20</v>
      </c>
      <c r="AG607" s="1409" t="s">
        <v>668</v>
      </c>
      <c r="AH607" s="1409"/>
      <c r="BB607" s="3"/>
      <c r="BC607" s="3"/>
    </row>
    <row r="608" spans="1:55" ht="13" customHeight="1">
      <c r="A608" s="22"/>
      <c r="T608" s="22"/>
      <c r="BB608" s="3"/>
      <c r="BC608" s="3"/>
    </row>
    <row r="609" spans="1:55" ht="13" customHeight="1">
      <c r="A609" s="55" t="s">
        <v>460</v>
      </c>
      <c r="B609" t="s">
        <v>462</v>
      </c>
      <c r="G609" s="1479">
        <f>C570</f>
        <v>0</v>
      </c>
      <c r="H609" s="1479"/>
      <c r="I609" s="1479"/>
      <c r="J609" s="1479"/>
      <c r="K609" s="1479"/>
      <c r="L609" s="1479"/>
      <c r="M609" s="1479"/>
      <c r="N609" s="1479"/>
      <c r="O609" s="1479"/>
      <c r="P609" s="1479"/>
      <c r="Q609" s="1479"/>
      <c r="R609" s="1479"/>
      <c r="T609" s="55" t="s">
        <v>645</v>
      </c>
      <c r="U609" t="s">
        <v>462</v>
      </c>
      <c r="Z609" s="1479">
        <f>C571</f>
        <v>0</v>
      </c>
      <c r="AA609" s="1479"/>
      <c r="AB609" s="1479"/>
      <c r="AC609" s="1479"/>
      <c r="AD609" s="1479"/>
      <c r="AE609" s="1479"/>
      <c r="AF609" s="1479"/>
      <c r="AG609" s="1479"/>
      <c r="AH609" s="1479"/>
      <c r="AI609" s="1479"/>
      <c r="AJ609" s="1479"/>
      <c r="AK609" s="1479"/>
      <c r="BB609" s="3"/>
      <c r="BC609" s="3"/>
    </row>
    <row r="610" spans="1:55" ht="13" customHeight="1">
      <c r="A610" s="22"/>
      <c r="B610" t="s">
        <v>85</v>
      </c>
      <c r="G610" s="1401"/>
      <c r="H610" s="1401"/>
      <c r="I610" s="1401"/>
      <c r="J610" s="1401"/>
      <c r="K610" s="1401"/>
      <c r="L610" s="1401"/>
      <c r="M610" s="1401"/>
      <c r="N610" s="1401"/>
      <c r="O610" s="1401"/>
      <c r="P610" s="1401"/>
      <c r="Q610" s="1401"/>
      <c r="R610" s="1401"/>
      <c r="T610" s="22"/>
      <c r="U610" t="s">
        <v>85</v>
      </c>
      <c r="Z610" s="1401"/>
      <c r="AA610" s="1401"/>
      <c r="AB610" s="1401"/>
      <c r="AC610" s="1401"/>
      <c r="AD610" s="1401"/>
      <c r="AE610" s="1401"/>
      <c r="AF610" s="1401"/>
      <c r="AG610" s="1401"/>
      <c r="AH610" s="1401"/>
      <c r="AI610" s="1401"/>
      <c r="AJ610" s="1401"/>
      <c r="AK610" s="1401"/>
      <c r="AZ610" s="3"/>
      <c r="BA610" s="3"/>
      <c r="BB610" s="3"/>
      <c r="BC610" s="3"/>
    </row>
    <row r="611" spans="1:55" ht="13" customHeight="1">
      <c r="A611" s="22"/>
      <c r="B611" t="s">
        <v>579</v>
      </c>
      <c r="G611" s="1401"/>
      <c r="H611" s="1401"/>
      <c r="I611" s="1401"/>
      <c r="J611" s="1401"/>
      <c r="K611" s="1401"/>
      <c r="L611" s="1401"/>
      <c r="M611" s="1401"/>
      <c r="N611" s="1401"/>
      <c r="O611" s="1401"/>
      <c r="P611" s="1401"/>
      <c r="Q611" s="1401"/>
      <c r="R611" s="1401"/>
      <c r="T611" s="22"/>
      <c r="U611" t="s">
        <v>579</v>
      </c>
      <c r="Z611" s="1428"/>
      <c r="AA611" s="1428"/>
      <c r="AB611" s="1428"/>
      <c r="AC611" s="1428"/>
      <c r="AD611" s="1428"/>
      <c r="AE611" s="1428"/>
      <c r="AF611" s="1428"/>
      <c r="AG611" s="1428"/>
      <c r="AH611" s="1428"/>
      <c r="AI611" s="1428"/>
      <c r="AJ611" s="1428"/>
      <c r="AK611" s="1428"/>
      <c r="AZ611" s="3"/>
      <c r="BA611" s="3"/>
      <c r="BB611" s="3"/>
      <c r="BC611" s="3"/>
    </row>
    <row r="612" spans="1:55" ht="13" customHeight="1">
      <c r="A612" s="22"/>
      <c r="B612" t="s">
        <v>17</v>
      </c>
      <c r="G612" s="1401"/>
      <c r="H612" s="1401"/>
      <c r="I612" s="1401"/>
      <c r="J612" s="1401"/>
      <c r="K612" s="1401"/>
      <c r="L612" s="1401"/>
      <c r="M612" s="1401"/>
      <c r="N612" s="1401"/>
      <c r="O612" s="1401"/>
      <c r="P612" s="1401"/>
      <c r="Q612" s="1401"/>
      <c r="R612" s="1401"/>
      <c r="T612" s="22"/>
      <c r="U612" t="s">
        <v>17</v>
      </c>
      <c r="Z612" s="1428"/>
      <c r="AA612" s="1428"/>
      <c r="AB612" s="1428"/>
      <c r="AC612" s="1428"/>
      <c r="AD612" s="1428"/>
      <c r="AE612" s="1428"/>
      <c r="AF612" s="1428"/>
      <c r="AG612" s="1428"/>
      <c r="AH612" s="1428"/>
      <c r="AI612" s="1428"/>
      <c r="AJ612" s="1428"/>
      <c r="AK612" s="1428"/>
      <c r="AZ612" s="3"/>
      <c r="BA612" s="3"/>
      <c r="BB612" s="3"/>
      <c r="BC612" s="3"/>
    </row>
    <row r="613" spans="1:55" s="4" customFormat="1" ht="13" customHeight="1">
      <c r="A613" s="22"/>
      <c r="B613" t="s">
        <v>315</v>
      </c>
      <c r="C613"/>
      <c r="D613"/>
      <c r="E613"/>
      <c r="F613"/>
      <c r="G613" s="1478"/>
      <c r="H613" s="1478"/>
      <c r="I613" s="1478"/>
      <c r="J613" s="1478"/>
      <c r="K613" s="1478"/>
      <c r="L613" s="1478"/>
      <c r="M613"/>
      <c r="N613"/>
      <c r="O613" s="33" t="s">
        <v>205</v>
      </c>
      <c r="P613" s="1470"/>
      <c r="Q613" s="1470"/>
      <c r="R613" s="1470"/>
      <c r="S613"/>
      <c r="T613" s="22"/>
      <c r="U613" t="s">
        <v>315</v>
      </c>
      <c r="V613"/>
      <c r="W613"/>
      <c r="X613"/>
      <c r="Y613"/>
      <c r="Z613" s="1478"/>
      <c r="AA613" s="1478"/>
      <c r="AB613" s="1478"/>
      <c r="AC613" s="1478"/>
      <c r="AD613" s="1478"/>
      <c r="AE613" s="1478"/>
      <c r="AF613"/>
      <c r="AG613"/>
      <c r="AH613" s="33" t="s">
        <v>205</v>
      </c>
      <c r="AI613" s="1470"/>
      <c r="AJ613" s="1470"/>
      <c r="AK613" s="1470"/>
      <c r="AL613"/>
      <c r="AM613"/>
      <c r="AN613"/>
      <c r="AO613"/>
      <c r="AP613"/>
      <c r="AQ613"/>
      <c r="AR613"/>
      <c r="AS613"/>
      <c r="AT613"/>
      <c r="AU613"/>
      <c r="AV613"/>
      <c r="AW613"/>
      <c r="AX613"/>
      <c r="AY613"/>
      <c r="AZ613" s="3"/>
      <c r="BA613" s="3"/>
      <c r="BB613" s="3"/>
      <c r="BC613" s="3"/>
    </row>
    <row r="614" spans="1:55" s="4" customFormat="1" ht="13" customHeight="1">
      <c r="A614" s="22"/>
      <c r="B614" t="s">
        <v>18</v>
      </c>
      <c r="C614"/>
      <c r="D614"/>
      <c r="E614"/>
      <c r="F614"/>
      <c r="G614"/>
      <c r="H614" s="1401"/>
      <c r="I614" s="1401"/>
      <c r="J614" s="1401"/>
      <c r="K614" s="1401"/>
      <c r="L614" s="1401"/>
      <c r="M614" s="1401"/>
      <c r="N614" s="1401"/>
      <c r="O614" s="1401"/>
      <c r="P614" s="1401"/>
      <c r="Q614" s="1401"/>
      <c r="R614" s="1401"/>
      <c r="S614"/>
      <c r="T614" s="22"/>
      <c r="U614" t="s">
        <v>18</v>
      </c>
      <c r="V614"/>
      <c r="W614"/>
      <c r="X614"/>
      <c r="Y614"/>
      <c r="Z614"/>
      <c r="AA614" s="1401"/>
      <c r="AB614" s="1401"/>
      <c r="AC614" s="1401"/>
      <c r="AD614" s="1401"/>
      <c r="AE614" s="1401"/>
      <c r="AF614" s="1401"/>
      <c r="AG614" s="1401"/>
      <c r="AH614" s="1401"/>
      <c r="AI614" s="1401"/>
      <c r="AJ614" s="1401"/>
      <c r="AK614" s="1401"/>
      <c r="AL614"/>
      <c r="AM614"/>
      <c r="AN614"/>
      <c r="AO614"/>
      <c r="AP614"/>
      <c r="AQ614"/>
      <c r="AR614"/>
      <c r="AS614"/>
      <c r="AT614"/>
      <c r="AU614"/>
      <c r="AV614"/>
      <c r="AW614"/>
      <c r="AX614"/>
      <c r="AY614"/>
      <c r="AZ614" s="3"/>
      <c r="BA614" s="3"/>
      <c r="BB614" s="3"/>
      <c r="BC614" s="3"/>
    </row>
    <row r="615" spans="1:55" s="4" customFormat="1" ht="13" customHeight="1">
      <c r="A615" s="22"/>
      <c r="B615" t="s">
        <v>20</v>
      </c>
      <c r="C615"/>
      <c r="D615"/>
      <c r="E615"/>
      <c r="F615"/>
      <c r="G615"/>
      <c r="H615"/>
      <c r="I615"/>
      <c r="J615"/>
      <c r="K615"/>
      <c r="L615"/>
      <c r="M615"/>
      <c r="N615" s="1409" t="s">
        <v>668</v>
      </c>
      <c r="O615" s="1409"/>
      <c r="P615"/>
      <c r="Q615"/>
      <c r="R615"/>
      <c r="S615"/>
      <c r="T615" s="22"/>
      <c r="U615" t="s">
        <v>20</v>
      </c>
      <c r="V615"/>
      <c r="W615"/>
      <c r="X615"/>
      <c r="Y615"/>
      <c r="Z615"/>
      <c r="AA615"/>
      <c r="AB615"/>
      <c r="AC615"/>
      <c r="AD615"/>
      <c r="AE615"/>
      <c r="AF615"/>
      <c r="AG615" s="1409" t="s">
        <v>668</v>
      </c>
      <c r="AH615" s="1409"/>
      <c r="AI615"/>
      <c r="AJ615"/>
      <c r="AK615"/>
      <c r="AL615"/>
      <c r="AM615"/>
      <c r="AN615"/>
      <c r="AO615"/>
      <c r="AP615"/>
      <c r="AQ615"/>
      <c r="AR615"/>
      <c r="AS615"/>
      <c r="AT615"/>
      <c r="AU615"/>
      <c r="AV615"/>
      <c r="AW615"/>
      <c r="AX615"/>
      <c r="AY615"/>
      <c r="AZ615" s="3"/>
      <c r="BA615" s="3"/>
      <c r="BB615" s="3"/>
      <c r="BC615" s="3"/>
    </row>
    <row r="616" spans="1:55" ht="13" customHeight="1">
      <c r="A616" s="22"/>
      <c r="T616" s="22"/>
      <c r="AZ616" s="3"/>
      <c r="BA616" s="3"/>
      <c r="BB616" s="3"/>
      <c r="BC616" s="3"/>
    </row>
    <row r="617" spans="1:55" ht="13" customHeight="1">
      <c r="A617" s="55" t="s">
        <v>361</v>
      </c>
      <c r="B617" t="s">
        <v>462</v>
      </c>
      <c r="G617" s="1479">
        <f>C572</f>
        <v>0</v>
      </c>
      <c r="H617" s="1479"/>
      <c r="I617" s="1479"/>
      <c r="J617" s="1479"/>
      <c r="K617" s="1479"/>
      <c r="L617" s="1479"/>
      <c r="M617" s="1479"/>
      <c r="N617" s="1479"/>
      <c r="O617" s="1479"/>
      <c r="P617" s="1479"/>
      <c r="Q617" s="1479"/>
      <c r="R617" s="1479"/>
      <c r="T617" s="55" t="s">
        <v>362</v>
      </c>
      <c r="U617" t="s">
        <v>462</v>
      </c>
      <c r="Z617" s="1479">
        <f>C573</f>
        <v>0</v>
      </c>
      <c r="AA617" s="1479"/>
      <c r="AB617" s="1479"/>
      <c r="AC617" s="1479"/>
      <c r="AD617" s="1479"/>
      <c r="AE617" s="1479"/>
      <c r="AF617" s="1479"/>
      <c r="AG617" s="1479"/>
      <c r="AH617" s="1479"/>
      <c r="AI617" s="1479"/>
      <c r="AJ617" s="1479"/>
      <c r="AK617" s="1479"/>
      <c r="AZ617" s="3"/>
      <c r="BA617" s="3"/>
      <c r="BB617" s="3"/>
      <c r="BC617" s="3"/>
    </row>
    <row r="618" spans="1:55" ht="13" customHeight="1">
      <c r="B618" t="s">
        <v>85</v>
      </c>
      <c r="G618" s="1401"/>
      <c r="H618" s="1401"/>
      <c r="I618" s="1401"/>
      <c r="J618" s="1401"/>
      <c r="K618" s="1401"/>
      <c r="L618" s="1401"/>
      <c r="M618" s="1401"/>
      <c r="N618" s="1401"/>
      <c r="O618" s="1401"/>
      <c r="P618" s="1401"/>
      <c r="Q618" s="1401"/>
      <c r="R618" s="1401"/>
      <c r="U618" t="s">
        <v>85</v>
      </c>
      <c r="Z618" s="1401"/>
      <c r="AA618" s="1401"/>
      <c r="AB618" s="1401"/>
      <c r="AC618" s="1401"/>
      <c r="AD618" s="1401"/>
      <c r="AE618" s="1401"/>
      <c r="AF618" s="1401"/>
      <c r="AG618" s="1401"/>
      <c r="AH618" s="1401"/>
      <c r="AI618" s="1401"/>
      <c r="AJ618" s="1401"/>
      <c r="AK618" s="1401"/>
      <c r="AZ618" s="3"/>
      <c r="BA618" s="3"/>
      <c r="BB618" s="3"/>
      <c r="BC618" s="3"/>
    </row>
    <row r="619" spans="1:55" ht="13" customHeight="1">
      <c r="B619" t="s">
        <v>579</v>
      </c>
      <c r="G619" s="1401"/>
      <c r="H619" s="1401"/>
      <c r="I619" s="1401"/>
      <c r="J619" s="1401"/>
      <c r="K619" s="1401"/>
      <c r="L619" s="1401"/>
      <c r="M619" s="1401"/>
      <c r="N619" s="1401"/>
      <c r="O619" s="1401"/>
      <c r="P619" s="1401"/>
      <c r="Q619" s="1401"/>
      <c r="R619" s="1401"/>
      <c r="U619" t="s">
        <v>579</v>
      </c>
      <c r="Z619" s="1428"/>
      <c r="AA619" s="1428"/>
      <c r="AB619" s="1428"/>
      <c r="AC619" s="1428"/>
      <c r="AD619" s="1428"/>
      <c r="AE619" s="1428"/>
      <c r="AF619" s="1428"/>
      <c r="AG619" s="1428"/>
      <c r="AH619" s="1428"/>
      <c r="AI619" s="1428"/>
      <c r="AJ619" s="1428"/>
      <c r="AK619" s="1428"/>
      <c r="AZ619" s="3"/>
      <c r="BA619" s="3"/>
      <c r="BB619" s="3"/>
      <c r="BC619" s="3"/>
    </row>
    <row r="620" spans="1:55" ht="13" customHeight="1">
      <c r="B620" t="s">
        <v>17</v>
      </c>
      <c r="G620" s="1401"/>
      <c r="H620" s="1401"/>
      <c r="I620" s="1401"/>
      <c r="J620" s="1401"/>
      <c r="K620" s="1401"/>
      <c r="L620" s="1401"/>
      <c r="M620" s="1401"/>
      <c r="N620" s="1401"/>
      <c r="O620" s="1401"/>
      <c r="P620" s="1401"/>
      <c r="Q620" s="1401"/>
      <c r="R620" s="1401"/>
      <c r="U620" t="s">
        <v>17</v>
      </c>
      <c r="Z620" s="1428"/>
      <c r="AA620" s="1428"/>
      <c r="AB620" s="1428"/>
      <c r="AC620" s="1428"/>
      <c r="AD620" s="1428"/>
      <c r="AE620" s="1428"/>
      <c r="AF620" s="1428"/>
      <c r="AG620" s="1428"/>
      <c r="AH620" s="1428"/>
      <c r="AI620" s="1428"/>
      <c r="AJ620" s="1428"/>
      <c r="AK620" s="1428"/>
      <c r="AZ620" s="3"/>
      <c r="BA620" s="3"/>
      <c r="BB620" s="3"/>
      <c r="BC620" s="3"/>
    </row>
    <row r="621" spans="1:55" ht="13" customHeight="1">
      <c r="B621" t="s">
        <v>315</v>
      </c>
      <c r="G621" s="1478"/>
      <c r="H621" s="1478"/>
      <c r="I621" s="1478"/>
      <c r="J621" s="1478"/>
      <c r="K621" s="1478"/>
      <c r="L621" s="1478"/>
      <c r="O621" s="33" t="s">
        <v>205</v>
      </c>
      <c r="P621" s="1470"/>
      <c r="Q621" s="1470"/>
      <c r="R621" s="1470"/>
      <c r="U621" t="s">
        <v>315</v>
      </c>
      <c r="Z621" s="1478"/>
      <c r="AA621" s="1478"/>
      <c r="AB621" s="1478"/>
      <c r="AC621" s="1478"/>
      <c r="AD621" s="1478"/>
      <c r="AE621" s="1478"/>
      <c r="AH621" s="33" t="s">
        <v>205</v>
      </c>
      <c r="AI621" s="1470"/>
      <c r="AJ621" s="1470"/>
      <c r="AK621" s="1470"/>
      <c r="AZ621" s="3"/>
      <c r="BA621" s="3"/>
      <c r="BB621" s="3"/>
      <c r="BC621" s="3"/>
    </row>
    <row r="622" spans="1:55" ht="13" customHeight="1">
      <c r="B622" t="s">
        <v>18</v>
      </c>
      <c r="H622" s="1401"/>
      <c r="I622" s="1401"/>
      <c r="J622" s="1401"/>
      <c r="K622" s="1401"/>
      <c r="L622" s="1401"/>
      <c r="M622" s="1401"/>
      <c r="N622" s="1401"/>
      <c r="O622" s="1401"/>
      <c r="P622" s="1401"/>
      <c r="Q622" s="1401"/>
      <c r="R622" s="1401"/>
      <c r="U622" t="s">
        <v>18</v>
      </c>
      <c r="AA622" s="1401"/>
      <c r="AB622" s="1401"/>
      <c r="AC622" s="1401"/>
      <c r="AD622" s="1401"/>
      <c r="AE622" s="1401"/>
      <c r="AF622" s="1401"/>
      <c r="AG622" s="1401"/>
      <c r="AH622" s="1401"/>
      <c r="AI622" s="1401"/>
      <c r="AJ622" s="1401"/>
      <c r="AK622" s="1401"/>
      <c r="AU622" s="895"/>
      <c r="AV622" s="895"/>
      <c r="AW622" s="895"/>
      <c r="AX622" s="895"/>
      <c r="AY622" s="895"/>
      <c r="AZ622" s="3"/>
      <c r="BA622" s="3"/>
      <c r="BB622" s="3"/>
      <c r="BC622" s="3"/>
    </row>
    <row r="623" spans="1:55" ht="13" customHeight="1">
      <c r="B623" t="s">
        <v>20</v>
      </c>
      <c r="N623" s="1409" t="s">
        <v>668</v>
      </c>
      <c r="O623" s="1409"/>
      <c r="U623" t="s">
        <v>20</v>
      </c>
      <c r="AG623" s="1409" t="s">
        <v>668</v>
      </c>
      <c r="AH623" s="1409"/>
      <c r="AU623" s="895"/>
      <c r="AV623" s="895"/>
      <c r="AW623" s="895"/>
      <c r="AX623" s="895"/>
      <c r="AY623" s="895"/>
      <c r="AZ623" s="3"/>
      <c r="BA623" s="3"/>
      <c r="BB623" s="3"/>
      <c r="BC623" s="3"/>
    </row>
    <row r="624" spans="1:55" ht="13" customHeight="1">
      <c r="AZ624" s="3"/>
      <c r="BA624" s="3"/>
      <c r="BB624" s="3"/>
      <c r="BC624" s="3"/>
    </row>
    <row r="625" spans="1:56" ht="13" customHeight="1">
      <c r="A625" s="1276" t="s">
        <v>543</v>
      </c>
      <c r="B625" s="1276"/>
      <c r="C625" s="1276"/>
      <c r="D625" s="1276"/>
      <c r="E625" s="1276"/>
      <c r="F625" s="1276"/>
      <c r="G625" s="1276"/>
      <c r="H625" s="1276"/>
      <c r="I625" s="1276"/>
      <c r="J625" s="1276"/>
      <c r="K625" s="1276"/>
      <c r="L625" s="1276"/>
      <c r="M625" s="1276"/>
      <c r="N625" s="1276"/>
      <c r="O625" s="1276"/>
      <c r="P625" s="1276"/>
      <c r="Q625" s="1276"/>
      <c r="R625" s="1276"/>
      <c r="S625" s="1276"/>
      <c r="T625" s="1276"/>
      <c r="U625" s="1276"/>
      <c r="V625" s="1276"/>
      <c r="W625" s="1276"/>
      <c r="X625" s="1276"/>
      <c r="Y625" s="1276"/>
      <c r="Z625" s="1276"/>
      <c r="AA625" s="1276"/>
      <c r="AB625" s="1276"/>
      <c r="AC625" s="1276"/>
      <c r="AD625" s="1276"/>
      <c r="AE625" s="1276"/>
      <c r="AF625" s="1276"/>
      <c r="AG625" s="1276"/>
      <c r="AH625" s="1276"/>
      <c r="AI625" s="1276"/>
      <c r="AJ625" s="1276"/>
      <c r="AK625" s="1276"/>
      <c r="AL625" s="1276"/>
      <c r="AM625" s="1276"/>
      <c r="AN625" s="1276"/>
      <c r="AO625" s="1276"/>
      <c r="AP625" s="1276"/>
      <c r="AQ625" s="1276"/>
      <c r="AR625" s="1276"/>
      <c r="AS625" s="1276"/>
      <c r="AT625" s="1276"/>
      <c r="AZ625" s="3"/>
      <c r="BA625" s="3"/>
      <c r="BB625" s="3"/>
      <c r="BC625" s="3"/>
    </row>
    <row r="626" spans="1:56" ht="13" customHeight="1">
      <c r="A626" s="1276"/>
      <c r="B626" s="1276"/>
      <c r="C626" s="1276"/>
      <c r="D626" s="1276"/>
      <c r="E626" s="1276"/>
      <c r="F626" s="1276"/>
      <c r="G626" s="1276"/>
      <c r="H626" s="1276"/>
      <c r="I626" s="1276"/>
      <c r="J626" s="1276"/>
      <c r="K626" s="1276"/>
      <c r="L626" s="1276"/>
      <c r="M626" s="1276"/>
      <c r="N626" s="1276"/>
      <c r="O626" s="1276"/>
      <c r="P626" s="1276"/>
      <c r="Q626" s="1276"/>
      <c r="R626" s="1276"/>
      <c r="S626" s="1276"/>
      <c r="T626" s="1276"/>
      <c r="U626" s="1276"/>
      <c r="V626" s="1276"/>
      <c r="W626" s="1276"/>
      <c r="X626" s="1276"/>
      <c r="Y626" s="1276"/>
      <c r="Z626" s="1276"/>
      <c r="AA626" s="1276"/>
      <c r="AB626" s="1276"/>
      <c r="AC626" s="1276"/>
      <c r="AD626" s="1276"/>
      <c r="AE626" s="1276"/>
      <c r="AF626" s="1276"/>
      <c r="AG626" s="1276"/>
      <c r="AH626" s="1276"/>
      <c r="AI626" s="1276"/>
      <c r="AJ626" s="1276"/>
      <c r="AK626" s="1276"/>
      <c r="AL626" s="1276"/>
      <c r="AM626" s="1276"/>
      <c r="AN626" s="1276"/>
      <c r="AO626" s="1276"/>
      <c r="AP626" s="1276"/>
      <c r="AQ626" s="1276"/>
      <c r="AR626" s="1276"/>
      <c r="AS626" s="1276"/>
      <c r="AT626" s="1276"/>
      <c r="AZ626" s="3"/>
      <c r="BA626" s="3"/>
      <c r="BB626" s="3"/>
      <c r="BC626" s="3"/>
    </row>
    <row r="627" spans="1:56" ht="13" customHeight="1">
      <c r="AZ627" s="3"/>
      <c r="BA627" s="3"/>
      <c r="BB627" s="3"/>
      <c r="BC627" s="3"/>
    </row>
    <row r="628" spans="1:56" ht="13" customHeight="1">
      <c r="A628" s="2" t="s">
        <v>318</v>
      </c>
      <c r="B628" s="2"/>
      <c r="C628" s="2" t="s">
        <v>21</v>
      </c>
      <c r="AZ628" s="3"/>
      <c r="BA628" s="3"/>
      <c r="BB628" s="3"/>
      <c r="BC628" s="3"/>
    </row>
    <row r="629" spans="1:56" ht="13" customHeight="1">
      <c r="A629" s="2"/>
      <c r="B629" s="2"/>
      <c r="C629" s="2"/>
      <c r="AZ629" s="3"/>
      <c r="BA629" s="3"/>
      <c r="BB629" s="3"/>
      <c r="BC629" s="3"/>
    </row>
    <row r="630" spans="1:56" ht="13" customHeight="1">
      <c r="C630" s="2" t="s">
        <v>2054</v>
      </c>
      <c r="AZ630" s="3"/>
      <c r="BA630" s="3"/>
      <c r="BB630" s="3"/>
      <c r="BC630" s="3"/>
    </row>
    <row r="631" spans="1:56" ht="13" customHeight="1">
      <c r="B631" s="512"/>
      <c r="C631" s="2"/>
      <c r="AU631" s="3"/>
      <c r="AZ631" s="3"/>
      <c r="BA631" s="3"/>
      <c r="BB631" s="3"/>
      <c r="BC631" s="3"/>
    </row>
    <row r="632" spans="1:56" ht="13" customHeight="1">
      <c r="B632" s="1841" t="s">
        <v>2056</v>
      </c>
      <c r="C632" s="1841"/>
      <c r="D632" s="1841"/>
      <c r="E632" s="1841"/>
      <c r="F632" s="1841"/>
      <c r="G632" s="1841"/>
      <c r="H632" s="1841"/>
      <c r="I632" s="1841"/>
      <c r="J632" s="1841"/>
      <c r="K632" s="1841"/>
      <c r="L632" s="1841"/>
      <c r="M632" s="1744" t="s">
        <v>2057</v>
      </c>
      <c r="N632" s="1744"/>
      <c r="O632" s="1744"/>
      <c r="P632" s="1744"/>
      <c r="Q632" s="1744" t="s">
        <v>1827</v>
      </c>
      <c r="R632" s="1744"/>
      <c r="S632" s="1744"/>
      <c r="T632" s="1744" t="s">
        <v>1825</v>
      </c>
      <c r="U632" s="1744"/>
      <c r="V632" s="1744"/>
      <c r="W632" s="1663" t="s">
        <v>452</v>
      </c>
      <c r="X632" s="1663"/>
      <c r="Y632" s="1663"/>
      <c r="Z632" s="1391" t="s">
        <v>2086</v>
      </c>
      <c r="AA632" s="1391"/>
      <c r="AB632" s="1392"/>
      <c r="AC632" s="1822" t="s">
        <v>1663</v>
      </c>
      <c r="AD632" s="1823"/>
      <c r="AE632" s="1824"/>
      <c r="AF632" s="1390" t="s">
        <v>1902</v>
      </c>
      <c r="AG632" s="1391"/>
      <c r="AH632" s="1391"/>
      <c r="AI632" s="1391"/>
      <c r="AJ632" s="1392"/>
      <c r="AK632" s="1664" t="s">
        <v>1903</v>
      </c>
      <c r="AL632" s="1665"/>
      <c r="AM632" s="1665"/>
      <c r="AN632" s="1666"/>
      <c r="AO632" s="1744" t="s">
        <v>453</v>
      </c>
      <c r="AP632" s="1744"/>
      <c r="AQ632" s="1744"/>
      <c r="AR632" s="1744"/>
      <c r="AS632" s="1744"/>
      <c r="AU632" s="3"/>
      <c r="AZ632" s="3"/>
      <c r="BA632" s="3"/>
      <c r="BB632" s="3"/>
      <c r="BC632" s="3"/>
    </row>
    <row r="633" spans="1:56" ht="13" customHeight="1">
      <c r="B633" s="1841"/>
      <c r="C633" s="1841"/>
      <c r="D633" s="1841"/>
      <c r="E633" s="1841"/>
      <c r="F633" s="1841"/>
      <c r="G633" s="1841"/>
      <c r="H633" s="1841"/>
      <c r="I633" s="1841"/>
      <c r="J633" s="1841"/>
      <c r="K633" s="1841"/>
      <c r="L633" s="1841"/>
      <c r="M633" s="1744"/>
      <c r="N633" s="1744"/>
      <c r="O633" s="1744"/>
      <c r="P633" s="1744"/>
      <c r="Q633" s="1744"/>
      <c r="R633" s="1744"/>
      <c r="S633" s="1744"/>
      <c r="T633" s="1744"/>
      <c r="U633" s="1744"/>
      <c r="V633" s="1744"/>
      <c r="W633" s="1663"/>
      <c r="X633" s="1663"/>
      <c r="Y633" s="1663"/>
      <c r="Z633" s="1394"/>
      <c r="AA633" s="1394"/>
      <c r="AB633" s="1395"/>
      <c r="AC633" s="1825"/>
      <c r="AD633" s="1826"/>
      <c r="AE633" s="1827"/>
      <c r="AF633" s="1393"/>
      <c r="AG633" s="1394"/>
      <c r="AH633" s="1394"/>
      <c r="AI633" s="1394"/>
      <c r="AJ633" s="1395"/>
      <c r="AK633" s="1667"/>
      <c r="AL633" s="1668"/>
      <c r="AM633" s="1668"/>
      <c r="AN633" s="1669"/>
      <c r="AO633" s="1744"/>
      <c r="AP633" s="1744"/>
      <c r="AQ633" s="1744"/>
      <c r="AR633" s="1744"/>
      <c r="AS633" s="1744"/>
      <c r="AU633" s="3"/>
      <c r="AZ633" s="3"/>
      <c r="BA633" s="3"/>
      <c r="BB633" s="3"/>
      <c r="BC633" s="3"/>
      <c r="BD633" s="3"/>
    </row>
    <row r="634" spans="1:56" ht="13" customHeight="1">
      <c r="B634" s="1841"/>
      <c r="C634" s="1841"/>
      <c r="D634" s="1841"/>
      <c r="E634" s="1841"/>
      <c r="F634" s="1841"/>
      <c r="G634" s="1841"/>
      <c r="H634" s="1841"/>
      <c r="I634" s="1841"/>
      <c r="J634" s="1841"/>
      <c r="K634" s="1841"/>
      <c r="L634" s="1841"/>
      <c r="M634" s="1744"/>
      <c r="N634" s="1744"/>
      <c r="O634" s="1744"/>
      <c r="P634" s="1744"/>
      <c r="Q634" s="1744"/>
      <c r="R634" s="1744"/>
      <c r="S634" s="1744"/>
      <c r="T634" s="1744"/>
      <c r="U634" s="1744"/>
      <c r="V634" s="1744"/>
      <c r="W634" s="1663"/>
      <c r="X634" s="1663"/>
      <c r="Y634" s="1663"/>
      <c r="Z634" s="1397"/>
      <c r="AA634" s="1397"/>
      <c r="AB634" s="1398"/>
      <c r="AC634" s="1828"/>
      <c r="AD634" s="1829"/>
      <c r="AE634" s="1830"/>
      <c r="AF634" s="1396"/>
      <c r="AG634" s="1397"/>
      <c r="AH634" s="1397"/>
      <c r="AI634" s="1397"/>
      <c r="AJ634" s="1398"/>
      <c r="AK634" s="1670"/>
      <c r="AL634" s="1671"/>
      <c r="AM634" s="1671"/>
      <c r="AN634" s="1672"/>
      <c r="AO634" s="1744"/>
      <c r="AP634" s="1744"/>
      <c r="AQ634" s="1744"/>
      <c r="AR634" s="1744"/>
      <c r="AS634" s="1744"/>
      <c r="AT634" s="3"/>
      <c r="AU634" s="3"/>
      <c r="AZ634" s="3"/>
      <c r="BA634" s="3"/>
      <c r="BB634" s="3"/>
      <c r="BC634" s="3"/>
      <c r="BD634" s="3"/>
    </row>
    <row r="635" spans="1:56" ht="13" customHeight="1">
      <c r="B635" s="51" t="s">
        <v>112</v>
      </c>
      <c r="C635" s="1485" t="s">
        <v>2751</v>
      </c>
      <c r="D635" s="1485"/>
      <c r="E635" s="1485"/>
      <c r="F635" s="1485"/>
      <c r="G635" s="1485"/>
      <c r="H635" s="1485"/>
      <c r="I635" s="1485"/>
      <c r="J635" s="1485"/>
      <c r="K635" s="1485"/>
      <c r="L635" s="1485"/>
      <c r="M635" s="1603" t="s">
        <v>2073</v>
      </c>
      <c r="N635" s="1603"/>
      <c r="O635" s="1603"/>
      <c r="P635" s="1603"/>
      <c r="Q635" s="1508">
        <v>204</v>
      </c>
      <c r="R635" s="1508"/>
      <c r="S635" s="1509"/>
      <c r="T635" s="1507">
        <v>480</v>
      </c>
      <c r="U635" s="1508"/>
      <c r="V635" s="1509"/>
      <c r="W635" s="1491">
        <v>6.2549999999999994E-2</v>
      </c>
      <c r="X635" s="1492"/>
      <c r="Y635" s="1493"/>
      <c r="Z635" s="1475" t="s">
        <v>2085</v>
      </c>
      <c r="AA635" s="1476"/>
      <c r="AB635" s="1477"/>
      <c r="AC635" s="1434">
        <v>1</v>
      </c>
      <c r="AD635" s="1435"/>
      <c r="AE635" s="1436"/>
      <c r="AF635" s="1510">
        <v>1158908</v>
      </c>
      <c r="AG635" s="1511"/>
      <c r="AH635" s="1511"/>
      <c r="AI635" s="1511"/>
      <c r="AJ635" s="1512"/>
      <c r="AK635" s="1418"/>
      <c r="AL635" s="1419"/>
      <c r="AM635" s="1419"/>
      <c r="AN635" s="1420"/>
      <c r="AO635" s="1625">
        <v>17000000</v>
      </c>
      <c r="AP635" s="1625"/>
      <c r="AQ635" s="1625"/>
      <c r="AR635" s="1625"/>
      <c r="AS635" s="1625"/>
      <c r="AT635" s="3"/>
      <c r="AU635" s="3"/>
      <c r="AZ635" s="3"/>
      <c r="BA635" s="3"/>
      <c r="BB635" s="3"/>
      <c r="BC635" s="3"/>
      <c r="BD635" s="3"/>
    </row>
    <row r="636" spans="1:56" ht="13" customHeight="1">
      <c r="B636" s="52" t="s">
        <v>113</v>
      </c>
      <c r="C636" s="1485" t="s">
        <v>2770</v>
      </c>
      <c r="D636" s="1485"/>
      <c r="E636" s="1485"/>
      <c r="F636" s="1485"/>
      <c r="G636" s="1485"/>
      <c r="H636" s="1485"/>
      <c r="I636" s="1485"/>
      <c r="J636" s="1485"/>
      <c r="K636" s="1485"/>
      <c r="L636" s="1485"/>
      <c r="M636" s="1603" t="s">
        <v>2073</v>
      </c>
      <c r="N636" s="1603"/>
      <c r="O636" s="1603"/>
      <c r="P636" s="1603"/>
      <c r="Q636" s="1507">
        <v>360</v>
      </c>
      <c r="R636" s="1508"/>
      <c r="S636" s="1509"/>
      <c r="T636" s="1507"/>
      <c r="U636" s="1508"/>
      <c r="V636" s="1509"/>
      <c r="W636" s="1491">
        <v>0.08</v>
      </c>
      <c r="X636" s="1492"/>
      <c r="Y636" s="1493"/>
      <c r="Z636" s="1475" t="s">
        <v>456</v>
      </c>
      <c r="AA636" s="1476"/>
      <c r="AB636" s="1477"/>
      <c r="AC636" s="1434">
        <v>2</v>
      </c>
      <c r="AD636" s="1435"/>
      <c r="AE636" s="1436"/>
      <c r="AF636" s="1510"/>
      <c r="AG636" s="1511"/>
      <c r="AH636" s="1511"/>
      <c r="AI636" s="1511"/>
      <c r="AJ636" s="1512"/>
      <c r="AK636" s="1418"/>
      <c r="AL636" s="1419"/>
      <c r="AM636" s="1419"/>
      <c r="AN636" s="1420"/>
      <c r="AO636" s="1474">
        <v>5000000</v>
      </c>
      <c r="AP636" s="1345"/>
      <c r="AQ636" s="1345"/>
      <c r="AR636" s="1345"/>
      <c r="AS636" s="1346"/>
      <c r="AT636" s="1142" t="str">
        <f>IF(AND(NOT(C635=""),C636="",NOT(C637="")),"!","")</f>
        <v/>
      </c>
      <c r="AU636" s="3"/>
      <c r="AZ636" s="3"/>
      <c r="BA636" s="3"/>
      <c r="BB636" s="3"/>
      <c r="BC636" s="3"/>
      <c r="BD636" s="3"/>
    </row>
    <row r="637" spans="1:56" ht="13" customHeight="1">
      <c r="B637" s="52" t="s">
        <v>119</v>
      </c>
      <c r="C637" s="1485" t="s">
        <v>2736</v>
      </c>
      <c r="D637" s="1485"/>
      <c r="E637" s="1485"/>
      <c r="F637" s="1485"/>
      <c r="G637" s="1485"/>
      <c r="H637" s="1485"/>
      <c r="I637" s="1485"/>
      <c r="J637" s="1485"/>
      <c r="K637" s="1485"/>
      <c r="L637" s="1485"/>
      <c r="M637" s="1603" t="s">
        <v>2081</v>
      </c>
      <c r="N637" s="1603"/>
      <c r="O637" s="1603"/>
      <c r="P637" s="1603"/>
      <c r="Q637" s="1507"/>
      <c r="R637" s="1508"/>
      <c r="S637" s="1509"/>
      <c r="T637" s="1507"/>
      <c r="U637" s="1508"/>
      <c r="V637" s="1509"/>
      <c r="W637" s="1491"/>
      <c r="X637" s="1492"/>
      <c r="Y637" s="1493"/>
      <c r="Z637" s="1475" t="s">
        <v>456</v>
      </c>
      <c r="AA637" s="1476"/>
      <c r="AB637" s="1477"/>
      <c r="AC637" s="1434"/>
      <c r="AD637" s="1435"/>
      <c r="AE637" s="1436"/>
      <c r="AF637" s="1510"/>
      <c r="AG637" s="1511"/>
      <c r="AH637" s="1511"/>
      <c r="AI637" s="1511"/>
      <c r="AJ637" s="1512"/>
      <c r="AK637" s="1418"/>
      <c r="AL637" s="1419"/>
      <c r="AM637" s="1419"/>
      <c r="AN637" s="1420"/>
      <c r="AO637" s="1474">
        <v>3850000</v>
      </c>
      <c r="AP637" s="1345"/>
      <c r="AQ637" s="1345"/>
      <c r="AR637" s="1345"/>
      <c r="AS637" s="1346"/>
      <c r="AT637" s="1142" t="str">
        <f t="shared" ref="AT637:AT646" si="3">IF(AND(NOT(C636=""),C637="",NOT(C638="")),"!","")</f>
        <v/>
      </c>
      <c r="AU637" s="3"/>
      <c r="AZ637" s="3"/>
      <c r="BA637" s="3"/>
      <c r="BB637" s="3"/>
      <c r="BC637" s="3"/>
      <c r="BD637" s="3"/>
    </row>
    <row r="638" spans="1:56" ht="13" customHeight="1">
      <c r="B638" s="52" t="s">
        <v>580</v>
      </c>
      <c r="C638" s="1485" t="s">
        <v>2644</v>
      </c>
      <c r="D638" s="1490"/>
      <c r="E638" s="1490"/>
      <c r="F638" s="1490"/>
      <c r="G638" s="1490"/>
      <c r="H638" s="1490"/>
      <c r="I638" s="1490"/>
      <c r="J638" s="1490"/>
      <c r="K638" s="1490"/>
      <c r="L638" s="1490"/>
      <c r="M638" s="1603" t="s">
        <v>2060</v>
      </c>
      <c r="N638" s="1603"/>
      <c r="O638" s="1603"/>
      <c r="P638" s="1603"/>
      <c r="Q638" s="1507"/>
      <c r="R638" s="1508"/>
      <c r="S638" s="1509"/>
      <c r="T638" s="1507"/>
      <c r="U638" s="1508"/>
      <c r="V638" s="1509"/>
      <c r="W638" s="1491"/>
      <c r="X638" s="1492"/>
      <c r="Y638" s="1493"/>
      <c r="Z638" s="1475" t="s">
        <v>1182</v>
      </c>
      <c r="AA638" s="1476"/>
      <c r="AB638" s="1477"/>
      <c r="AC638" s="1434"/>
      <c r="AD638" s="1435"/>
      <c r="AE638" s="1436"/>
      <c r="AF638" s="1510"/>
      <c r="AG638" s="1511"/>
      <c r="AH638" s="1511"/>
      <c r="AI638" s="1511"/>
      <c r="AJ638" s="1512"/>
      <c r="AK638" s="1418"/>
      <c r="AL638" s="1419"/>
      <c r="AM638" s="1419"/>
      <c r="AN638" s="1420"/>
      <c r="AO638" s="1474">
        <v>8555127</v>
      </c>
      <c r="AP638" s="1345"/>
      <c r="AQ638" s="1345"/>
      <c r="AR638" s="1345"/>
      <c r="AS638" s="1346"/>
      <c r="AT638" s="1142" t="str">
        <f t="shared" si="3"/>
        <v/>
      </c>
      <c r="AU638" s="3"/>
      <c r="AZ638" s="3"/>
      <c r="BA638" s="3"/>
      <c r="BB638" s="3"/>
      <c r="BC638" s="3"/>
      <c r="BD638" s="3"/>
    </row>
    <row r="639" spans="1:56" ht="13" customHeight="1">
      <c r="B639" s="52" t="s">
        <v>762</v>
      </c>
      <c r="C639" s="1490"/>
      <c r="D639" s="1490"/>
      <c r="E639" s="1490"/>
      <c r="F639" s="1490"/>
      <c r="G639" s="1490"/>
      <c r="H639" s="1490"/>
      <c r="I639" s="1490"/>
      <c r="J639" s="1490"/>
      <c r="K639" s="1490"/>
      <c r="L639" s="1490"/>
      <c r="M639" s="1603" t="s">
        <v>1182</v>
      </c>
      <c r="N639" s="1603"/>
      <c r="O639" s="1603"/>
      <c r="P639" s="1603"/>
      <c r="Q639" s="1507"/>
      <c r="R639" s="1508"/>
      <c r="S639" s="1509"/>
      <c r="T639" s="1507"/>
      <c r="U639" s="1508"/>
      <c r="V639" s="1509"/>
      <c r="W639" s="1491"/>
      <c r="X639" s="1492"/>
      <c r="Y639" s="1493"/>
      <c r="Z639" s="1475" t="s">
        <v>1182</v>
      </c>
      <c r="AA639" s="1476"/>
      <c r="AB639" s="1477"/>
      <c r="AC639" s="1434"/>
      <c r="AD639" s="1435"/>
      <c r="AE639" s="1436"/>
      <c r="AF639" s="1510"/>
      <c r="AG639" s="1511"/>
      <c r="AH639" s="1511"/>
      <c r="AI639" s="1511"/>
      <c r="AJ639" s="1512"/>
      <c r="AK639" s="1418"/>
      <c r="AL639" s="1419"/>
      <c r="AM639" s="1419"/>
      <c r="AN639" s="1420"/>
      <c r="AO639" s="1474"/>
      <c r="AP639" s="1345"/>
      <c r="AQ639" s="1345"/>
      <c r="AR639" s="1345"/>
      <c r="AS639" s="1346"/>
      <c r="AT639" s="1142" t="str">
        <f t="shared" si="3"/>
        <v/>
      </c>
      <c r="AU639" s="3"/>
      <c r="AZ639" s="3"/>
      <c r="BA639" s="3"/>
      <c r="BB639" s="3"/>
      <c r="BC639" s="3"/>
      <c r="BD639" s="3"/>
    </row>
    <row r="640" spans="1:56" ht="13" customHeight="1">
      <c r="B640" s="52" t="s">
        <v>583</v>
      </c>
      <c r="C640" s="1490"/>
      <c r="D640" s="1490"/>
      <c r="E640" s="1490"/>
      <c r="F640" s="1490"/>
      <c r="G640" s="1490"/>
      <c r="H640" s="1490"/>
      <c r="I640" s="1490"/>
      <c r="J640" s="1490"/>
      <c r="K640" s="1490"/>
      <c r="L640" s="1490"/>
      <c r="M640" s="1603" t="s">
        <v>1182</v>
      </c>
      <c r="N640" s="1603"/>
      <c r="O640" s="1603"/>
      <c r="P640" s="1603"/>
      <c r="Q640" s="1507"/>
      <c r="R640" s="1508"/>
      <c r="S640" s="1509"/>
      <c r="T640" s="1507"/>
      <c r="U640" s="1508"/>
      <c r="V640" s="1509"/>
      <c r="W640" s="1491"/>
      <c r="X640" s="1492"/>
      <c r="Y640" s="1493"/>
      <c r="Z640" s="1475" t="s">
        <v>1182</v>
      </c>
      <c r="AA640" s="1476"/>
      <c r="AB640" s="1477"/>
      <c r="AC640" s="1434"/>
      <c r="AD640" s="1435"/>
      <c r="AE640" s="1436"/>
      <c r="AF640" s="1510"/>
      <c r="AG640" s="1511"/>
      <c r="AH640" s="1511"/>
      <c r="AI640" s="1511"/>
      <c r="AJ640" s="1512"/>
      <c r="AK640" s="1418"/>
      <c r="AL640" s="1419"/>
      <c r="AM640" s="1419"/>
      <c r="AN640" s="1420"/>
      <c r="AO640" s="1474"/>
      <c r="AP640" s="1345"/>
      <c r="AQ640" s="1345"/>
      <c r="AR640" s="1345"/>
      <c r="AS640" s="1346"/>
      <c r="AT640" s="1142" t="str">
        <f t="shared" si="3"/>
        <v/>
      </c>
      <c r="AU640" s="3"/>
      <c r="AZ640" s="3"/>
      <c r="BA640" s="3"/>
      <c r="BB640" s="3"/>
      <c r="BC640" s="3"/>
      <c r="BD640" s="3"/>
    </row>
    <row r="641" spans="1:157" ht="13" customHeight="1">
      <c r="B641" s="52" t="s">
        <v>454</v>
      </c>
      <c r="C641" s="1490"/>
      <c r="D641" s="1490"/>
      <c r="E641" s="1490"/>
      <c r="F641" s="1490"/>
      <c r="G641" s="1490"/>
      <c r="H641" s="1490"/>
      <c r="I641" s="1490"/>
      <c r="J641" s="1490"/>
      <c r="K641" s="1490"/>
      <c r="L641" s="1490"/>
      <c r="M641" s="1603" t="s">
        <v>1182</v>
      </c>
      <c r="N641" s="1603"/>
      <c r="O641" s="1603"/>
      <c r="P641" s="1603"/>
      <c r="Q641" s="1507"/>
      <c r="R641" s="1508"/>
      <c r="S641" s="1509"/>
      <c r="T641" s="1507"/>
      <c r="U641" s="1508"/>
      <c r="V641" s="1509"/>
      <c r="W641" s="1491"/>
      <c r="X641" s="1492"/>
      <c r="Y641" s="1493"/>
      <c r="Z641" s="1475" t="s">
        <v>1182</v>
      </c>
      <c r="AA641" s="1476"/>
      <c r="AB641" s="1477"/>
      <c r="AC641" s="1434"/>
      <c r="AD641" s="1435"/>
      <c r="AE641" s="1436"/>
      <c r="AF641" s="1510"/>
      <c r="AG641" s="1511"/>
      <c r="AH641" s="1511"/>
      <c r="AI641" s="1511"/>
      <c r="AJ641" s="1512"/>
      <c r="AK641" s="1418"/>
      <c r="AL641" s="1419"/>
      <c r="AM641" s="1419"/>
      <c r="AN641" s="1420"/>
      <c r="AO641" s="1474"/>
      <c r="AP641" s="1345"/>
      <c r="AQ641" s="1345"/>
      <c r="AR641" s="1345"/>
      <c r="AS641" s="1346"/>
      <c r="AT641" s="1142" t="str">
        <f t="shared" si="3"/>
        <v/>
      </c>
      <c r="AU641" s="3"/>
      <c r="AV641" s="3"/>
      <c r="AW641" s="3"/>
      <c r="AX641" s="3"/>
      <c r="AY641" s="3"/>
      <c r="AZ641" s="3"/>
      <c r="BA641" s="3"/>
      <c r="BB641" s="3"/>
      <c r="BC641" s="3"/>
      <c r="BD641" s="3"/>
    </row>
    <row r="642" spans="1:157" ht="13" customHeight="1">
      <c r="B642" s="52" t="s">
        <v>455</v>
      </c>
      <c r="C642" s="1490"/>
      <c r="D642" s="1490"/>
      <c r="E642" s="1490"/>
      <c r="F642" s="1490"/>
      <c r="G642" s="1490"/>
      <c r="H642" s="1490"/>
      <c r="I642" s="1490"/>
      <c r="J642" s="1490"/>
      <c r="K642" s="1490"/>
      <c r="L642" s="1490"/>
      <c r="M642" s="1603" t="s">
        <v>1182</v>
      </c>
      <c r="N642" s="1603"/>
      <c r="O642" s="1603"/>
      <c r="P642" s="1603"/>
      <c r="Q642" s="1507"/>
      <c r="R642" s="1508"/>
      <c r="S642" s="1509"/>
      <c r="T642" s="1507"/>
      <c r="U642" s="1508"/>
      <c r="V642" s="1509"/>
      <c r="W642" s="1491"/>
      <c r="X642" s="1492"/>
      <c r="Y642" s="1493"/>
      <c r="Z642" s="1475" t="s">
        <v>1182</v>
      </c>
      <c r="AA642" s="1476"/>
      <c r="AB642" s="1477"/>
      <c r="AC642" s="1434"/>
      <c r="AD642" s="1435"/>
      <c r="AE642" s="1436"/>
      <c r="AF642" s="1510"/>
      <c r="AG642" s="1511"/>
      <c r="AH642" s="1511"/>
      <c r="AI642" s="1511"/>
      <c r="AJ642" s="1512"/>
      <c r="AK642" s="1418"/>
      <c r="AL642" s="1419"/>
      <c r="AM642" s="1419"/>
      <c r="AN642" s="1420"/>
      <c r="AO642" s="1474"/>
      <c r="AP642" s="1345"/>
      <c r="AQ642" s="1345"/>
      <c r="AR642" s="1345"/>
      <c r="AS642" s="1346"/>
      <c r="AT642" s="1142" t="str">
        <f t="shared" si="3"/>
        <v/>
      </c>
      <c r="AU642" s="3"/>
      <c r="AV642" s="3"/>
      <c r="AW642" s="3"/>
      <c r="AX642" s="3"/>
      <c r="AY642" s="3"/>
      <c r="AZ642" s="3"/>
      <c r="BA642" s="3" t="s">
        <v>1182</v>
      </c>
      <c r="BB642" s="3"/>
      <c r="BC642" s="3"/>
      <c r="BD642" s="3"/>
    </row>
    <row r="643" spans="1:157" ht="13" customHeight="1">
      <c r="B643" s="52" t="s">
        <v>460</v>
      </c>
      <c r="C643" s="1490"/>
      <c r="D643" s="1490"/>
      <c r="E643" s="1490"/>
      <c r="F643" s="1490"/>
      <c r="G643" s="1490"/>
      <c r="H643" s="1490"/>
      <c r="I643" s="1490"/>
      <c r="J643" s="1490"/>
      <c r="K643" s="1490"/>
      <c r="L643" s="1490"/>
      <c r="M643" s="1603" t="s">
        <v>1182</v>
      </c>
      <c r="N643" s="1603"/>
      <c r="O643" s="1603"/>
      <c r="P643" s="1603"/>
      <c r="Q643" s="1507"/>
      <c r="R643" s="1508"/>
      <c r="S643" s="1509"/>
      <c r="T643" s="1507"/>
      <c r="U643" s="1508"/>
      <c r="V643" s="1509"/>
      <c r="W643" s="1491"/>
      <c r="X643" s="1492"/>
      <c r="Y643" s="1493"/>
      <c r="Z643" s="1475" t="s">
        <v>1182</v>
      </c>
      <c r="AA643" s="1476"/>
      <c r="AB643" s="1477"/>
      <c r="AC643" s="1434"/>
      <c r="AD643" s="1435"/>
      <c r="AE643" s="1436"/>
      <c r="AF643" s="1510"/>
      <c r="AG643" s="1511"/>
      <c r="AH643" s="1511"/>
      <c r="AI643" s="1511"/>
      <c r="AJ643" s="1512"/>
      <c r="AK643" s="1418"/>
      <c r="AL643" s="1419"/>
      <c r="AM643" s="1419"/>
      <c r="AN643" s="1420"/>
      <c r="AO643" s="1474"/>
      <c r="AP643" s="1345"/>
      <c r="AQ643" s="1345"/>
      <c r="AR643" s="1345"/>
      <c r="AS643" s="1346"/>
      <c r="AT643" s="1142" t="str">
        <f t="shared" si="3"/>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83" t="e">
        <f t="shared" ref="DX643:DX677" si="4">EZ726*(CP726/$CP$761)</f>
        <v>#VALUE!</v>
      </c>
      <c r="DY643" s="1383"/>
      <c r="DZ643" s="1383"/>
      <c r="EA643" s="1383"/>
      <c r="EB643" s="1383"/>
      <c r="EC643" s="1383">
        <f t="shared" ref="EC643:EC677" si="5">FE726*(CU726/$CU$761)</f>
        <v>93.369565217391298</v>
      </c>
      <c r="ED643" s="1383"/>
      <c r="EE643" s="1383"/>
      <c r="EF643" s="1383"/>
      <c r="EG643" s="1383"/>
      <c r="EH643" s="1383" t="e">
        <f t="shared" ref="EH643:EH677" si="6">FJ726*(CZ726/$CZ$761)</f>
        <v>#VALUE!</v>
      </c>
      <c r="EI643" s="1383"/>
      <c r="EJ643" s="1383"/>
      <c r="EK643" s="1383"/>
      <c r="EL643" s="1383"/>
      <c r="EM643" s="1383" t="e">
        <f t="shared" ref="EM643:EM677" si="7">FO726*(DE726/$DE$761)</f>
        <v>#VALUE!</v>
      </c>
      <c r="EN643" s="1383"/>
      <c r="EO643" s="1383"/>
      <c r="EP643" s="1383"/>
      <c r="EQ643" s="1383"/>
      <c r="ER643" s="1383" t="e">
        <f t="shared" ref="ER643:ER677" si="8">FT726*(DJ726/$DJ$761)</f>
        <v>#VALUE!</v>
      </c>
      <c r="ES643" s="1383"/>
      <c r="ET643" s="1383"/>
      <c r="EU643" s="1383"/>
      <c r="EV643" s="1383"/>
      <c r="EW643" s="1383" t="e">
        <f t="shared" ref="EW643:EW677" si="9">FY726*(DO726/$DO$761)</f>
        <v>#VALUE!</v>
      </c>
      <c r="EX643" s="1383"/>
      <c r="EY643" s="1383"/>
      <c r="EZ643" s="1383"/>
      <c r="FA643" s="1383"/>
    </row>
    <row r="644" spans="1:157" ht="13" customHeight="1">
      <c r="B644" s="52" t="s">
        <v>645</v>
      </c>
      <c r="C644" s="1490"/>
      <c r="D644" s="1490"/>
      <c r="E644" s="1490"/>
      <c r="F644" s="1490"/>
      <c r="G644" s="1490"/>
      <c r="H644" s="1490"/>
      <c r="I644" s="1490"/>
      <c r="J644" s="1490"/>
      <c r="K644" s="1490"/>
      <c r="L644" s="1490"/>
      <c r="M644" s="1603" t="s">
        <v>1182</v>
      </c>
      <c r="N644" s="1603"/>
      <c r="O644" s="1603"/>
      <c r="P644" s="1603"/>
      <c r="Q644" s="1507"/>
      <c r="R644" s="1508"/>
      <c r="S644" s="1509"/>
      <c r="T644" s="1507"/>
      <c r="U644" s="1508"/>
      <c r="V644" s="1509"/>
      <c r="W644" s="1491"/>
      <c r="X644" s="1492"/>
      <c r="Y644" s="1493"/>
      <c r="Z644" s="1475" t="s">
        <v>1182</v>
      </c>
      <c r="AA644" s="1476"/>
      <c r="AB644" s="1477"/>
      <c r="AC644" s="1434"/>
      <c r="AD644" s="1435"/>
      <c r="AE644" s="1436"/>
      <c r="AF644" s="1510"/>
      <c r="AG644" s="1511"/>
      <c r="AH644" s="1511"/>
      <c r="AI644" s="1511"/>
      <c r="AJ644" s="1512"/>
      <c r="AK644" s="1418"/>
      <c r="AL644" s="1419"/>
      <c r="AM644" s="1419"/>
      <c r="AN644" s="1420"/>
      <c r="AO644" s="1474"/>
      <c r="AP644" s="1345"/>
      <c r="AQ644" s="1345"/>
      <c r="AR644" s="1345"/>
      <c r="AS644" s="1346"/>
      <c r="AT644" s="1142" t="str">
        <f t="shared" si="3"/>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383" t="e">
        <f t="shared" si="4"/>
        <v>#VALUE!</v>
      </c>
      <c r="DY644" s="1383"/>
      <c r="DZ644" s="1383"/>
      <c r="EA644" s="1383"/>
      <c r="EB644" s="1383"/>
      <c r="EC644" s="1383">
        <f t="shared" si="5"/>
        <v>253.56521739130434</v>
      </c>
      <c r="ED644" s="1383"/>
      <c r="EE644" s="1383"/>
      <c r="EF644" s="1383"/>
      <c r="EG644" s="1383"/>
      <c r="EH644" s="1383" t="e">
        <f t="shared" si="6"/>
        <v>#VALUE!</v>
      </c>
      <c r="EI644" s="1383"/>
      <c r="EJ644" s="1383"/>
      <c r="EK644" s="1383"/>
      <c r="EL644" s="1383"/>
      <c r="EM644" s="1383" t="e">
        <f t="shared" si="7"/>
        <v>#VALUE!</v>
      </c>
      <c r="EN644" s="1383"/>
      <c r="EO644" s="1383"/>
      <c r="EP644" s="1383"/>
      <c r="EQ644" s="1383"/>
      <c r="ER644" s="1383" t="e">
        <f t="shared" si="8"/>
        <v>#VALUE!</v>
      </c>
      <c r="ES644" s="1383"/>
      <c r="ET644" s="1383"/>
      <c r="EU644" s="1383"/>
      <c r="EV644" s="1383"/>
      <c r="EW644" s="1383" t="e">
        <f t="shared" si="9"/>
        <v>#VALUE!</v>
      </c>
      <c r="EX644" s="1383"/>
      <c r="EY644" s="1383"/>
      <c r="EZ644" s="1383"/>
      <c r="FA644" s="1383"/>
    </row>
    <row r="645" spans="1:157" ht="13" customHeight="1">
      <c r="B645" s="52" t="s">
        <v>361</v>
      </c>
      <c r="C645" s="1490"/>
      <c r="D645" s="1490"/>
      <c r="E645" s="1490"/>
      <c r="F645" s="1490"/>
      <c r="G645" s="1490"/>
      <c r="H645" s="1490"/>
      <c r="I645" s="1490"/>
      <c r="J645" s="1490"/>
      <c r="K645" s="1490"/>
      <c r="L645" s="1490"/>
      <c r="M645" s="1603" t="s">
        <v>1182</v>
      </c>
      <c r="N645" s="1603"/>
      <c r="O645" s="1603"/>
      <c r="P645" s="1603"/>
      <c r="Q645" s="1507"/>
      <c r="R645" s="1508"/>
      <c r="S645" s="1509"/>
      <c r="T645" s="1507"/>
      <c r="U645" s="1508"/>
      <c r="V645" s="1509"/>
      <c r="W645" s="1491"/>
      <c r="X645" s="1492"/>
      <c r="Y645" s="1493"/>
      <c r="Z645" s="1475" t="s">
        <v>1182</v>
      </c>
      <c r="AA645" s="1476"/>
      <c r="AB645" s="1477"/>
      <c r="AC645" s="1434"/>
      <c r="AD645" s="1435"/>
      <c r="AE645" s="1436"/>
      <c r="AF645" s="1510"/>
      <c r="AG645" s="1511"/>
      <c r="AH645" s="1511"/>
      <c r="AI645" s="1511"/>
      <c r="AJ645" s="1512"/>
      <c r="AK645" s="1418"/>
      <c r="AL645" s="1419"/>
      <c r="AM645" s="1419"/>
      <c r="AN645" s="1420"/>
      <c r="AO645" s="1474"/>
      <c r="AP645" s="1345"/>
      <c r="AQ645" s="1345"/>
      <c r="AR645" s="1345"/>
      <c r="AS645" s="1346"/>
      <c r="AT645" s="1142" t="str">
        <f t="shared" si="3"/>
        <v/>
      </c>
      <c r="AV645" s="3"/>
      <c r="AW645" s="3"/>
      <c r="AX645" s="3"/>
      <c r="AY645" s="3"/>
      <c r="AZ645" s="34"/>
      <c r="BA645" s="3" t="s">
        <v>2085</v>
      </c>
      <c r="BB645" s="34"/>
      <c r="BC645" s="34"/>
      <c r="BD645" s="34"/>
      <c r="BE645" s="34"/>
      <c r="BF645" s="34"/>
      <c r="BG645" s="34"/>
      <c r="BH645" s="34"/>
      <c r="BI645" s="34"/>
      <c r="BJ645" s="34"/>
      <c r="BK645" s="34"/>
      <c r="BL645" s="34"/>
      <c r="BM645" s="34"/>
      <c r="DA645" s="3"/>
      <c r="DB645" s="3"/>
      <c r="DC645" s="3"/>
      <c r="DD645" s="3"/>
      <c r="DE645" s="3"/>
      <c r="DF645" s="3"/>
      <c r="DX645" s="1383" t="e">
        <f t="shared" si="4"/>
        <v>#VALUE!</v>
      </c>
      <c r="DY645" s="1383"/>
      <c r="DZ645" s="1383"/>
      <c r="EA645" s="1383"/>
      <c r="EB645" s="1383"/>
      <c r="EC645" s="1383">
        <f t="shared" si="5"/>
        <v>458.60869565217388</v>
      </c>
      <c r="ED645" s="1383"/>
      <c r="EE645" s="1383"/>
      <c r="EF645" s="1383"/>
      <c r="EG645" s="1383"/>
      <c r="EH645" s="1383" t="e">
        <f t="shared" si="6"/>
        <v>#VALUE!</v>
      </c>
      <c r="EI645" s="1383"/>
      <c r="EJ645" s="1383"/>
      <c r="EK645" s="1383"/>
      <c r="EL645" s="1383"/>
      <c r="EM645" s="1383" t="e">
        <f t="shared" si="7"/>
        <v>#VALUE!</v>
      </c>
      <c r="EN645" s="1383"/>
      <c r="EO645" s="1383"/>
      <c r="EP645" s="1383"/>
      <c r="EQ645" s="1383"/>
      <c r="ER645" s="1383" t="e">
        <f t="shared" si="8"/>
        <v>#VALUE!</v>
      </c>
      <c r="ES645" s="1383"/>
      <c r="ET645" s="1383"/>
      <c r="EU645" s="1383"/>
      <c r="EV645" s="1383"/>
      <c r="EW645" s="1383" t="e">
        <f t="shared" si="9"/>
        <v>#VALUE!</v>
      </c>
      <c r="EX645" s="1383"/>
      <c r="EY645" s="1383"/>
      <c r="EZ645" s="1383"/>
      <c r="FA645" s="1383"/>
    </row>
    <row r="646" spans="1:157" ht="13" customHeight="1">
      <c r="B646" s="52" t="s">
        <v>362</v>
      </c>
      <c r="C646" s="1490"/>
      <c r="D646" s="1490"/>
      <c r="E646" s="1490"/>
      <c r="F646" s="1490"/>
      <c r="G646" s="1490"/>
      <c r="H646" s="1490"/>
      <c r="I646" s="1490"/>
      <c r="J646" s="1490"/>
      <c r="K646" s="1490"/>
      <c r="L646" s="1490"/>
      <c r="M646" s="1603" t="s">
        <v>1182</v>
      </c>
      <c r="N646" s="1603"/>
      <c r="O646" s="1603"/>
      <c r="P646" s="1603"/>
      <c r="Q646" s="1507"/>
      <c r="R646" s="1508"/>
      <c r="S646" s="1509"/>
      <c r="T646" s="1507"/>
      <c r="U646" s="1508"/>
      <c r="V646" s="1509"/>
      <c r="W646" s="1491"/>
      <c r="X646" s="1492"/>
      <c r="Y646" s="1493"/>
      <c r="Z646" s="1475" t="s">
        <v>1182</v>
      </c>
      <c r="AA646" s="1476"/>
      <c r="AB646" s="1477"/>
      <c r="AC646" s="1434"/>
      <c r="AD646" s="1435"/>
      <c r="AE646" s="1436"/>
      <c r="AF646" s="1510"/>
      <c r="AG646" s="1511"/>
      <c r="AH646" s="1511"/>
      <c r="AI646" s="1511"/>
      <c r="AJ646" s="1512"/>
      <c r="AK646" s="1418"/>
      <c r="AL646" s="1419"/>
      <c r="AM646" s="1419"/>
      <c r="AN646" s="1420"/>
      <c r="AO646" s="1474"/>
      <c r="AP646" s="1345"/>
      <c r="AQ646" s="1345"/>
      <c r="AR646" s="1345"/>
      <c r="AS646" s="1346"/>
      <c r="AT646" s="1142" t="str">
        <f t="shared" si="3"/>
        <v/>
      </c>
      <c r="AV646" s="3"/>
      <c r="AW646" s="3"/>
      <c r="AX646" s="3"/>
      <c r="AY646" s="3"/>
      <c r="AZ646" s="34"/>
      <c r="BA646" s="3" t="s">
        <v>299</v>
      </c>
      <c r="BB646" s="34"/>
      <c r="BC646" s="34"/>
      <c r="BD646" s="34"/>
      <c r="BE646" s="34"/>
      <c r="BF646" s="34"/>
      <c r="BG646" s="34"/>
      <c r="BH646" s="34"/>
      <c r="BI646" s="34"/>
      <c r="BJ646" s="34"/>
      <c r="BK646" s="34"/>
      <c r="BL646" s="34"/>
      <c r="BM646" s="34"/>
      <c r="DA646" s="3"/>
      <c r="DB646" s="3"/>
      <c r="DC646" s="3"/>
      <c r="DD646" s="3"/>
      <c r="DE646" s="3"/>
      <c r="DF646" s="3"/>
      <c r="DX646" s="1383" t="e">
        <f t="shared" si="4"/>
        <v>#VALUE!</v>
      </c>
      <c r="DY646" s="1383"/>
      <c r="DZ646" s="1383"/>
      <c r="EA646" s="1383"/>
      <c r="EB646" s="1383"/>
      <c r="EC646" s="1383">
        <f t="shared" si="5"/>
        <v>1076.4782608695652</v>
      </c>
      <c r="ED646" s="1383"/>
      <c r="EE646" s="1383"/>
      <c r="EF646" s="1383"/>
      <c r="EG646" s="1383"/>
      <c r="EH646" s="1383" t="e">
        <f t="shared" si="6"/>
        <v>#VALUE!</v>
      </c>
      <c r="EI646" s="1383"/>
      <c r="EJ646" s="1383"/>
      <c r="EK646" s="1383"/>
      <c r="EL646" s="1383"/>
      <c r="EM646" s="1383" t="e">
        <f t="shared" si="7"/>
        <v>#VALUE!</v>
      </c>
      <c r="EN646" s="1383"/>
      <c r="EO646" s="1383"/>
      <c r="EP646" s="1383"/>
      <c r="EQ646" s="1383"/>
      <c r="ER646" s="1383" t="e">
        <f t="shared" si="8"/>
        <v>#VALUE!</v>
      </c>
      <c r="ES646" s="1383"/>
      <c r="ET646" s="1383"/>
      <c r="EU646" s="1383"/>
      <c r="EV646" s="1383"/>
      <c r="EW646" s="1383" t="e">
        <f t="shared" si="9"/>
        <v>#VALUE!</v>
      </c>
      <c r="EX646" s="1383"/>
      <c r="EY646" s="1383"/>
      <c r="EZ646" s="1383"/>
      <c r="FA646" s="1383"/>
    </row>
    <row r="647" spans="1:157" ht="13" customHeight="1">
      <c r="B647" s="1402" t="s">
        <v>128</v>
      </c>
      <c r="C647" s="1403"/>
      <c r="D647" s="1403"/>
      <c r="E647" s="1403"/>
      <c r="F647" s="1403"/>
      <c r="G647" s="1403"/>
      <c r="H647" s="1403"/>
      <c r="I647" s="1403"/>
      <c r="J647" s="1403"/>
      <c r="K647" s="1403"/>
      <c r="L647" s="1403"/>
      <c r="M647" s="1403"/>
      <c r="N647" s="1403"/>
      <c r="O647" s="1403"/>
      <c r="P647" s="1403"/>
      <c r="Q647" s="1403"/>
      <c r="R647" s="1403"/>
      <c r="S647" s="1403"/>
      <c r="T647" s="1403"/>
      <c r="U647" s="1403"/>
      <c r="V647" s="1403"/>
      <c r="W647" s="1403"/>
      <c r="X647" s="1403"/>
      <c r="Y647" s="1403"/>
      <c r="Z647" s="1403"/>
      <c r="AA647" s="1403"/>
      <c r="AB647" s="1403"/>
      <c r="AC647" s="1403"/>
      <c r="AD647" s="1403"/>
      <c r="AE647" s="1403"/>
      <c r="AF647" s="1403"/>
      <c r="AG647" s="1403"/>
      <c r="AH647" s="1403"/>
      <c r="AI647" s="1403"/>
      <c r="AJ647" s="1403"/>
      <c r="AK647" s="1403"/>
      <c r="AL647" s="1403"/>
      <c r="AM647" s="1403"/>
      <c r="AN647" s="1405"/>
      <c r="AO647" s="1471">
        <f>SUM(AO635:AR646)</f>
        <v>34405127</v>
      </c>
      <c r="AP647" s="1472"/>
      <c r="AQ647" s="1472"/>
      <c r="AR647" s="1472"/>
      <c r="AS647" s="1473"/>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83" t="e">
        <f t="shared" si="4"/>
        <v>#VALUE!</v>
      </c>
      <c r="DY647" s="1383"/>
      <c r="DZ647" s="1383"/>
      <c r="EA647" s="1383"/>
      <c r="EB647" s="1383"/>
      <c r="EC647" s="1383" t="e">
        <f t="shared" si="5"/>
        <v>#VALUE!</v>
      </c>
      <c r="ED647" s="1383"/>
      <c r="EE647" s="1383"/>
      <c r="EF647" s="1383"/>
      <c r="EG647" s="1383"/>
      <c r="EH647" s="1383">
        <f t="shared" si="6"/>
        <v>173.83333333333331</v>
      </c>
      <c r="EI647" s="1383"/>
      <c r="EJ647" s="1383"/>
      <c r="EK647" s="1383"/>
      <c r="EL647" s="1383"/>
      <c r="EM647" s="1383" t="e">
        <f t="shared" si="7"/>
        <v>#VALUE!</v>
      </c>
      <c r="EN647" s="1383"/>
      <c r="EO647" s="1383"/>
      <c r="EP647" s="1383"/>
      <c r="EQ647" s="1383"/>
      <c r="ER647" s="1383" t="e">
        <f t="shared" si="8"/>
        <v>#VALUE!</v>
      </c>
      <c r="ES647" s="1383"/>
      <c r="ET647" s="1383"/>
      <c r="EU647" s="1383"/>
      <c r="EV647" s="1383"/>
      <c r="EW647" s="1383" t="e">
        <f t="shared" si="9"/>
        <v>#VALUE!</v>
      </c>
      <c r="EX647" s="1383"/>
      <c r="EY647" s="1383"/>
      <c r="EZ647" s="1383"/>
      <c r="FA647" s="1383"/>
    </row>
    <row r="648" spans="1:157" ht="13" customHeight="1">
      <c r="B648" s="1402" t="s">
        <v>266</v>
      </c>
      <c r="C648" s="1403"/>
      <c r="D648" s="1403"/>
      <c r="E648" s="1403"/>
      <c r="F648" s="1403"/>
      <c r="G648" s="1403"/>
      <c r="H648" s="1403"/>
      <c r="I648" s="1403"/>
      <c r="J648" s="1403"/>
      <c r="K648" s="1403"/>
      <c r="L648" s="1403"/>
      <c r="M648" s="1403"/>
      <c r="N648" s="1403"/>
      <c r="O648" s="1403"/>
      <c r="P648" s="1403"/>
      <c r="Q648" s="1403"/>
      <c r="R648" s="1403"/>
      <c r="S648" s="1403"/>
      <c r="T648" s="1403"/>
      <c r="U648" s="1403"/>
      <c r="V648" s="1403"/>
      <c r="W648" s="1403"/>
      <c r="X648" s="1403"/>
      <c r="Y648" s="1403"/>
      <c r="Z648" s="1403"/>
      <c r="AA648" s="1403"/>
      <c r="AB648" s="1403"/>
      <c r="AC648" s="1403"/>
      <c r="AD648" s="1403"/>
      <c r="AE648" s="1403"/>
      <c r="AF648" s="1403"/>
      <c r="AG648" s="1403"/>
      <c r="AH648" s="1403"/>
      <c r="AI648" s="1403"/>
      <c r="AJ648" s="1403"/>
      <c r="AK648" s="1403"/>
      <c r="AL648" s="1403"/>
      <c r="AM648" s="1403"/>
      <c r="AN648" s="1405"/>
      <c r="AO648" s="1474">
        <v>33054312</v>
      </c>
      <c r="AP648" s="1345"/>
      <c r="AQ648" s="1345"/>
      <c r="AR648" s="1345"/>
      <c r="AS648" s="1346"/>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83" t="e">
        <f t="shared" si="4"/>
        <v>#VALUE!</v>
      </c>
      <c r="DY648" s="1383"/>
      <c r="DZ648" s="1383"/>
      <c r="EA648" s="1383"/>
      <c r="EB648" s="1383"/>
      <c r="EC648" s="1383" t="e">
        <f t="shared" si="5"/>
        <v>#VALUE!</v>
      </c>
      <c r="ED648" s="1383"/>
      <c r="EE648" s="1383"/>
      <c r="EF648" s="1383"/>
      <c r="EG648" s="1383"/>
      <c r="EH648" s="1383">
        <f t="shared" si="6"/>
        <v>377.57142857142856</v>
      </c>
      <c r="EI648" s="1383"/>
      <c r="EJ648" s="1383"/>
      <c r="EK648" s="1383"/>
      <c r="EL648" s="1383"/>
      <c r="EM648" s="1383" t="e">
        <f t="shared" si="7"/>
        <v>#VALUE!</v>
      </c>
      <c r="EN648" s="1383"/>
      <c r="EO648" s="1383"/>
      <c r="EP648" s="1383"/>
      <c r="EQ648" s="1383"/>
      <c r="ER648" s="1383" t="e">
        <f t="shared" si="8"/>
        <v>#VALUE!</v>
      </c>
      <c r="ES648" s="1383"/>
      <c r="ET648" s="1383"/>
      <c r="EU648" s="1383"/>
      <c r="EV648" s="1383"/>
      <c r="EW648" s="1383" t="e">
        <f t="shared" si="9"/>
        <v>#VALUE!</v>
      </c>
      <c r="EX648" s="1383"/>
      <c r="EY648" s="1383"/>
      <c r="EZ648" s="1383"/>
      <c r="FA648" s="1383"/>
    </row>
    <row r="649" spans="1:157" ht="13" customHeight="1">
      <c r="B649" s="1673" t="s">
        <v>267</v>
      </c>
      <c r="C649" s="1404"/>
      <c r="D649" s="1404"/>
      <c r="E649" s="1404"/>
      <c r="F649" s="1404"/>
      <c r="G649" s="1404"/>
      <c r="H649" s="1404"/>
      <c r="I649" s="1404"/>
      <c r="J649" s="1404"/>
      <c r="K649" s="1404"/>
      <c r="L649" s="1404"/>
      <c r="M649" s="1404"/>
      <c r="N649" s="1404"/>
      <c r="O649" s="1404"/>
      <c r="P649" s="1404"/>
      <c r="Q649" s="1404"/>
      <c r="R649" s="1404"/>
      <c r="S649" s="1404"/>
      <c r="T649" s="1404"/>
      <c r="U649" s="1404"/>
      <c r="V649" s="1404"/>
      <c r="W649" s="1404"/>
      <c r="X649" s="1404"/>
      <c r="Y649" s="1404"/>
      <c r="Z649" s="1404"/>
      <c r="AA649" s="1404"/>
      <c r="AB649" s="1404"/>
      <c r="AC649" s="1404"/>
      <c r="AD649" s="1404"/>
      <c r="AE649" s="1404"/>
      <c r="AF649" s="1404"/>
      <c r="AG649" s="1404"/>
      <c r="AH649" s="1404"/>
      <c r="AI649" s="1404"/>
      <c r="AJ649" s="1404"/>
      <c r="AK649" s="1404"/>
      <c r="AL649" s="1404"/>
      <c r="AM649" s="1404"/>
      <c r="AN649" s="1674"/>
      <c r="AO649" s="1471">
        <f>AO647+AO648</f>
        <v>67459439</v>
      </c>
      <c r="AP649" s="1472"/>
      <c r="AQ649" s="1472"/>
      <c r="AR649" s="1472"/>
      <c r="AS649" s="1473"/>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83" t="e">
        <f t="shared" si="4"/>
        <v>#VALUE!</v>
      </c>
      <c r="DY649" s="1383"/>
      <c r="DZ649" s="1383"/>
      <c r="EA649" s="1383"/>
      <c r="EB649" s="1383"/>
      <c r="EC649" s="1383" t="e">
        <f t="shared" si="5"/>
        <v>#VALUE!</v>
      </c>
      <c r="ED649" s="1383"/>
      <c r="EE649" s="1383"/>
      <c r="EF649" s="1383"/>
      <c r="EG649" s="1383"/>
      <c r="EH649" s="1383">
        <f t="shared" si="6"/>
        <v>656.80952380952385</v>
      </c>
      <c r="EI649" s="1383"/>
      <c r="EJ649" s="1383"/>
      <c r="EK649" s="1383"/>
      <c r="EL649" s="1383"/>
      <c r="EM649" s="1383" t="e">
        <f t="shared" si="7"/>
        <v>#VALUE!</v>
      </c>
      <c r="EN649" s="1383"/>
      <c r="EO649" s="1383"/>
      <c r="EP649" s="1383"/>
      <c r="EQ649" s="1383"/>
      <c r="ER649" s="1383" t="e">
        <f t="shared" si="8"/>
        <v>#VALUE!</v>
      </c>
      <c r="ES649" s="1383"/>
      <c r="ET649" s="1383"/>
      <c r="EU649" s="1383"/>
      <c r="EV649" s="1383"/>
      <c r="EW649" s="1383" t="e">
        <f t="shared" si="9"/>
        <v>#VALUE!</v>
      </c>
      <c r="EX649" s="1383"/>
      <c r="EY649" s="1383"/>
      <c r="EZ649" s="1383"/>
      <c r="FA649" s="1383"/>
    </row>
    <row r="650" spans="1:157" ht="13"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83" t="e">
        <f t="shared" si="4"/>
        <v>#VALUE!</v>
      </c>
      <c r="DY650" s="1383"/>
      <c r="DZ650" s="1383"/>
      <c r="EA650" s="1383"/>
      <c r="EB650" s="1383"/>
      <c r="EC650" s="1383" t="e">
        <f t="shared" si="5"/>
        <v>#VALUE!</v>
      </c>
      <c r="ED650" s="1383"/>
      <c r="EE650" s="1383"/>
      <c r="EF650" s="1383"/>
      <c r="EG650" s="1383"/>
      <c r="EH650" s="1383">
        <f t="shared" si="6"/>
        <v>810.64285714285722</v>
      </c>
      <c r="EI650" s="1383"/>
      <c r="EJ650" s="1383"/>
      <c r="EK650" s="1383"/>
      <c r="EL650" s="1383"/>
      <c r="EM650" s="1383" t="e">
        <f t="shared" si="7"/>
        <v>#VALUE!</v>
      </c>
      <c r="EN650" s="1383"/>
      <c r="EO650" s="1383"/>
      <c r="EP650" s="1383"/>
      <c r="EQ650" s="1383"/>
      <c r="ER650" s="1383" t="e">
        <f t="shared" si="8"/>
        <v>#VALUE!</v>
      </c>
      <c r="ES650" s="1383"/>
      <c r="ET650" s="1383"/>
      <c r="EU650" s="1383"/>
      <c r="EV650" s="1383"/>
      <c r="EW650" s="1383" t="e">
        <f t="shared" si="9"/>
        <v>#VALUE!</v>
      </c>
      <c r="EX650" s="1383"/>
      <c r="EY650" s="1383"/>
      <c r="EZ650" s="1383"/>
      <c r="FA650" s="1383"/>
    </row>
    <row r="651" spans="1:157" ht="13" customHeight="1">
      <c r="A651" s="55" t="s">
        <v>112</v>
      </c>
      <c r="B651" t="s">
        <v>462</v>
      </c>
      <c r="G651" s="1479" t="str">
        <f>C635</f>
        <v>Citibank, N.A. - Series B</v>
      </c>
      <c r="H651" s="1479"/>
      <c r="I651" s="1479"/>
      <c r="J651" s="1479"/>
      <c r="K651" s="1479"/>
      <c r="L651" s="1479"/>
      <c r="M651" s="1479"/>
      <c r="N651" s="1479"/>
      <c r="O651" s="1479"/>
      <c r="P651" s="1479"/>
      <c r="Q651" s="1479"/>
      <c r="R651" s="1479"/>
      <c r="S651" s="8"/>
      <c r="T651" s="55" t="s">
        <v>113</v>
      </c>
      <c r="U651" t="s">
        <v>462</v>
      </c>
      <c r="Z651" s="1479" t="str">
        <f>C636</f>
        <v>Bonneville Multifamily Capital</v>
      </c>
      <c r="AA651" s="1479"/>
      <c r="AB651" s="1479"/>
      <c r="AC651" s="1479"/>
      <c r="AD651" s="1479"/>
      <c r="AE651" s="1479"/>
      <c r="AF651" s="1479"/>
      <c r="AG651" s="1479"/>
      <c r="AH651" s="1479"/>
      <c r="AI651" s="1479"/>
      <c r="AJ651" s="1479"/>
      <c r="AK651" s="1479"/>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83" t="e">
        <f t="shared" si="4"/>
        <v>#VALUE!</v>
      </c>
      <c r="DY651" s="1383"/>
      <c r="DZ651" s="1383"/>
      <c r="EA651" s="1383"/>
      <c r="EB651" s="1383"/>
      <c r="EC651" s="1383" t="e">
        <f t="shared" si="5"/>
        <v>#VALUE!</v>
      </c>
      <c r="ED651" s="1383"/>
      <c r="EE651" s="1383"/>
      <c r="EF651" s="1383"/>
      <c r="EG651" s="1383"/>
      <c r="EH651" s="1383" t="e">
        <f t="shared" si="6"/>
        <v>#VALUE!</v>
      </c>
      <c r="EI651" s="1383"/>
      <c r="EJ651" s="1383"/>
      <c r="EK651" s="1383"/>
      <c r="EL651" s="1383"/>
      <c r="EM651" s="1383">
        <f t="shared" si="7"/>
        <v>314.80952380952385</v>
      </c>
      <c r="EN651" s="1383"/>
      <c r="EO651" s="1383"/>
      <c r="EP651" s="1383"/>
      <c r="EQ651" s="1383"/>
      <c r="ER651" s="1383" t="e">
        <f t="shared" si="8"/>
        <v>#VALUE!</v>
      </c>
      <c r="ES651" s="1383"/>
      <c r="ET651" s="1383"/>
      <c r="EU651" s="1383"/>
      <c r="EV651" s="1383"/>
      <c r="EW651" s="1383" t="e">
        <f t="shared" si="9"/>
        <v>#VALUE!</v>
      </c>
      <c r="EX651" s="1383"/>
      <c r="EY651" s="1383"/>
      <c r="EZ651" s="1383"/>
      <c r="FA651" s="1383"/>
    </row>
    <row r="652" spans="1:157" ht="13" customHeight="1">
      <c r="A652" s="22"/>
      <c r="B652" t="s">
        <v>85</v>
      </c>
      <c r="G652" s="1401" t="s">
        <v>2738</v>
      </c>
      <c r="H652" s="1401"/>
      <c r="I652" s="1401"/>
      <c r="J652" s="1401"/>
      <c r="K652" s="1401"/>
      <c r="L652" s="1401"/>
      <c r="M652" s="1401"/>
      <c r="N652" s="1401"/>
      <c r="O652" s="1401"/>
      <c r="P652" s="1401"/>
      <c r="Q652" s="1401"/>
      <c r="R652" s="1401"/>
      <c r="S652" s="8"/>
      <c r="T652" s="22"/>
      <c r="U652" t="s">
        <v>85</v>
      </c>
      <c r="Z652" s="1401" t="s">
        <v>2771</v>
      </c>
      <c r="AA652" s="1401"/>
      <c r="AB652" s="1401"/>
      <c r="AC652" s="1401"/>
      <c r="AD652" s="1401"/>
      <c r="AE652" s="1401"/>
      <c r="AF652" s="1401"/>
      <c r="AG652" s="1401"/>
      <c r="AH652" s="1401"/>
      <c r="AI652" s="1401"/>
      <c r="AJ652" s="1401"/>
      <c r="AK652" s="1401"/>
      <c r="AV652" s="3"/>
      <c r="AW652" s="3"/>
      <c r="AX652" s="3"/>
      <c r="AY652" s="3"/>
      <c r="AZ652" s="3"/>
      <c r="BA652" s="3"/>
      <c r="BB652" s="3"/>
      <c r="BC652" s="3"/>
      <c r="BD652" s="3"/>
      <c r="BE652" s="3"/>
      <c r="BF652" s="3"/>
      <c r="BG652" s="3"/>
      <c r="BH652" s="3"/>
      <c r="BI652" s="3"/>
      <c r="BJ652" s="3"/>
      <c r="BK652" s="3"/>
      <c r="BL652" s="3"/>
      <c r="BM652" s="3"/>
      <c r="DX652" s="1383" t="e">
        <f t="shared" si="4"/>
        <v>#VALUE!</v>
      </c>
      <c r="DY652" s="1383"/>
      <c r="DZ652" s="1383"/>
      <c r="EA652" s="1383"/>
      <c r="EB652" s="1383"/>
      <c r="EC652" s="1383" t="e">
        <f t="shared" si="5"/>
        <v>#VALUE!</v>
      </c>
      <c r="ED652" s="1383"/>
      <c r="EE652" s="1383"/>
      <c r="EF652" s="1383"/>
      <c r="EG652" s="1383"/>
      <c r="EH652" s="1383" t="e">
        <f t="shared" si="6"/>
        <v>#VALUE!</v>
      </c>
      <c r="EI652" s="1383"/>
      <c r="EJ652" s="1383"/>
      <c r="EK652" s="1383"/>
      <c r="EL652" s="1383"/>
      <c r="EM652" s="1383">
        <f t="shared" si="7"/>
        <v>484.04761904761904</v>
      </c>
      <c r="EN652" s="1383"/>
      <c r="EO652" s="1383"/>
      <c r="EP652" s="1383"/>
      <c r="EQ652" s="1383"/>
      <c r="ER652" s="1383" t="e">
        <f t="shared" si="8"/>
        <v>#VALUE!</v>
      </c>
      <c r="ES652" s="1383"/>
      <c r="ET652" s="1383"/>
      <c r="EU652" s="1383"/>
      <c r="EV652" s="1383"/>
      <c r="EW652" s="1383" t="e">
        <f t="shared" si="9"/>
        <v>#VALUE!</v>
      </c>
      <c r="EX652" s="1383"/>
      <c r="EY652" s="1383"/>
      <c r="EZ652" s="1383"/>
      <c r="FA652" s="1383"/>
    </row>
    <row r="653" spans="1:157" ht="13" customHeight="1">
      <c r="A653" s="22"/>
      <c r="B653" t="s">
        <v>579</v>
      </c>
      <c r="G653" s="1401" t="s">
        <v>2739</v>
      </c>
      <c r="H653" s="1401"/>
      <c r="I653" s="1401"/>
      <c r="J653" s="1401"/>
      <c r="K653" s="1401"/>
      <c r="L653" s="1401"/>
      <c r="M653" s="1401"/>
      <c r="N653" s="1401"/>
      <c r="O653" s="1401"/>
      <c r="P653" s="1401"/>
      <c r="Q653" s="1401"/>
      <c r="R653" s="1401"/>
      <c r="T653" s="22"/>
      <c r="U653" t="s">
        <v>579</v>
      </c>
      <c r="Z653" s="1428" t="s">
        <v>2772</v>
      </c>
      <c r="AA653" s="1428"/>
      <c r="AB653" s="1428"/>
      <c r="AC653" s="1428"/>
      <c r="AD653" s="1428"/>
      <c r="AE653" s="1428"/>
      <c r="AF653" s="1428"/>
      <c r="AG653" s="1428"/>
      <c r="AH653" s="1428"/>
      <c r="AI653" s="1428"/>
      <c r="AJ653" s="1428"/>
      <c r="AK653" s="1428"/>
      <c r="AV653" s="3"/>
      <c r="AW653" s="3"/>
      <c r="AX653" s="3"/>
      <c r="AY653" s="3"/>
      <c r="AZ653" s="3"/>
      <c r="BA653" s="3"/>
      <c r="BB653" s="3"/>
      <c r="BC653" s="3"/>
      <c r="BD653" s="3"/>
      <c r="BE653" s="3"/>
      <c r="BF653" s="3"/>
      <c r="BG653" s="3"/>
      <c r="BH653" s="3"/>
      <c r="BI653" s="3"/>
      <c r="BJ653" s="3"/>
      <c r="BK653" s="3"/>
      <c r="BL653" s="3"/>
      <c r="BM653" s="3"/>
      <c r="DX653" s="1383" t="e">
        <f t="shared" si="4"/>
        <v>#VALUE!</v>
      </c>
      <c r="DY653" s="1383"/>
      <c r="DZ653" s="1383"/>
      <c r="EA653" s="1383"/>
      <c r="EB653" s="1383"/>
      <c r="EC653" s="1383" t="e">
        <f t="shared" si="5"/>
        <v>#VALUE!</v>
      </c>
      <c r="ED653" s="1383"/>
      <c r="EE653" s="1383"/>
      <c r="EF653" s="1383"/>
      <c r="EG653" s="1383"/>
      <c r="EH653" s="1383" t="e">
        <f t="shared" si="6"/>
        <v>#VALUE!</v>
      </c>
      <c r="EI653" s="1383"/>
      <c r="EJ653" s="1383"/>
      <c r="EK653" s="1383"/>
      <c r="EL653" s="1383"/>
      <c r="EM653" s="1383">
        <f t="shared" si="7"/>
        <v>524.78571428571422</v>
      </c>
      <c r="EN653" s="1383"/>
      <c r="EO653" s="1383"/>
      <c r="EP653" s="1383"/>
      <c r="EQ653" s="1383"/>
      <c r="ER653" s="1383" t="e">
        <f t="shared" si="8"/>
        <v>#VALUE!</v>
      </c>
      <c r="ES653" s="1383"/>
      <c r="ET653" s="1383"/>
      <c r="EU653" s="1383"/>
      <c r="EV653" s="1383"/>
      <c r="EW653" s="1383" t="e">
        <f t="shared" si="9"/>
        <v>#VALUE!</v>
      </c>
      <c r="EX653" s="1383"/>
      <c r="EY653" s="1383"/>
      <c r="EZ653" s="1383"/>
      <c r="FA653" s="1383"/>
    </row>
    <row r="654" spans="1:157" ht="13" customHeight="1">
      <c r="A654" s="22"/>
      <c r="B654" t="s">
        <v>17</v>
      </c>
      <c r="G654" s="1401" t="s">
        <v>2740</v>
      </c>
      <c r="H654" s="1401"/>
      <c r="I654" s="1401"/>
      <c r="J654" s="1401"/>
      <c r="K654" s="1401"/>
      <c r="L654" s="1401"/>
      <c r="M654" s="1401"/>
      <c r="N654" s="1401"/>
      <c r="O654" s="1401"/>
      <c r="P654" s="1401"/>
      <c r="Q654" s="1401"/>
      <c r="R654" s="1401"/>
      <c r="S654" s="8"/>
      <c r="T654" s="22"/>
      <c r="U654" t="s">
        <v>17</v>
      </c>
      <c r="Z654" s="1428" t="s">
        <v>2776</v>
      </c>
      <c r="AA654" s="1428"/>
      <c r="AB654" s="1428"/>
      <c r="AC654" s="1428"/>
      <c r="AD654" s="1428"/>
      <c r="AE654" s="1428"/>
      <c r="AF654" s="1428"/>
      <c r="AG654" s="1428"/>
      <c r="AH654" s="1428"/>
      <c r="AI654" s="1428"/>
      <c r="AJ654" s="1428"/>
      <c r="AK654" s="1428"/>
      <c r="AZ654" s="3"/>
      <c r="BA654" s="3"/>
      <c r="BB654" s="3"/>
      <c r="BC654" s="3"/>
      <c r="BD654" s="3"/>
      <c r="BE654" s="3"/>
      <c r="BF654" s="3"/>
      <c r="BG654" s="3"/>
      <c r="BH654" s="3"/>
      <c r="BI654" s="3"/>
      <c r="BJ654" s="3"/>
      <c r="BK654" s="3"/>
      <c r="BL654" s="3"/>
      <c r="BM654" s="3"/>
      <c r="DX654" s="1383" t="e">
        <f t="shared" si="4"/>
        <v>#VALUE!</v>
      </c>
      <c r="DY654" s="1383"/>
      <c r="DZ654" s="1383"/>
      <c r="EA654" s="1383"/>
      <c r="EB654" s="1383"/>
      <c r="EC654" s="1383" t="e">
        <f t="shared" si="5"/>
        <v>#VALUE!</v>
      </c>
      <c r="ED654" s="1383"/>
      <c r="EE654" s="1383"/>
      <c r="EF654" s="1383"/>
      <c r="EG654" s="1383"/>
      <c r="EH654" s="1383" t="e">
        <f t="shared" si="6"/>
        <v>#VALUE!</v>
      </c>
      <c r="EI654" s="1383"/>
      <c r="EJ654" s="1383"/>
      <c r="EK654" s="1383"/>
      <c r="EL654" s="1383"/>
      <c r="EM654" s="1383">
        <f t="shared" si="7"/>
        <v>884.57142857142856</v>
      </c>
      <c r="EN654" s="1383"/>
      <c r="EO654" s="1383"/>
      <c r="EP654" s="1383"/>
      <c r="EQ654" s="1383"/>
      <c r="ER654" s="1383" t="e">
        <f t="shared" si="8"/>
        <v>#VALUE!</v>
      </c>
      <c r="ES654" s="1383"/>
      <c r="ET654" s="1383"/>
      <c r="EU654" s="1383"/>
      <c r="EV654" s="1383"/>
      <c r="EW654" s="1383" t="e">
        <f t="shared" si="9"/>
        <v>#VALUE!</v>
      </c>
      <c r="EX654" s="1383"/>
      <c r="EY654" s="1383"/>
      <c r="EZ654" s="1383"/>
      <c r="FA654" s="1383"/>
    </row>
    <row r="655" spans="1:157" ht="13" customHeight="1">
      <c r="A655" s="22"/>
      <c r="B655" t="s">
        <v>315</v>
      </c>
      <c r="G655" s="1532" t="s">
        <v>2743</v>
      </c>
      <c r="H655" s="1478"/>
      <c r="I655" s="1478"/>
      <c r="J655" s="1478"/>
      <c r="K655" s="1478"/>
      <c r="L655" s="1478"/>
      <c r="O655" s="33" t="s">
        <v>205</v>
      </c>
      <c r="P655" s="1470"/>
      <c r="Q655" s="1470"/>
      <c r="R655" s="1470"/>
      <c r="S655" s="10"/>
      <c r="T655" s="22"/>
      <c r="U655" t="s">
        <v>315</v>
      </c>
      <c r="Z655" s="1532" t="s">
        <v>2774</v>
      </c>
      <c r="AA655" s="1478"/>
      <c r="AB655" s="1478"/>
      <c r="AC655" s="1478"/>
      <c r="AD655" s="1478"/>
      <c r="AE655" s="1478"/>
      <c r="AH655" s="33" t="s">
        <v>205</v>
      </c>
      <c r="AI655" s="1470"/>
      <c r="AJ655" s="1470"/>
      <c r="AK655" s="1470"/>
      <c r="AZ655" s="34"/>
      <c r="BA655" s="34"/>
      <c r="BB655" s="34"/>
      <c r="BC655" s="34"/>
      <c r="BD655" s="34"/>
      <c r="BE655" s="34"/>
      <c r="BF655" s="34"/>
      <c r="BG655" s="34"/>
      <c r="BH655" s="34"/>
      <c r="BI655" s="34"/>
      <c r="BJ655" s="34"/>
      <c r="BK655" s="34"/>
      <c r="BL655" s="34"/>
      <c r="BM655" s="34"/>
      <c r="DX655" s="1383" t="e">
        <f t="shared" si="4"/>
        <v>#VALUE!</v>
      </c>
      <c r="DY655" s="1383"/>
      <c r="DZ655" s="1383"/>
      <c r="EA655" s="1383"/>
      <c r="EB655" s="1383"/>
      <c r="EC655" s="1383" t="e">
        <f t="shared" si="5"/>
        <v>#VALUE!</v>
      </c>
      <c r="ED655" s="1383"/>
      <c r="EE655" s="1383"/>
      <c r="EF655" s="1383"/>
      <c r="EG655" s="1383"/>
      <c r="EH655" s="1383" t="e">
        <f t="shared" si="6"/>
        <v>#VALUE!</v>
      </c>
      <c r="EI655" s="1383"/>
      <c r="EJ655" s="1383"/>
      <c r="EK655" s="1383"/>
      <c r="EL655" s="1383"/>
      <c r="EM655" s="1383" t="e">
        <f t="shared" si="7"/>
        <v>#VALUE!</v>
      </c>
      <c r="EN655" s="1383"/>
      <c r="EO655" s="1383"/>
      <c r="EP655" s="1383"/>
      <c r="EQ655" s="1383"/>
      <c r="ER655" s="1383" t="e">
        <f t="shared" si="8"/>
        <v>#VALUE!</v>
      </c>
      <c r="ES655" s="1383"/>
      <c r="ET655" s="1383"/>
      <c r="EU655" s="1383"/>
      <c r="EV655" s="1383"/>
      <c r="EW655" s="1383" t="e">
        <f t="shared" si="9"/>
        <v>#VALUE!</v>
      </c>
      <c r="EX655" s="1383"/>
      <c r="EY655" s="1383"/>
      <c r="EZ655" s="1383"/>
      <c r="FA655" s="1383"/>
    </row>
    <row r="656" spans="1:157" ht="13" customHeight="1">
      <c r="A656" s="22"/>
      <c r="B656" t="s">
        <v>18</v>
      </c>
      <c r="H656" s="1401" t="s">
        <v>2777</v>
      </c>
      <c r="I656" s="1401"/>
      <c r="J656" s="1401"/>
      <c r="K656" s="1401"/>
      <c r="L656" s="1401"/>
      <c r="M656" s="1401"/>
      <c r="N656" s="1401"/>
      <c r="O656" s="1401"/>
      <c r="P656" s="1401"/>
      <c r="Q656" s="1401"/>
      <c r="R656" s="1401"/>
      <c r="S656" s="8"/>
      <c r="T656" s="22"/>
      <c r="U656" t="s">
        <v>18</v>
      </c>
      <c r="AA656" s="1401" t="s">
        <v>2778</v>
      </c>
      <c r="AB656" s="1401"/>
      <c r="AC656" s="1401"/>
      <c r="AD656" s="1401"/>
      <c r="AE656" s="1401"/>
      <c r="AF656" s="1401"/>
      <c r="AG656" s="1401"/>
      <c r="AH656" s="1401"/>
      <c r="AI656" s="1401"/>
      <c r="AJ656" s="1401"/>
      <c r="AK656" s="1401"/>
      <c r="AZ656" s="34"/>
      <c r="BA656" s="34"/>
      <c r="BB656" s="34"/>
      <c r="BC656" s="34"/>
      <c r="BD656" s="34"/>
      <c r="BE656" s="34"/>
      <c r="BF656" s="34"/>
      <c r="BG656" s="34"/>
      <c r="BH656" s="34"/>
      <c r="BI656" s="34"/>
      <c r="BJ656" s="34"/>
      <c r="BK656" s="34"/>
      <c r="BL656" s="34"/>
      <c r="BM656" s="34"/>
      <c r="DX656" s="1383" t="e">
        <f t="shared" si="4"/>
        <v>#VALUE!</v>
      </c>
      <c r="DY656" s="1383"/>
      <c r="DZ656" s="1383"/>
      <c r="EA656" s="1383"/>
      <c r="EB656" s="1383"/>
      <c r="EC656" s="1383" t="e">
        <f t="shared" si="5"/>
        <v>#VALUE!</v>
      </c>
      <c r="ED656" s="1383"/>
      <c r="EE656" s="1383"/>
      <c r="EF656" s="1383"/>
      <c r="EG656" s="1383"/>
      <c r="EH656" s="1383" t="e">
        <f t="shared" si="6"/>
        <v>#VALUE!</v>
      </c>
      <c r="EI656" s="1383"/>
      <c r="EJ656" s="1383"/>
      <c r="EK656" s="1383"/>
      <c r="EL656" s="1383"/>
      <c r="EM656" s="1383" t="e">
        <f t="shared" si="7"/>
        <v>#VALUE!</v>
      </c>
      <c r="EN656" s="1383"/>
      <c r="EO656" s="1383"/>
      <c r="EP656" s="1383"/>
      <c r="EQ656" s="1383"/>
      <c r="ER656" s="1383" t="e">
        <f t="shared" si="8"/>
        <v>#VALUE!</v>
      </c>
      <c r="ES656" s="1383"/>
      <c r="ET656" s="1383"/>
      <c r="EU656" s="1383"/>
      <c r="EV656" s="1383"/>
      <c r="EW656" s="1383" t="e">
        <f t="shared" si="9"/>
        <v>#VALUE!</v>
      </c>
      <c r="EX656" s="1383"/>
      <c r="EY656" s="1383"/>
      <c r="EZ656" s="1383"/>
      <c r="FA656" s="1383"/>
    </row>
    <row r="657" spans="1:157" ht="13" customHeight="1">
      <c r="A657" s="22"/>
      <c r="B657" t="s">
        <v>20</v>
      </c>
      <c r="N657" s="1409" t="s">
        <v>544</v>
      </c>
      <c r="O657" s="1409"/>
      <c r="T657" s="22"/>
      <c r="U657" t="s">
        <v>20</v>
      </c>
      <c r="AG657" s="1409" t="s">
        <v>544</v>
      </c>
      <c r="AH657" s="1409"/>
      <c r="AZ657" s="34"/>
      <c r="BA657" s="34"/>
      <c r="BB657" s="34"/>
      <c r="BC657" s="34"/>
      <c r="BD657" s="34"/>
      <c r="BE657" s="34"/>
      <c r="BF657" s="34"/>
      <c r="BG657" s="34"/>
      <c r="BH657" s="34"/>
      <c r="BI657" s="34"/>
      <c r="BJ657" s="34"/>
      <c r="BK657" s="34"/>
      <c r="BL657" s="34"/>
      <c r="BM657" s="34"/>
      <c r="DX657" s="1383" t="e">
        <f t="shared" si="4"/>
        <v>#VALUE!</v>
      </c>
      <c r="DY657" s="1383"/>
      <c r="DZ657" s="1383"/>
      <c r="EA657" s="1383"/>
      <c r="EB657" s="1383"/>
      <c r="EC657" s="1383" t="e">
        <f t="shared" si="5"/>
        <v>#VALUE!</v>
      </c>
      <c r="ED657" s="1383"/>
      <c r="EE657" s="1383"/>
      <c r="EF657" s="1383"/>
      <c r="EG657" s="1383"/>
      <c r="EH657" s="1383" t="e">
        <f t="shared" si="6"/>
        <v>#VALUE!</v>
      </c>
      <c r="EI657" s="1383"/>
      <c r="EJ657" s="1383"/>
      <c r="EK657" s="1383"/>
      <c r="EL657" s="1383"/>
      <c r="EM657" s="1383" t="e">
        <f t="shared" si="7"/>
        <v>#VALUE!</v>
      </c>
      <c r="EN657" s="1383"/>
      <c r="EO657" s="1383"/>
      <c r="EP657" s="1383"/>
      <c r="EQ657" s="1383"/>
      <c r="ER657" s="1383" t="e">
        <f t="shared" si="8"/>
        <v>#VALUE!</v>
      </c>
      <c r="ES657" s="1383"/>
      <c r="ET657" s="1383"/>
      <c r="EU657" s="1383"/>
      <c r="EV657" s="1383"/>
      <c r="EW657" s="1383" t="e">
        <f t="shared" si="9"/>
        <v>#VALUE!</v>
      </c>
      <c r="EX657" s="1383"/>
      <c r="EY657" s="1383"/>
      <c r="EZ657" s="1383"/>
      <c r="FA657" s="1383"/>
    </row>
    <row r="658" spans="1:157" ht="13" customHeight="1">
      <c r="A658" s="22"/>
      <c r="T658" s="22"/>
      <c r="AZ658" s="34"/>
      <c r="BA658" s="34"/>
      <c r="BB658" s="34"/>
      <c r="BC658" s="34"/>
      <c r="BD658" s="34"/>
      <c r="BE658" s="34"/>
      <c r="BF658" s="34"/>
      <c r="BG658" s="34"/>
      <c r="BH658" s="34"/>
      <c r="BI658" s="34"/>
      <c r="BJ658" s="34"/>
      <c r="BK658" s="34"/>
      <c r="BL658" s="34"/>
      <c r="BM658" s="34"/>
      <c r="DX658" s="1383" t="e">
        <f t="shared" si="4"/>
        <v>#VALUE!</v>
      </c>
      <c r="DY658" s="1383"/>
      <c r="DZ658" s="1383"/>
      <c r="EA658" s="1383"/>
      <c r="EB658" s="1383"/>
      <c r="EC658" s="1383" t="e">
        <f t="shared" si="5"/>
        <v>#VALUE!</v>
      </c>
      <c r="ED658" s="1383"/>
      <c r="EE658" s="1383"/>
      <c r="EF658" s="1383"/>
      <c r="EG658" s="1383"/>
      <c r="EH658" s="1383" t="e">
        <f t="shared" si="6"/>
        <v>#VALUE!</v>
      </c>
      <c r="EI658" s="1383"/>
      <c r="EJ658" s="1383"/>
      <c r="EK658" s="1383"/>
      <c r="EL658" s="1383"/>
      <c r="EM658" s="1383" t="e">
        <f t="shared" si="7"/>
        <v>#VALUE!</v>
      </c>
      <c r="EN658" s="1383"/>
      <c r="EO658" s="1383"/>
      <c r="EP658" s="1383"/>
      <c r="EQ658" s="1383"/>
      <c r="ER658" s="1383" t="e">
        <f t="shared" si="8"/>
        <v>#VALUE!</v>
      </c>
      <c r="ES658" s="1383"/>
      <c r="ET658" s="1383"/>
      <c r="EU658" s="1383"/>
      <c r="EV658" s="1383"/>
      <c r="EW658" s="1383" t="e">
        <f t="shared" si="9"/>
        <v>#VALUE!</v>
      </c>
      <c r="EX658" s="1383"/>
      <c r="EY658" s="1383"/>
      <c r="EZ658" s="1383"/>
      <c r="FA658" s="1383"/>
    </row>
    <row r="659" spans="1:157" ht="13" customHeight="1">
      <c r="A659" s="55" t="s">
        <v>119</v>
      </c>
      <c r="B659" t="s">
        <v>462</v>
      </c>
      <c r="G659" s="1479" t="str">
        <f>C637</f>
        <v>Safehold TI Allowance</v>
      </c>
      <c r="H659" s="1479"/>
      <c r="I659" s="1479"/>
      <c r="J659" s="1479"/>
      <c r="K659" s="1479"/>
      <c r="L659" s="1479"/>
      <c r="M659" s="1479"/>
      <c r="N659" s="1479"/>
      <c r="O659" s="1479"/>
      <c r="P659" s="1479"/>
      <c r="Q659" s="1479"/>
      <c r="R659" s="1479"/>
      <c r="T659" s="55" t="s">
        <v>580</v>
      </c>
      <c r="U659" t="s">
        <v>462</v>
      </c>
      <c r="Z659" s="1479" t="str">
        <f>C638</f>
        <v>LIHTC Advisors, LLC</v>
      </c>
      <c r="AA659" s="1479"/>
      <c r="AB659" s="1479"/>
      <c r="AC659" s="1479"/>
      <c r="AD659" s="1479"/>
      <c r="AE659" s="1479"/>
      <c r="AF659" s="1479"/>
      <c r="AG659" s="1479"/>
      <c r="AH659" s="1479"/>
      <c r="AI659" s="1479"/>
      <c r="AJ659" s="1479"/>
      <c r="AK659" s="1479"/>
      <c r="AZ659" s="34"/>
      <c r="BA659" s="34"/>
      <c r="BB659" s="34"/>
      <c r="BC659" s="34"/>
      <c r="BD659" s="34"/>
      <c r="BE659" s="34"/>
      <c r="BF659" s="34"/>
      <c r="BG659" s="34"/>
      <c r="BH659" s="34"/>
      <c r="BI659" s="34"/>
      <c r="BJ659" s="34"/>
      <c r="BK659" s="34"/>
      <c r="BL659" s="34"/>
      <c r="BM659" s="34"/>
      <c r="DX659" s="1383" t="e">
        <f t="shared" si="4"/>
        <v>#VALUE!</v>
      </c>
      <c r="DY659" s="1383"/>
      <c r="DZ659" s="1383"/>
      <c r="EA659" s="1383"/>
      <c r="EB659" s="1383"/>
      <c r="EC659" s="1383" t="e">
        <f t="shared" si="5"/>
        <v>#VALUE!</v>
      </c>
      <c r="ED659" s="1383"/>
      <c r="EE659" s="1383"/>
      <c r="EF659" s="1383"/>
      <c r="EG659" s="1383"/>
      <c r="EH659" s="1383" t="e">
        <f t="shared" si="6"/>
        <v>#VALUE!</v>
      </c>
      <c r="EI659" s="1383"/>
      <c r="EJ659" s="1383"/>
      <c r="EK659" s="1383"/>
      <c r="EL659" s="1383"/>
      <c r="EM659" s="1383" t="e">
        <f t="shared" si="7"/>
        <v>#VALUE!</v>
      </c>
      <c r="EN659" s="1383"/>
      <c r="EO659" s="1383"/>
      <c r="EP659" s="1383"/>
      <c r="EQ659" s="1383"/>
      <c r="ER659" s="1383" t="e">
        <f t="shared" si="8"/>
        <v>#VALUE!</v>
      </c>
      <c r="ES659" s="1383"/>
      <c r="ET659" s="1383"/>
      <c r="EU659" s="1383"/>
      <c r="EV659" s="1383"/>
      <c r="EW659" s="1383" t="e">
        <f t="shared" si="9"/>
        <v>#VALUE!</v>
      </c>
      <c r="EX659" s="1383"/>
      <c r="EY659" s="1383"/>
      <c r="EZ659" s="1383"/>
      <c r="FA659" s="1383"/>
    </row>
    <row r="660" spans="1:157" ht="13" customHeight="1">
      <c r="A660" s="22"/>
      <c r="B660" t="s">
        <v>85</v>
      </c>
      <c r="G660" s="1401" t="s">
        <v>2763</v>
      </c>
      <c r="H660" s="1401"/>
      <c r="I660" s="1401"/>
      <c r="J660" s="1401"/>
      <c r="K660" s="1401"/>
      <c r="L660" s="1401"/>
      <c r="M660" s="1401"/>
      <c r="N660" s="1401"/>
      <c r="O660" s="1401"/>
      <c r="P660" s="1401"/>
      <c r="Q660" s="1401"/>
      <c r="R660" s="1401"/>
      <c r="T660" s="22"/>
      <c r="U660" t="s">
        <v>85</v>
      </c>
      <c r="Z660" s="1401" t="s">
        <v>2745</v>
      </c>
      <c r="AA660" s="1401"/>
      <c r="AB660" s="1401"/>
      <c r="AC660" s="1401"/>
      <c r="AD660" s="1401"/>
      <c r="AE660" s="1401"/>
      <c r="AF660" s="1401"/>
      <c r="AG660" s="1401"/>
      <c r="AH660" s="1401"/>
      <c r="AI660" s="1401"/>
      <c r="AJ660" s="1401"/>
      <c r="AK660" s="1401"/>
      <c r="AZ660" s="34"/>
      <c r="BA660" s="34"/>
      <c r="BB660" s="34"/>
      <c r="BC660" s="34"/>
      <c r="BD660" s="34"/>
      <c r="BE660" s="34"/>
      <c r="BF660" s="34"/>
      <c r="BG660" s="34"/>
      <c r="BH660" s="34"/>
      <c r="BI660" s="34"/>
      <c r="BJ660" s="34"/>
      <c r="BK660" s="34"/>
      <c r="BL660" s="34"/>
      <c r="BM660" s="34"/>
      <c r="DX660" s="1383" t="e">
        <f t="shared" si="4"/>
        <v>#VALUE!</v>
      </c>
      <c r="DY660" s="1383"/>
      <c r="DZ660" s="1383"/>
      <c r="EA660" s="1383"/>
      <c r="EB660" s="1383"/>
      <c r="EC660" s="1383" t="e">
        <f t="shared" si="5"/>
        <v>#VALUE!</v>
      </c>
      <c r="ED660" s="1383"/>
      <c r="EE660" s="1383"/>
      <c r="EF660" s="1383"/>
      <c r="EG660" s="1383"/>
      <c r="EH660" s="1383" t="e">
        <f t="shared" si="6"/>
        <v>#VALUE!</v>
      </c>
      <c r="EI660" s="1383"/>
      <c r="EJ660" s="1383"/>
      <c r="EK660" s="1383"/>
      <c r="EL660" s="1383"/>
      <c r="EM660" s="1383" t="e">
        <f t="shared" si="7"/>
        <v>#VALUE!</v>
      </c>
      <c r="EN660" s="1383"/>
      <c r="EO660" s="1383"/>
      <c r="EP660" s="1383"/>
      <c r="EQ660" s="1383"/>
      <c r="ER660" s="1383" t="e">
        <f t="shared" si="8"/>
        <v>#VALUE!</v>
      </c>
      <c r="ES660" s="1383"/>
      <c r="ET660" s="1383"/>
      <c r="EU660" s="1383"/>
      <c r="EV660" s="1383"/>
      <c r="EW660" s="1383" t="e">
        <f t="shared" si="9"/>
        <v>#VALUE!</v>
      </c>
      <c r="EX660" s="1383"/>
      <c r="EY660" s="1383"/>
      <c r="EZ660" s="1383"/>
      <c r="FA660" s="1383"/>
    </row>
    <row r="661" spans="1:157" ht="13" customHeight="1">
      <c r="A661" s="22"/>
      <c r="B661" t="s">
        <v>579</v>
      </c>
      <c r="G661" s="1428" t="s">
        <v>2764</v>
      </c>
      <c r="H661" s="1428"/>
      <c r="I661" s="1428"/>
      <c r="J661" s="1428"/>
      <c r="K661" s="1428"/>
      <c r="L661" s="1428"/>
      <c r="M661" s="1428"/>
      <c r="N661" s="1428"/>
      <c r="O661" s="1428"/>
      <c r="P661" s="1428"/>
      <c r="Q661" s="1428"/>
      <c r="R661" s="1428"/>
      <c r="T661" s="22"/>
      <c r="U661" t="s">
        <v>579</v>
      </c>
      <c r="Z661" s="1428" t="s">
        <v>2746</v>
      </c>
      <c r="AA661" s="1428"/>
      <c r="AB661" s="1428"/>
      <c r="AC661" s="1428"/>
      <c r="AD661" s="1428"/>
      <c r="AE661" s="1428"/>
      <c r="AF661" s="1428"/>
      <c r="AG661" s="1428"/>
      <c r="AH661" s="1428"/>
      <c r="AI661" s="1428"/>
      <c r="AJ661" s="1428"/>
      <c r="AK661" s="1428"/>
      <c r="AZ661" s="34"/>
      <c r="BA661" s="34"/>
      <c r="BB661" s="34"/>
      <c r="BC661" s="34"/>
      <c r="BD661" s="34"/>
      <c r="BE661" s="34"/>
      <c r="BF661" s="34"/>
      <c r="BG661" s="34"/>
      <c r="BH661" s="34"/>
      <c r="BI661" s="34"/>
      <c r="BJ661" s="34"/>
      <c r="BK661" s="34"/>
      <c r="BL661" s="34"/>
      <c r="BM661" s="34"/>
      <c r="DX661" s="1383" t="e">
        <f t="shared" si="4"/>
        <v>#VALUE!</v>
      </c>
      <c r="DY661" s="1383"/>
      <c r="DZ661" s="1383"/>
      <c r="EA661" s="1383"/>
      <c r="EB661" s="1383"/>
      <c r="EC661" s="1383" t="e">
        <f t="shared" si="5"/>
        <v>#VALUE!</v>
      </c>
      <c r="ED661" s="1383"/>
      <c r="EE661" s="1383"/>
      <c r="EF661" s="1383"/>
      <c r="EG661" s="1383"/>
      <c r="EH661" s="1383" t="e">
        <f t="shared" si="6"/>
        <v>#VALUE!</v>
      </c>
      <c r="EI661" s="1383"/>
      <c r="EJ661" s="1383"/>
      <c r="EK661" s="1383"/>
      <c r="EL661" s="1383"/>
      <c r="EM661" s="1383" t="e">
        <f t="shared" si="7"/>
        <v>#VALUE!</v>
      </c>
      <c r="EN661" s="1383"/>
      <c r="EO661" s="1383"/>
      <c r="EP661" s="1383"/>
      <c r="EQ661" s="1383"/>
      <c r="ER661" s="1383" t="e">
        <f t="shared" si="8"/>
        <v>#VALUE!</v>
      </c>
      <c r="ES661" s="1383"/>
      <c r="ET661" s="1383"/>
      <c r="EU661" s="1383"/>
      <c r="EV661" s="1383"/>
      <c r="EW661" s="1383" t="e">
        <f t="shared" si="9"/>
        <v>#VALUE!</v>
      </c>
      <c r="EX661" s="1383"/>
      <c r="EY661" s="1383"/>
      <c r="EZ661" s="1383"/>
      <c r="FA661" s="1383"/>
    </row>
    <row r="662" spans="1:157" ht="13" customHeight="1">
      <c r="A662" s="22"/>
      <c r="B662" t="s">
        <v>17</v>
      </c>
      <c r="G662" s="1428" t="s">
        <v>2765</v>
      </c>
      <c r="H662" s="1428"/>
      <c r="I662" s="1428"/>
      <c r="J662" s="1428"/>
      <c r="K662" s="1428"/>
      <c r="L662" s="1428"/>
      <c r="M662" s="1428"/>
      <c r="N662" s="1428"/>
      <c r="O662" s="1428"/>
      <c r="P662" s="1428"/>
      <c r="Q662" s="1428"/>
      <c r="R662" s="1428"/>
      <c r="T662" s="22"/>
      <c r="U662" t="s">
        <v>17</v>
      </c>
      <c r="Z662" s="1428" t="s">
        <v>2658</v>
      </c>
      <c r="AA662" s="1428"/>
      <c r="AB662" s="1428"/>
      <c r="AC662" s="1428"/>
      <c r="AD662" s="1428"/>
      <c r="AE662" s="1428"/>
      <c r="AF662" s="1428"/>
      <c r="AG662" s="1428"/>
      <c r="AH662" s="1428"/>
      <c r="AI662" s="1428"/>
      <c r="AJ662" s="1428"/>
      <c r="AK662" s="1428"/>
      <c r="AZ662" s="34"/>
      <c r="BA662" s="34"/>
      <c r="BB662" s="34"/>
      <c r="BC662" s="34"/>
      <c r="BD662" s="34"/>
      <c r="BE662" s="34"/>
      <c r="BF662" s="34"/>
      <c r="BG662" s="34"/>
      <c r="BH662" s="34"/>
      <c r="BI662" s="34"/>
      <c r="BJ662" s="34"/>
      <c r="BK662" s="34"/>
      <c r="BL662" s="34"/>
      <c r="BM662" s="34"/>
      <c r="DX662" s="1383" t="e">
        <f t="shared" si="4"/>
        <v>#VALUE!</v>
      </c>
      <c r="DY662" s="1383"/>
      <c r="DZ662" s="1383"/>
      <c r="EA662" s="1383"/>
      <c r="EB662" s="1383"/>
      <c r="EC662" s="1383" t="e">
        <f t="shared" si="5"/>
        <v>#VALUE!</v>
      </c>
      <c r="ED662" s="1383"/>
      <c r="EE662" s="1383"/>
      <c r="EF662" s="1383"/>
      <c r="EG662" s="1383"/>
      <c r="EH662" s="1383" t="e">
        <f t="shared" si="6"/>
        <v>#VALUE!</v>
      </c>
      <c r="EI662" s="1383"/>
      <c r="EJ662" s="1383"/>
      <c r="EK662" s="1383"/>
      <c r="EL662" s="1383"/>
      <c r="EM662" s="1383" t="e">
        <f t="shared" si="7"/>
        <v>#VALUE!</v>
      </c>
      <c r="EN662" s="1383"/>
      <c r="EO662" s="1383"/>
      <c r="EP662" s="1383"/>
      <c r="EQ662" s="1383"/>
      <c r="ER662" s="1383" t="e">
        <f t="shared" si="8"/>
        <v>#VALUE!</v>
      </c>
      <c r="ES662" s="1383"/>
      <c r="ET662" s="1383"/>
      <c r="EU662" s="1383"/>
      <c r="EV662" s="1383"/>
      <c r="EW662" s="1383" t="e">
        <f t="shared" si="9"/>
        <v>#VALUE!</v>
      </c>
      <c r="EX662" s="1383"/>
      <c r="EY662" s="1383"/>
      <c r="EZ662" s="1383"/>
      <c r="FA662" s="1383"/>
    </row>
    <row r="663" spans="1:157" ht="13" customHeight="1">
      <c r="A663" s="22"/>
      <c r="B663" t="s">
        <v>315</v>
      </c>
      <c r="G663" s="1478" t="s">
        <v>2766</v>
      </c>
      <c r="H663" s="1478"/>
      <c r="I663" s="1478"/>
      <c r="J663" s="1478"/>
      <c r="K663" s="1478"/>
      <c r="L663" s="1478"/>
      <c r="O663" s="33" t="s">
        <v>205</v>
      </c>
      <c r="P663" s="1470"/>
      <c r="Q663" s="1470"/>
      <c r="R663" s="1470"/>
      <c r="T663" s="22"/>
      <c r="U663" t="s">
        <v>315</v>
      </c>
      <c r="Z663" s="1532" t="s">
        <v>2659</v>
      </c>
      <c r="AA663" s="1478"/>
      <c r="AB663" s="1478"/>
      <c r="AC663" s="1478"/>
      <c r="AD663" s="1478"/>
      <c r="AE663" s="1478"/>
      <c r="AH663" s="33" t="s">
        <v>205</v>
      </c>
      <c r="AI663" s="1470"/>
      <c r="AJ663" s="1470"/>
      <c r="AK663" s="1470"/>
      <c r="AZ663" s="34"/>
      <c r="BA663" s="34"/>
      <c r="BB663" s="34"/>
      <c r="BC663" s="34"/>
      <c r="BD663" s="34"/>
      <c r="BE663" s="34"/>
      <c r="BF663" s="34"/>
      <c r="BG663" s="34"/>
      <c r="BH663" s="34"/>
      <c r="BI663" s="34"/>
      <c r="BJ663" s="34"/>
      <c r="BK663" s="34"/>
      <c r="BL663" s="34"/>
      <c r="BM663" s="34"/>
      <c r="DX663" s="1383" t="e">
        <f t="shared" si="4"/>
        <v>#VALUE!</v>
      </c>
      <c r="DY663" s="1383"/>
      <c r="DZ663" s="1383"/>
      <c r="EA663" s="1383"/>
      <c r="EB663" s="1383"/>
      <c r="EC663" s="1383" t="e">
        <f t="shared" si="5"/>
        <v>#VALUE!</v>
      </c>
      <c r="ED663" s="1383"/>
      <c r="EE663" s="1383"/>
      <c r="EF663" s="1383"/>
      <c r="EG663" s="1383"/>
      <c r="EH663" s="1383" t="e">
        <f t="shared" si="6"/>
        <v>#VALUE!</v>
      </c>
      <c r="EI663" s="1383"/>
      <c r="EJ663" s="1383"/>
      <c r="EK663" s="1383"/>
      <c r="EL663" s="1383"/>
      <c r="EM663" s="1383" t="e">
        <f t="shared" si="7"/>
        <v>#VALUE!</v>
      </c>
      <c r="EN663" s="1383"/>
      <c r="EO663" s="1383"/>
      <c r="EP663" s="1383"/>
      <c r="EQ663" s="1383"/>
      <c r="ER663" s="1383" t="e">
        <f t="shared" si="8"/>
        <v>#VALUE!</v>
      </c>
      <c r="ES663" s="1383"/>
      <c r="ET663" s="1383"/>
      <c r="EU663" s="1383"/>
      <c r="EV663" s="1383"/>
      <c r="EW663" s="1383" t="e">
        <f t="shared" si="9"/>
        <v>#VALUE!</v>
      </c>
      <c r="EX663" s="1383"/>
      <c r="EY663" s="1383"/>
      <c r="EZ663" s="1383"/>
      <c r="FA663" s="1383"/>
    </row>
    <row r="664" spans="1:157" ht="13" customHeight="1">
      <c r="A664" s="22"/>
      <c r="B664" t="s">
        <v>18</v>
      </c>
      <c r="H664" s="1401" t="s">
        <v>2762</v>
      </c>
      <c r="I664" s="1401"/>
      <c r="J664" s="1401"/>
      <c r="K664" s="1401"/>
      <c r="L664" s="1401"/>
      <c r="M664" s="1401"/>
      <c r="N664" s="1401"/>
      <c r="O664" s="1401"/>
      <c r="P664" s="1401"/>
      <c r="Q664" s="1401"/>
      <c r="R664" s="1401"/>
      <c r="T664" s="22"/>
      <c r="U664" t="s">
        <v>18</v>
      </c>
      <c r="AA664" s="1401" t="s">
        <v>2260</v>
      </c>
      <c r="AB664" s="1401"/>
      <c r="AC664" s="1401"/>
      <c r="AD664" s="1401"/>
      <c r="AE664" s="1401"/>
      <c r="AF664" s="1401"/>
      <c r="AG664" s="1401"/>
      <c r="AH664" s="1401"/>
      <c r="AI664" s="1401"/>
      <c r="AJ664" s="1401"/>
      <c r="AK664" s="1401"/>
      <c r="AZ664" s="34"/>
      <c r="BA664" s="34"/>
      <c r="BB664" s="34"/>
      <c r="BC664" s="34"/>
      <c r="BD664" s="34"/>
      <c r="BE664" s="34"/>
      <c r="BF664" s="34"/>
      <c r="BG664" s="34"/>
      <c r="BH664" s="34"/>
      <c r="BI664" s="34"/>
      <c r="BJ664" s="34"/>
      <c r="BK664" s="34"/>
      <c r="BL664" s="34"/>
      <c r="BM664" s="34"/>
      <c r="DX664" s="1383" t="e">
        <f t="shared" si="4"/>
        <v>#VALUE!</v>
      </c>
      <c r="DY664" s="1383"/>
      <c r="DZ664" s="1383"/>
      <c r="EA664" s="1383"/>
      <c r="EB664" s="1383"/>
      <c r="EC664" s="1383" t="e">
        <f t="shared" si="5"/>
        <v>#VALUE!</v>
      </c>
      <c r="ED664" s="1383"/>
      <c r="EE664" s="1383"/>
      <c r="EF664" s="1383"/>
      <c r="EG664" s="1383"/>
      <c r="EH664" s="1383" t="e">
        <f t="shared" si="6"/>
        <v>#VALUE!</v>
      </c>
      <c r="EI664" s="1383"/>
      <c r="EJ664" s="1383"/>
      <c r="EK664" s="1383"/>
      <c r="EL664" s="1383"/>
      <c r="EM664" s="1383" t="e">
        <f t="shared" si="7"/>
        <v>#VALUE!</v>
      </c>
      <c r="EN664" s="1383"/>
      <c r="EO664" s="1383"/>
      <c r="EP664" s="1383"/>
      <c r="EQ664" s="1383"/>
      <c r="ER664" s="1383" t="e">
        <f t="shared" si="8"/>
        <v>#VALUE!</v>
      </c>
      <c r="ES664" s="1383"/>
      <c r="ET664" s="1383"/>
      <c r="EU664" s="1383"/>
      <c r="EV664" s="1383"/>
      <c r="EW664" s="1383" t="e">
        <f t="shared" si="9"/>
        <v>#VALUE!</v>
      </c>
      <c r="EX664" s="1383"/>
      <c r="EY664" s="1383"/>
      <c r="EZ664" s="1383"/>
      <c r="FA664" s="1383"/>
    </row>
    <row r="665" spans="1:157" ht="13" customHeight="1">
      <c r="A665" s="22"/>
      <c r="B665" t="s">
        <v>20</v>
      </c>
      <c r="N665" s="1409" t="s">
        <v>544</v>
      </c>
      <c r="O665" s="1409"/>
      <c r="T665" s="22"/>
      <c r="U665" t="s">
        <v>20</v>
      </c>
      <c r="AG665" s="1409" t="s">
        <v>544</v>
      </c>
      <c r="AH665" s="1409"/>
      <c r="AZ665" s="34"/>
      <c r="BA665" s="34"/>
      <c r="BB665" s="34"/>
      <c r="BC665" s="34"/>
      <c r="BD665" s="34"/>
      <c r="BE665" s="34"/>
      <c r="BF665" s="34"/>
      <c r="BG665" s="34"/>
      <c r="BH665" s="34"/>
      <c r="BI665" s="34"/>
      <c r="BJ665" s="34"/>
      <c r="BK665" s="34"/>
      <c r="BL665" s="34"/>
      <c r="BM665" s="34"/>
      <c r="DX665" s="1383" t="e">
        <f t="shared" si="4"/>
        <v>#VALUE!</v>
      </c>
      <c r="DY665" s="1383"/>
      <c r="DZ665" s="1383"/>
      <c r="EA665" s="1383"/>
      <c r="EB665" s="1383"/>
      <c r="EC665" s="1383" t="e">
        <f t="shared" si="5"/>
        <v>#VALUE!</v>
      </c>
      <c r="ED665" s="1383"/>
      <c r="EE665" s="1383"/>
      <c r="EF665" s="1383"/>
      <c r="EG665" s="1383"/>
      <c r="EH665" s="1383" t="e">
        <f t="shared" si="6"/>
        <v>#VALUE!</v>
      </c>
      <c r="EI665" s="1383"/>
      <c r="EJ665" s="1383"/>
      <c r="EK665" s="1383"/>
      <c r="EL665" s="1383"/>
      <c r="EM665" s="1383" t="e">
        <f t="shared" si="7"/>
        <v>#VALUE!</v>
      </c>
      <c r="EN665" s="1383"/>
      <c r="EO665" s="1383"/>
      <c r="EP665" s="1383"/>
      <c r="EQ665" s="1383"/>
      <c r="ER665" s="1383" t="e">
        <f t="shared" si="8"/>
        <v>#VALUE!</v>
      </c>
      <c r="ES665" s="1383"/>
      <c r="ET665" s="1383"/>
      <c r="EU665" s="1383"/>
      <c r="EV665" s="1383"/>
      <c r="EW665" s="1383" t="e">
        <f t="shared" si="9"/>
        <v>#VALUE!</v>
      </c>
      <c r="EX665" s="1383"/>
      <c r="EY665" s="1383"/>
      <c r="EZ665" s="1383"/>
      <c r="FA665" s="1383"/>
    </row>
    <row r="666" spans="1:157" ht="13" customHeight="1">
      <c r="A666" s="22"/>
      <c r="T666" s="22"/>
      <c r="AZ666" s="34"/>
      <c r="BA666" s="34"/>
      <c r="BB666" s="34"/>
      <c r="BC666" s="34"/>
      <c r="BD666" s="34"/>
      <c r="BE666" s="34"/>
      <c r="BF666" s="34"/>
      <c r="BG666" s="34"/>
      <c r="BH666" s="34"/>
      <c r="BI666" s="34"/>
      <c r="BJ666" s="34"/>
      <c r="BK666" s="34"/>
      <c r="BL666" s="34"/>
      <c r="BM666" s="34"/>
      <c r="DX666" s="1383" t="e">
        <f t="shared" si="4"/>
        <v>#VALUE!</v>
      </c>
      <c r="DY666" s="1383"/>
      <c r="DZ666" s="1383"/>
      <c r="EA666" s="1383"/>
      <c r="EB666" s="1383"/>
      <c r="EC666" s="1383" t="e">
        <f t="shared" si="5"/>
        <v>#VALUE!</v>
      </c>
      <c r="ED666" s="1383"/>
      <c r="EE666" s="1383"/>
      <c r="EF666" s="1383"/>
      <c r="EG666" s="1383"/>
      <c r="EH666" s="1383" t="e">
        <f t="shared" si="6"/>
        <v>#VALUE!</v>
      </c>
      <c r="EI666" s="1383"/>
      <c r="EJ666" s="1383"/>
      <c r="EK666" s="1383"/>
      <c r="EL666" s="1383"/>
      <c r="EM666" s="1383" t="e">
        <f t="shared" si="7"/>
        <v>#VALUE!</v>
      </c>
      <c r="EN666" s="1383"/>
      <c r="EO666" s="1383"/>
      <c r="EP666" s="1383"/>
      <c r="EQ666" s="1383"/>
      <c r="ER666" s="1383" t="e">
        <f t="shared" si="8"/>
        <v>#VALUE!</v>
      </c>
      <c r="ES666" s="1383"/>
      <c r="ET666" s="1383"/>
      <c r="EU666" s="1383"/>
      <c r="EV666" s="1383"/>
      <c r="EW666" s="1383" t="e">
        <f t="shared" si="9"/>
        <v>#VALUE!</v>
      </c>
      <c r="EX666" s="1383"/>
      <c r="EY666" s="1383"/>
      <c r="EZ666" s="1383"/>
      <c r="FA666" s="1383"/>
    </row>
    <row r="667" spans="1:157" ht="13" customHeight="1">
      <c r="A667" s="55" t="s">
        <v>762</v>
      </c>
      <c r="B667" t="s">
        <v>462</v>
      </c>
      <c r="G667" s="1479">
        <f>C639</f>
        <v>0</v>
      </c>
      <c r="H667" s="1479"/>
      <c r="I667" s="1479"/>
      <c r="J667" s="1479"/>
      <c r="K667" s="1479"/>
      <c r="L667" s="1479"/>
      <c r="M667" s="1479"/>
      <c r="N667" s="1479"/>
      <c r="O667" s="1479"/>
      <c r="P667" s="1479"/>
      <c r="Q667" s="1479"/>
      <c r="R667" s="1479"/>
      <c r="T667" s="55" t="s">
        <v>583</v>
      </c>
      <c r="U667" t="s">
        <v>462</v>
      </c>
      <c r="Z667" s="1479">
        <f>C640</f>
        <v>0</v>
      </c>
      <c r="AA667" s="1479"/>
      <c r="AB667" s="1479"/>
      <c r="AC667" s="1479"/>
      <c r="AD667" s="1479"/>
      <c r="AE667" s="1479"/>
      <c r="AF667" s="1479"/>
      <c r="AG667" s="1479"/>
      <c r="AH667" s="1479"/>
      <c r="AI667" s="1479"/>
      <c r="AJ667" s="1479"/>
      <c r="AK667" s="1479"/>
      <c r="AZ667" s="34"/>
      <c r="BA667" s="34"/>
      <c r="BB667" s="34"/>
      <c r="BC667" s="34"/>
      <c r="BD667" s="34"/>
      <c r="BE667" s="34"/>
      <c r="BF667" s="34"/>
      <c r="BG667" s="34"/>
      <c r="BH667" s="34"/>
      <c r="BI667" s="34"/>
      <c r="BJ667" s="34"/>
      <c r="BK667" s="34"/>
      <c r="BL667" s="34"/>
      <c r="BM667" s="34"/>
      <c r="DX667" s="1383" t="e">
        <f t="shared" si="4"/>
        <v>#VALUE!</v>
      </c>
      <c r="DY667" s="1383"/>
      <c r="DZ667" s="1383"/>
      <c r="EA667" s="1383"/>
      <c r="EB667" s="1383"/>
      <c r="EC667" s="1383" t="e">
        <f t="shared" si="5"/>
        <v>#VALUE!</v>
      </c>
      <c r="ED667" s="1383"/>
      <c r="EE667" s="1383"/>
      <c r="EF667" s="1383"/>
      <c r="EG667" s="1383"/>
      <c r="EH667" s="1383" t="e">
        <f t="shared" si="6"/>
        <v>#VALUE!</v>
      </c>
      <c r="EI667" s="1383"/>
      <c r="EJ667" s="1383"/>
      <c r="EK667" s="1383"/>
      <c r="EL667" s="1383"/>
      <c r="EM667" s="1383" t="e">
        <f t="shared" si="7"/>
        <v>#VALUE!</v>
      </c>
      <c r="EN667" s="1383"/>
      <c r="EO667" s="1383"/>
      <c r="EP667" s="1383"/>
      <c r="EQ667" s="1383"/>
      <c r="ER667" s="1383" t="e">
        <f t="shared" si="8"/>
        <v>#VALUE!</v>
      </c>
      <c r="ES667" s="1383"/>
      <c r="ET667" s="1383"/>
      <c r="EU667" s="1383"/>
      <c r="EV667" s="1383"/>
      <c r="EW667" s="1383" t="e">
        <f t="shared" si="9"/>
        <v>#VALUE!</v>
      </c>
      <c r="EX667" s="1383"/>
      <c r="EY667" s="1383"/>
      <c r="EZ667" s="1383"/>
      <c r="FA667" s="1383"/>
    </row>
    <row r="668" spans="1:157" ht="13" customHeight="1">
      <c r="A668" s="22"/>
      <c r="B668" t="s">
        <v>85</v>
      </c>
      <c r="G668" s="1401"/>
      <c r="H668" s="1401"/>
      <c r="I668" s="1401"/>
      <c r="J668" s="1401"/>
      <c r="K668" s="1401"/>
      <c r="L668" s="1401"/>
      <c r="M668" s="1401"/>
      <c r="N668" s="1401"/>
      <c r="O668" s="1401"/>
      <c r="P668" s="1401"/>
      <c r="Q668" s="1401"/>
      <c r="R668" s="1401"/>
      <c r="T668" s="22"/>
      <c r="U668" t="s">
        <v>85</v>
      </c>
      <c r="Z668" s="1401"/>
      <c r="AA668" s="1401"/>
      <c r="AB668" s="1401"/>
      <c r="AC668" s="1401"/>
      <c r="AD668" s="1401"/>
      <c r="AE668" s="1401"/>
      <c r="AF668" s="1401"/>
      <c r="AG668" s="1401"/>
      <c r="AH668" s="1401"/>
      <c r="AI668" s="1401"/>
      <c r="AJ668" s="1401"/>
      <c r="AK668" s="1401"/>
      <c r="AZ668" s="34"/>
      <c r="BA668" s="34"/>
      <c r="BB668" s="34"/>
      <c r="BC668" s="34"/>
      <c r="BD668" s="34"/>
      <c r="BE668" s="34"/>
      <c r="BF668" s="34"/>
      <c r="BG668" s="34"/>
      <c r="BH668" s="34"/>
      <c r="BI668" s="34"/>
      <c r="BJ668" s="34"/>
      <c r="BK668" s="34"/>
      <c r="BL668" s="34"/>
      <c r="BM668" s="34"/>
      <c r="DX668" s="1383" t="e">
        <f t="shared" si="4"/>
        <v>#VALUE!</v>
      </c>
      <c r="DY668" s="1383"/>
      <c r="DZ668" s="1383"/>
      <c r="EA668" s="1383"/>
      <c r="EB668" s="1383"/>
      <c r="EC668" s="1383" t="e">
        <f t="shared" si="5"/>
        <v>#VALUE!</v>
      </c>
      <c r="ED668" s="1383"/>
      <c r="EE668" s="1383"/>
      <c r="EF668" s="1383"/>
      <c r="EG668" s="1383"/>
      <c r="EH668" s="1383" t="e">
        <f t="shared" si="6"/>
        <v>#VALUE!</v>
      </c>
      <c r="EI668" s="1383"/>
      <c r="EJ668" s="1383"/>
      <c r="EK668" s="1383"/>
      <c r="EL668" s="1383"/>
      <c r="EM668" s="1383" t="e">
        <f t="shared" si="7"/>
        <v>#VALUE!</v>
      </c>
      <c r="EN668" s="1383"/>
      <c r="EO668" s="1383"/>
      <c r="EP668" s="1383"/>
      <c r="EQ668" s="1383"/>
      <c r="ER668" s="1383" t="e">
        <f t="shared" si="8"/>
        <v>#VALUE!</v>
      </c>
      <c r="ES668" s="1383"/>
      <c r="ET668" s="1383"/>
      <c r="EU668" s="1383"/>
      <c r="EV668" s="1383"/>
      <c r="EW668" s="1383" t="e">
        <f t="shared" si="9"/>
        <v>#VALUE!</v>
      </c>
      <c r="EX668" s="1383"/>
      <c r="EY668" s="1383"/>
      <c r="EZ668" s="1383"/>
      <c r="FA668" s="1383"/>
    </row>
    <row r="669" spans="1:157" ht="13" customHeight="1">
      <c r="A669" s="22"/>
      <c r="B669" t="s">
        <v>579</v>
      </c>
      <c r="G669" s="1401"/>
      <c r="H669" s="1401"/>
      <c r="I669" s="1401"/>
      <c r="J669" s="1401"/>
      <c r="K669" s="1401"/>
      <c r="L669" s="1401"/>
      <c r="M669" s="1401"/>
      <c r="N669" s="1401"/>
      <c r="O669" s="1401"/>
      <c r="P669" s="1401"/>
      <c r="Q669" s="1401"/>
      <c r="R669" s="1401"/>
      <c r="T669" s="22"/>
      <c r="U669" t="s">
        <v>579</v>
      </c>
      <c r="Z669" s="1428"/>
      <c r="AA669" s="1428"/>
      <c r="AB669" s="1428"/>
      <c r="AC669" s="1428"/>
      <c r="AD669" s="1428"/>
      <c r="AE669" s="1428"/>
      <c r="AF669" s="1428"/>
      <c r="AG669" s="1428"/>
      <c r="AH669" s="1428"/>
      <c r="AI669" s="1428"/>
      <c r="AJ669" s="1428"/>
      <c r="AK669" s="1428"/>
      <c r="AZ669" s="34"/>
      <c r="BA669" s="34"/>
      <c r="BB669" s="34"/>
      <c r="BC669" s="34"/>
      <c r="BD669" s="34"/>
      <c r="BE669" s="34"/>
      <c r="BF669" s="34"/>
      <c r="BG669" s="34"/>
      <c r="BH669" s="34"/>
      <c r="BI669" s="34"/>
      <c r="BJ669" s="34"/>
      <c r="BK669" s="34"/>
      <c r="BL669" s="34"/>
      <c r="BM669" s="34"/>
      <c r="DX669" s="1383" t="e">
        <f t="shared" si="4"/>
        <v>#VALUE!</v>
      </c>
      <c r="DY669" s="1383"/>
      <c r="DZ669" s="1383"/>
      <c r="EA669" s="1383"/>
      <c r="EB669" s="1383"/>
      <c r="EC669" s="1383" t="e">
        <f t="shared" si="5"/>
        <v>#VALUE!</v>
      </c>
      <c r="ED669" s="1383"/>
      <c r="EE669" s="1383"/>
      <c r="EF669" s="1383"/>
      <c r="EG669" s="1383"/>
      <c r="EH669" s="1383" t="e">
        <f t="shared" si="6"/>
        <v>#VALUE!</v>
      </c>
      <c r="EI669" s="1383"/>
      <c r="EJ669" s="1383"/>
      <c r="EK669" s="1383"/>
      <c r="EL669" s="1383"/>
      <c r="EM669" s="1383" t="e">
        <f t="shared" si="7"/>
        <v>#VALUE!</v>
      </c>
      <c r="EN669" s="1383"/>
      <c r="EO669" s="1383"/>
      <c r="EP669" s="1383"/>
      <c r="EQ669" s="1383"/>
      <c r="ER669" s="1383" t="e">
        <f t="shared" si="8"/>
        <v>#VALUE!</v>
      </c>
      <c r="ES669" s="1383"/>
      <c r="ET669" s="1383"/>
      <c r="EU669" s="1383"/>
      <c r="EV669" s="1383"/>
      <c r="EW669" s="1383" t="e">
        <f t="shared" si="9"/>
        <v>#VALUE!</v>
      </c>
      <c r="EX669" s="1383"/>
      <c r="EY669" s="1383"/>
      <c r="EZ669" s="1383"/>
      <c r="FA669" s="1383"/>
    </row>
    <row r="670" spans="1:157" ht="13" customHeight="1">
      <c r="A670" s="22"/>
      <c r="B670" t="s">
        <v>17</v>
      </c>
      <c r="G670" s="1401"/>
      <c r="H670" s="1401"/>
      <c r="I670" s="1401"/>
      <c r="J670" s="1401"/>
      <c r="K670" s="1401"/>
      <c r="L670" s="1401"/>
      <c r="M670" s="1401"/>
      <c r="N670" s="1401"/>
      <c r="O670" s="1401"/>
      <c r="P670" s="1401"/>
      <c r="Q670" s="1401"/>
      <c r="R670" s="1401"/>
      <c r="T670" s="22"/>
      <c r="U670" t="s">
        <v>17</v>
      </c>
      <c r="Z670" s="1428"/>
      <c r="AA670" s="1428"/>
      <c r="AB670" s="1428"/>
      <c r="AC670" s="1428"/>
      <c r="AD670" s="1428"/>
      <c r="AE670" s="1428"/>
      <c r="AF670" s="1428"/>
      <c r="AG670" s="1428"/>
      <c r="AH670" s="1428"/>
      <c r="AI670" s="1428"/>
      <c r="AJ670" s="1428"/>
      <c r="AK670" s="1428"/>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83" t="e">
        <f t="shared" si="4"/>
        <v>#VALUE!</v>
      </c>
      <c r="DY670" s="1383"/>
      <c r="DZ670" s="1383"/>
      <c r="EA670" s="1383"/>
      <c r="EB670" s="1383"/>
      <c r="EC670" s="1383" t="e">
        <f t="shared" si="5"/>
        <v>#VALUE!</v>
      </c>
      <c r="ED670" s="1383"/>
      <c r="EE670" s="1383"/>
      <c r="EF670" s="1383"/>
      <c r="EG670" s="1383"/>
      <c r="EH670" s="1383" t="e">
        <f t="shared" si="6"/>
        <v>#VALUE!</v>
      </c>
      <c r="EI670" s="1383"/>
      <c r="EJ670" s="1383"/>
      <c r="EK670" s="1383"/>
      <c r="EL670" s="1383"/>
      <c r="EM670" s="1383" t="e">
        <f t="shared" si="7"/>
        <v>#VALUE!</v>
      </c>
      <c r="EN670" s="1383"/>
      <c r="EO670" s="1383"/>
      <c r="EP670" s="1383"/>
      <c r="EQ670" s="1383"/>
      <c r="ER670" s="1383" t="e">
        <f t="shared" si="8"/>
        <v>#VALUE!</v>
      </c>
      <c r="ES670" s="1383"/>
      <c r="ET670" s="1383"/>
      <c r="EU670" s="1383"/>
      <c r="EV670" s="1383"/>
      <c r="EW670" s="1383" t="e">
        <f t="shared" si="9"/>
        <v>#VALUE!</v>
      </c>
      <c r="EX670" s="1383"/>
      <c r="EY670" s="1383"/>
      <c r="EZ670" s="1383"/>
      <c r="FA670" s="1383"/>
    </row>
    <row r="671" spans="1:157" ht="13" customHeight="1">
      <c r="A671" s="22"/>
      <c r="B671" t="s">
        <v>315</v>
      </c>
      <c r="G671" s="1478"/>
      <c r="H671" s="1478"/>
      <c r="I671" s="1478"/>
      <c r="J671" s="1478"/>
      <c r="K671" s="1478"/>
      <c r="L671" s="1478"/>
      <c r="O671" s="33" t="s">
        <v>205</v>
      </c>
      <c r="P671" s="1470"/>
      <c r="Q671" s="1470"/>
      <c r="R671" s="1470"/>
      <c r="T671" s="22"/>
      <c r="U671" t="s">
        <v>315</v>
      </c>
      <c r="Z671" s="1478"/>
      <c r="AA671" s="1478"/>
      <c r="AB671" s="1478"/>
      <c r="AC671" s="1478"/>
      <c r="AD671" s="1478"/>
      <c r="AE671" s="1478"/>
      <c r="AH671" s="33" t="s">
        <v>205</v>
      </c>
      <c r="AI671" s="1470"/>
      <c r="AJ671" s="1470"/>
      <c r="AK671" s="1470"/>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83" t="e">
        <f t="shared" si="4"/>
        <v>#VALUE!</v>
      </c>
      <c r="DY671" s="1383"/>
      <c r="DZ671" s="1383"/>
      <c r="EA671" s="1383"/>
      <c r="EB671" s="1383"/>
      <c r="EC671" s="1383" t="e">
        <f t="shared" si="5"/>
        <v>#VALUE!</v>
      </c>
      <c r="ED671" s="1383"/>
      <c r="EE671" s="1383"/>
      <c r="EF671" s="1383"/>
      <c r="EG671" s="1383"/>
      <c r="EH671" s="1383" t="e">
        <f t="shared" si="6"/>
        <v>#VALUE!</v>
      </c>
      <c r="EI671" s="1383"/>
      <c r="EJ671" s="1383"/>
      <c r="EK671" s="1383"/>
      <c r="EL671" s="1383"/>
      <c r="EM671" s="1383" t="e">
        <f t="shared" si="7"/>
        <v>#VALUE!</v>
      </c>
      <c r="EN671" s="1383"/>
      <c r="EO671" s="1383"/>
      <c r="EP671" s="1383"/>
      <c r="EQ671" s="1383"/>
      <c r="ER671" s="1383" t="e">
        <f t="shared" si="8"/>
        <v>#VALUE!</v>
      </c>
      <c r="ES671" s="1383"/>
      <c r="ET671" s="1383"/>
      <c r="EU671" s="1383"/>
      <c r="EV671" s="1383"/>
      <c r="EW671" s="1383" t="e">
        <f t="shared" si="9"/>
        <v>#VALUE!</v>
      </c>
      <c r="EX671" s="1383"/>
      <c r="EY671" s="1383"/>
      <c r="EZ671" s="1383"/>
      <c r="FA671" s="1383"/>
    </row>
    <row r="672" spans="1:157" ht="13" customHeight="1">
      <c r="A672" s="22"/>
      <c r="B672" t="s">
        <v>18</v>
      </c>
      <c r="H672" s="1401"/>
      <c r="I672" s="1401"/>
      <c r="J672" s="1401"/>
      <c r="K672" s="1401"/>
      <c r="L672" s="1401"/>
      <c r="M672" s="1401"/>
      <c r="N672" s="1401"/>
      <c r="O672" s="1401"/>
      <c r="P672" s="1401"/>
      <c r="Q672" s="1401"/>
      <c r="R672" s="1401"/>
      <c r="T672" s="22"/>
      <c r="U672" t="s">
        <v>18</v>
      </c>
      <c r="AA672" s="1401"/>
      <c r="AB672" s="1401"/>
      <c r="AC672" s="1401"/>
      <c r="AD672" s="1401"/>
      <c r="AE672" s="1401"/>
      <c r="AF672" s="1401"/>
      <c r="AG672" s="1401"/>
      <c r="AH672" s="1401"/>
      <c r="AI672" s="1401"/>
      <c r="AJ672" s="1401"/>
      <c r="AK672" s="1401"/>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83" t="e">
        <f t="shared" si="4"/>
        <v>#VALUE!</v>
      </c>
      <c r="DY672" s="1383"/>
      <c r="DZ672" s="1383"/>
      <c r="EA672" s="1383"/>
      <c r="EB672" s="1383"/>
      <c r="EC672" s="1383" t="e">
        <f t="shared" si="5"/>
        <v>#VALUE!</v>
      </c>
      <c r="ED672" s="1383"/>
      <c r="EE672" s="1383"/>
      <c r="EF672" s="1383"/>
      <c r="EG672" s="1383"/>
      <c r="EH672" s="1383" t="e">
        <f t="shared" si="6"/>
        <v>#VALUE!</v>
      </c>
      <c r="EI672" s="1383"/>
      <c r="EJ672" s="1383"/>
      <c r="EK672" s="1383"/>
      <c r="EL672" s="1383"/>
      <c r="EM672" s="1383" t="e">
        <f t="shared" si="7"/>
        <v>#VALUE!</v>
      </c>
      <c r="EN672" s="1383"/>
      <c r="EO672" s="1383"/>
      <c r="EP672" s="1383"/>
      <c r="EQ672" s="1383"/>
      <c r="ER672" s="1383" t="e">
        <f t="shared" si="8"/>
        <v>#VALUE!</v>
      </c>
      <c r="ES672" s="1383"/>
      <c r="ET672" s="1383"/>
      <c r="EU672" s="1383"/>
      <c r="EV672" s="1383"/>
      <c r="EW672" s="1383" t="e">
        <f t="shared" si="9"/>
        <v>#VALUE!</v>
      </c>
      <c r="EX672" s="1383"/>
      <c r="EY672" s="1383"/>
      <c r="EZ672" s="1383"/>
      <c r="FA672" s="1383"/>
    </row>
    <row r="673" spans="1:157" ht="13" customHeight="1">
      <c r="A673" s="22"/>
      <c r="B673" t="s">
        <v>20</v>
      </c>
      <c r="N673" s="1409" t="s">
        <v>668</v>
      </c>
      <c r="O673" s="1409"/>
      <c r="T673" s="22"/>
      <c r="U673" t="s">
        <v>20</v>
      </c>
      <c r="AG673" s="1409" t="s">
        <v>668</v>
      </c>
      <c r="AH673" s="1409"/>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83" t="e">
        <f t="shared" si="4"/>
        <v>#VALUE!</v>
      </c>
      <c r="DY673" s="1383"/>
      <c r="DZ673" s="1383"/>
      <c r="EA673" s="1383"/>
      <c r="EB673" s="1383"/>
      <c r="EC673" s="1383" t="e">
        <f t="shared" si="5"/>
        <v>#VALUE!</v>
      </c>
      <c r="ED673" s="1383"/>
      <c r="EE673" s="1383"/>
      <c r="EF673" s="1383"/>
      <c r="EG673" s="1383"/>
      <c r="EH673" s="1383" t="e">
        <f t="shared" si="6"/>
        <v>#VALUE!</v>
      </c>
      <c r="EI673" s="1383"/>
      <c r="EJ673" s="1383"/>
      <c r="EK673" s="1383"/>
      <c r="EL673" s="1383"/>
      <c r="EM673" s="1383" t="e">
        <f t="shared" si="7"/>
        <v>#VALUE!</v>
      </c>
      <c r="EN673" s="1383"/>
      <c r="EO673" s="1383"/>
      <c r="EP673" s="1383"/>
      <c r="EQ673" s="1383"/>
      <c r="ER673" s="1383" t="e">
        <f t="shared" si="8"/>
        <v>#VALUE!</v>
      </c>
      <c r="ES673" s="1383"/>
      <c r="ET673" s="1383"/>
      <c r="EU673" s="1383"/>
      <c r="EV673" s="1383"/>
      <c r="EW673" s="1383" t="e">
        <f t="shared" si="9"/>
        <v>#VALUE!</v>
      </c>
      <c r="EX673" s="1383"/>
      <c r="EY673" s="1383"/>
      <c r="EZ673" s="1383"/>
      <c r="FA673" s="1383"/>
    </row>
    <row r="674" spans="1:157" ht="13"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83" t="e">
        <f t="shared" si="4"/>
        <v>#VALUE!</v>
      </c>
      <c r="DY674" s="1383"/>
      <c r="DZ674" s="1383"/>
      <c r="EA674" s="1383"/>
      <c r="EB674" s="1383"/>
      <c r="EC674" s="1383" t="e">
        <f t="shared" si="5"/>
        <v>#VALUE!</v>
      </c>
      <c r="ED674" s="1383"/>
      <c r="EE674" s="1383"/>
      <c r="EF674" s="1383"/>
      <c r="EG674" s="1383"/>
      <c r="EH674" s="1383" t="e">
        <f t="shared" si="6"/>
        <v>#VALUE!</v>
      </c>
      <c r="EI674" s="1383"/>
      <c r="EJ674" s="1383"/>
      <c r="EK674" s="1383"/>
      <c r="EL674" s="1383"/>
      <c r="EM674" s="1383" t="e">
        <f t="shared" si="7"/>
        <v>#VALUE!</v>
      </c>
      <c r="EN674" s="1383"/>
      <c r="EO674" s="1383"/>
      <c r="EP674" s="1383"/>
      <c r="EQ674" s="1383"/>
      <c r="ER674" s="1383" t="e">
        <f t="shared" si="8"/>
        <v>#VALUE!</v>
      </c>
      <c r="ES674" s="1383"/>
      <c r="ET674" s="1383"/>
      <c r="EU674" s="1383"/>
      <c r="EV674" s="1383"/>
      <c r="EW674" s="1383" t="e">
        <f t="shared" si="9"/>
        <v>#VALUE!</v>
      </c>
      <c r="EX674" s="1383"/>
      <c r="EY674" s="1383"/>
      <c r="EZ674" s="1383"/>
      <c r="FA674" s="1383"/>
    </row>
    <row r="675" spans="1:157" ht="13" customHeight="1">
      <c r="A675" s="55" t="s">
        <v>454</v>
      </c>
      <c r="B675" t="s">
        <v>462</v>
      </c>
      <c r="G675" s="1479">
        <f>C641</f>
        <v>0</v>
      </c>
      <c r="H675" s="1479"/>
      <c r="I675" s="1479"/>
      <c r="J675" s="1479"/>
      <c r="K675" s="1479"/>
      <c r="L675" s="1479"/>
      <c r="M675" s="1479"/>
      <c r="N675" s="1479"/>
      <c r="O675" s="1479"/>
      <c r="P675" s="1479"/>
      <c r="Q675" s="1479"/>
      <c r="R675" s="1479"/>
      <c r="T675" s="55" t="s">
        <v>455</v>
      </c>
      <c r="U675" t="s">
        <v>462</v>
      </c>
      <c r="Z675" s="1479">
        <f>C642</f>
        <v>0</v>
      </c>
      <c r="AA675" s="1479"/>
      <c r="AB675" s="1479"/>
      <c r="AC675" s="1479"/>
      <c r="AD675" s="1479"/>
      <c r="AE675" s="1479"/>
      <c r="AF675" s="1479"/>
      <c r="AG675" s="1479"/>
      <c r="AH675" s="1479"/>
      <c r="AI675" s="1479"/>
      <c r="AJ675" s="1479"/>
      <c r="AK675" s="1479"/>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83" t="e">
        <f t="shared" si="4"/>
        <v>#VALUE!</v>
      </c>
      <c r="DY675" s="1383"/>
      <c r="DZ675" s="1383"/>
      <c r="EA675" s="1383"/>
      <c r="EB675" s="1383"/>
      <c r="EC675" s="1383" t="e">
        <f t="shared" si="5"/>
        <v>#VALUE!</v>
      </c>
      <c r="ED675" s="1383"/>
      <c r="EE675" s="1383"/>
      <c r="EF675" s="1383"/>
      <c r="EG675" s="1383"/>
      <c r="EH675" s="1383" t="e">
        <f t="shared" si="6"/>
        <v>#VALUE!</v>
      </c>
      <c r="EI675" s="1383"/>
      <c r="EJ675" s="1383"/>
      <c r="EK675" s="1383"/>
      <c r="EL675" s="1383"/>
      <c r="EM675" s="1383" t="e">
        <f t="shared" si="7"/>
        <v>#VALUE!</v>
      </c>
      <c r="EN675" s="1383"/>
      <c r="EO675" s="1383"/>
      <c r="EP675" s="1383"/>
      <c r="EQ675" s="1383"/>
      <c r="ER675" s="1383" t="e">
        <f t="shared" si="8"/>
        <v>#VALUE!</v>
      </c>
      <c r="ES675" s="1383"/>
      <c r="ET675" s="1383"/>
      <c r="EU675" s="1383"/>
      <c r="EV675" s="1383"/>
      <c r="EW675" s="1383" t="e">
        <f t="shared" si="9"/>
        <v>#VALUE!</v>
      </c>
      <c r="EX675" s="1383"/>
      <c r="EY675" s="1383"/>
      <c r="EZ675" s="1383"/>
      <c r="FA675" s="1383"/>
    </row>
    <row r="676" spans="1:157" ht="13" customHeight="1">
      <c r="A676" s="22"/>
      <c r="B676" t="s">
        <v>85</v>
      </c>
      <c r="G676" s="1401"/>
      <c r="H676" s="1401"/>
      <c r="I676" s="1401"/>
      <c r="J676" s="1401"/>
      <c r="K676" s="1401"/>
      <c r="L676" s="1401"/>
      <c r="M676" s="1401"/>
      <c r="N676" s="1401"/>
      <c r="O676" s="1401"/>
      <c r="P676" s="1401"/>
      <c r="Q676" s="1401"/>
      <c r="R676" s="1401"/>
      <c r="T676" s="22"/>
      <c r="U676" t="s">
        <v>85</v>
      </c>
      <c r="Z676" s="1401"/>
      <c r="AA676" s="1401"/>
      <c r="AB676" s="1401"/>
      <c r="AC676" s="1401"/>
      <c r="AD676" s="1401"/>
      <c r="AE676" s="1401"/>
      <c r="AF676" s="1401"/>
      <c r="AG676" s="1401"/>
      <c r="AH676" s="1401"/>
      <c r="AI676" s="1401"/>
      <c r="AJ676" s="1401"/>
      <c r="AK676" s="1401"/>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83" t="e">
        <f t="shared" si="4"/>
        <v>#VALUE!</v>
      </c>
      <c r="DY676" s="1383"/>
      <c r="DZ676" s="1383"/>
      <c r="EA676" s="1383"/>
      <c r="EB676" s="1383"/>
      <c r="EC676" s="1383" t="e">
        <f t="shared" si="5"/>
        <v>#VALUE!</v>
      </c>
      <c r="ED676" s="1383"/>
      <c r="EE676" s="1383"/>
      <c r="EF676" s="1383"/>
      <c r="EG676" s="1383"/>
      <c r="EH676" s="1383" t="e">
        <f t="shared" si="6"/>
        <v>#VALUE!</v>
      </c>
      <c r="EI676" s="1383"/>
      <c r="EJ676" s="1383"/>
      <c r="EK676" s="1383"/>
      <c r="EL676" s="1383"/>
      <c r="EM676" s="1383" t="e">
        <f t="shared" si="7"/>
        <v>#VALUE!</v>
      </c>
      <c r="EN676" s="1383"/>
      <c r="EO676" s="1383"/>
      <c r="EP676" s="1383"/>
      <c r="EQ676" s="1383"/>
      <c r="ER676" s="1383" t="e">
        <f t="shared" si="8"/>
        <v>#VALUE!</v>
      </c>
      <c r="ES676" s="1383"/>
      <c r="ET676" s="1383"/>
      <c r="EU676" s="1383"/>
      <c r="EV676" s="1383"/>
      <c r="EW676" s="1383" t="e">
        <f t="shared" si="9"/>
        <v>#VALUE!</v>
      </c>
      <c r="EX676" s="1383"/>
      <c r="EY676" s="1383"/>
      <c r="EZ676" s="1383"/>
      <c r="FA676" s="1383"/>
    </row>
    <row r="677" spans="1:157" ht="13" customHeight="1">
      <c r="A677" s="22"/>
      <c r="B677" t="s">
        <v>579</v>
      </c>
      <c r="G677" s="1401"/>
      <c r="H677" s="1401"/>
      <c r="I677" s="1401"/>
      <c r="J677" s="1401"/>
      <c r="K677" s="1401"/>
      <c r="L677" s="1401"/>
      <c r="M677" s="1401"/>
      <c r="N677" s="1401"/>
      <c r="O677" s="1401"/>
      <c r="P677" s="1401"/>
      <c r="Q677" s="1401"/>
      <c r="R677" s="1401"/>
      <c r="T677" s="22"/>
      <c r="U677" t="s">
        <v>579</v>
      </c>
      <c r="Z677" s="1428"/>
      <c r="AA677" s="1428"/>
      <c r="AB677" s="1428"/>
      <c r="AC677" s="1428"/>
      <c r="AD677" s="1428"/>
      <c r="AE677" s="1428"/>
      <c r="AF677" s="1428"/>
      <c r="AG677" s="1428"/>
      <c r="AH677" s="1428"/>
      <c r="AI677" s="1428"/>
      <c r="AJ677" s="1428"/>
      <c r="AK677" s="1428"/>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83" t="e">
        <f t="shared" si="4"/>
        <v>#VALUE!</v>
      </c>
      <c r="DY677" s="1383"/>
      <c r="DZ677" s="1383"/>
      <c r="EA677" s="1383"/>
      <c r="EB677" s="1383"/>
      <c r="EC677" s="1383" t="e">
        <f t="shared" si="5"/>
        <v>#VALUE!</v>
      </c>
      <c r="ED677" s="1383"/>
      <c r="EE677" s="1383"/>
      <c r="EF677" s="1383"/>
      <c r="EG677" s="1383"/>
      <c r="EH677" s="1383" t="e">
        <f t="shared" si="6"/>
        <v>#VALUE!</v>
      </c>
      <c r="EI677" s="1383"/>
      <c r="EJ677" s="1383"/>
      <c r="EK677" s="1383"/>
      <c r="EL677" s="1383"/>
      <c r="EM677" s="1383" t="e">
        <f t="shared" si="7"/>
        <v>#VALUE!</v>
      </c>
      <c r="EN677" s="1383"/>
      <c r="EO677" s="1383"/>
      <c r="EP677" s="1383"/>
      <c r="EQ677" s="1383"/>
      <c r="ER677" s="1383" t="e">
        <f t="shared" si="8"/>
        <v>#VALUE!</v>
      </c>
      <c r="ES677" s="1383"/>
      <c r="ET677" s="1383"/>
      <c r="EU677" s="1383"/>
      <c r="EV677" s="1383"/>
      <c r="EW677" s="1383" t="e">
        <f t="shared" si="9"/>
        <v>#VALUE!</v>
      </c>
      <c r="EX677" s="1383"/>
      <c r="EY677" s="1383"/>
      <c r="EZ677" s="1383"/>
      <c r="FA677" s="1383"/>
    </row>
    <row r="678" spans="1:157" ht="13" customHeight="1">
      <c r="A678" s="22"/>
      <c r="B678" t="s">
        <v>17</v>
      </c>
      <c r="G678" s="1401"/>
      <c r="H678" s="1401"/>
      <c r="I678" s="1401"/>
      <c r="J678" s="1401"/>
      <c r="K678" s="1401"/>
      <c r="L678" s="1401"/>
      <c r="M678" s="1401"/>
      <c r="N678" s="1401"/>
      <c r="O678" s="1401"/>
      <c r="P678" s="1401"/>
      <c r="Q678" s="1401"/>
      <c r="R678" s="1401"/>
      <c r="T678" s="22"/>
      <c r="U678" t="s">
        <v>17</v>
      </c>
      <c r="Z678" s="1428"/>
      <c r="AA678" s="1428"/>
      <c r="AB678" s="1428"/>
      <c r="AC678" s="1428"/>
      <c r="AD678" s="1428"/>
      <c r="AE678" s="1428"/>
      <c r="AF678" s="1428"/>
      <c r="AG678" s="1428"/>
      <c r="AH678" s="1428"/>
      <c r="AI678" s="1428"/>
      <c r="AJ678" s="1428"/>
      <c r="AK678" s="1428"/>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83">
        <f>SUMIF(DX643:EB677,"&gt;0")</f>
        <v>0</v>
      </c>
      <c r="DY678" s="1383"/>
      <c r="DZ678" s="1383"/>
      <c r="EA678" s="1383"/>
      <c r="EB678" s="1383"/>
      <c r="EC678" s="1383">
        <f>SUMIF(EC643:EG677,"&gt;0")</f>
        <v>1882.0217391304348</v>
      </c>
      <c r="ED678" s="1383"/>
      <c r="EE678" s="1383"/>
      <c r="EF678" s="1383"/>
      <c r="EG678" s="1383"/>
      <c r="EH678" s="1383">
        <f>SUMIF(EH643:EL677,"&gt;0")</f>
        <v>2018.8571428571431</v>
      </c>
      <c r="EI678" s="1383"/>
      <c r="EJ678" s="1383"/>
      <c r="EK678" s="1383"/>
      <c r="EL678" s="1383"/>
      <c r="EM678" s="1383">
        <f>SUMIF(EM643:EQ677,"&gt;0")</f>
        <v>2208.2142857142858</v>
      </c>
      <c r="EN678" s="1383"/>
      <c r="EO678" s="1383"/>
      <c r="EP678" s="1383"/>
      <c r="EQ678" s="1383"/>
      <c r="ER678" s="1383">
        <f>SUMIF(ER643:EV677,"&gt;0")</f>
        <v>0</v>
      </c>
      <c r="ES678" s="1383"/>
      <c r="ET678" s="1383"/>
      <c r="EU678" s="1383"/>
      <c r="EV678" s="1383"/>
      <c r="EW678" s="1383">
        <f>SUMIF(EW643:FA677,"&gt;0")</f>
        <v>0</v>
      </c>
      <c r="EX678" s="1383"/>
      <c r="EY678" s="1383"/>
      <c r="EZ678" s="1383"/>
      <c r="FA678" s="1383"/>
    </row>
    <row r="679" spans="1:157" ht="13" customHeight="1">
      <c r="A679" s="22"/>
      <c r="B679" t="s">
        <v>315</v>
      </c>
      <c r="G679" s="1478"/>
      <c r="H679" s="1478"/>
      <c r="I679" s="1478"/>
      <c r="J679" s="1478"/>
      <c r="K679" s="1478"/>
      <c r="L679" s="1478"/>
      <c r="O679" s="33" t="s">
        <v>205</v>
      </c>
      <c r="P679" s="1470"/>
      <c r="Q679" s="1470"/>
      <c r="R679" s="1470"/>
      <c r="T679" s="22"/>
      <c r="U679" t="s">
        <v>315</v>
      </c>
      <c r="Z679" s="1478"/>
      <c r="AA679" s="1478"/>
      <c r="AB679" s="1478"/>
      <c r="AC679" s="1478"/>
      <c r="AD679" s="1478"/>
      <c r="AE679" s="1478"/>
      <c r="AH679" s="33" t="s">
        <v>205</v>
      </c>
      <c r="AI679" s="1470"/>
      <c r="AJ679" s="1470"/>
      <c r="AK679" s="1470"/>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 customHeight="1">
      <c r="A680" s="22"/>
      <c r="B680" t="s">
        <v>18</v>
      </c>
      <c r="H680" s="1401"/>
      <c r="I680" s="1401"/>
      <c r="J680" s="1401"/>
      <c r="K680" s="1401"/>
      <c r="L680" s="1401"/>
      <c r="M680" s="1401"/>
      <c r="N680" s="1401"/>
      <c r="O680" s="1401"/>
      <c r="P680" s="1401"/>
      <c r="Q680" s="1401"/>
      <c r="R680" s="1401"/>
      <c r="T680" s="22"/>
      <c r="U680" t="s">
        <v>18</v>
      </c>
      <c r="AA680" s="1401"/>
      <c r="AB680" s="1401"/>
      <c r="AC680" s="1401"/>
      <c r="AD680" s="1401"/>
      <c r="AE680" s="1401"/>
      <c r="AF680" s="1401"/>
      <c r="AG680" s="1401"/>
      <c r="AH680" s="1401"/>
      <c r="AI680" s="1401"/>
      <c r="AJ680" s="1401"/>
      <c r="AK680" s="1401"/>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 customHeight="1">
      <c r="A681" s="22"/>
      <c r="B681" t="s">
        <v>20</v>
      </c>
      <c r="N681" s="1409" t="s">
        <v>668</v>
      </c>
      <c r="O681" s="1409"/>
      <c r="T681" s="22"/>
      <c r="U681" t="s">
        <v>20</v>
      </c>
      <c r="AG681" s="1409" t="s">
        <v>668</v>
      </c>
      <c r="AH681" s="1409"/>
      <c r="AZ681" s="3"/>
    </row>
    <row r="682" spans="1:157" ht="13" customHeight="1">
      <c r="A682" s="22"/>
      <c r="T682" s="22"/>
      <c r="AZ682" s="3"/>
    </row>
    <row r="683" spans="1:157" ht="13" customHeight="1">
      <c r="A683" s="55" t="s">
        <v>460</v>
      </c>
      <c r="B683" t="s">
        <v>462</v>
      </c>
      <c r="G683" s="1479">
        <f>C643</f>
        <v>0</v>
      </c>
      <c r="H683" s="1479"/>
      <c r="I683" s="1479"/>
      <c r="J683" s="1479"/>
      <c r="K683" s="1479"/>
      <c r="L683" s="1479"/>
      <c r="M683" s="1479"/>
      <c r="N683" s="1479"/>
      <c r="O683" s="1479"/>
      <c r="P683" s="1479"/>
      <c r="Q683" s="1479"/>
      <c r="R683" s="1479"/>
      <c r="T683" s="55" t="s">
        <v>645</v>
      </c>
      <c r="U683" t="s">
        <v>462</v>
      </c>
      <c r="Z683" s="1479">
        <f>C644</f>
        <v>0</v>
      </c>
      <c r="AA683" s="1479"/>
      <c r="AB683" s="1479"/>
      <c r="AC683" s="1479"/>
      <c r="AD683" s="1479"/>
      <c r="AE683" s="1479"/>
      <c r="AF683" s="1479"/>
      <c r="AG683" s="1479"/>
      <c r="AH683" s="1479"/>
      <c r="AI683" s="1479"/>
      <c r="AJ683" s="1479"/>
      <c r="AK683" s="1479"/>
      <c r="AZ683" s="3"/>
    </row>
    <row r="684" spans="1:157" ht="13" customHeight="1">
      <c r="A684" s="22"/>
      <c r="B684" t="s">
        <v>85</v>
      </c>
      <c r="G684" s="1401"/>
      <c r="H684" s="1401"/>
      <c r="I684" s="1401"/>
      <c r="J684" s="1401"/>
      <c r="K684" s="1401"/>
      <c r="L684" s="1401"/>
      <c r="M684" s="1401"/>
      <c r="N684" s="1401"/>
      <c r="O684" s="1401"/>
      <c r="P684" s="1401"/>
      <c r="Q684" s="1401"/>
      <c r="R684" s="1401"/>
      <c r="T684" s="22"/>
      <c r="U684" t="s">
        <v>85</v>
      </c>
      <c r="Z684" s="1401"/>
      <c r="AA684" s="1401"/>
      <c r="AB684" s="1401"/>
      <c r="AC684" s="1401"/>
      <c r="AD684" s="1401"/>
      <c r="AE684" s="1401"/>
      <c r="AF684" s="1401"/>
      <c r="AG684" s="1401"/>
      <c r="AH684" s="1401"/>
      <c r="AI684" s="1401"/>
      <c r="AJ684" s="1401"/>
      <c r="AK684" s="1401"/>
      <c r="AZ684" s="3"/>
    </row>
    <row r="685" spans="1:157" ht="13" customHeight="1">
      <c r="A685" s="22"/>
      <c r="B685" t="s">
        <v>579</v>
      </c>
      <c r="G685" s="1401"/>
      <c r="H685" s="1401"/>
      <c r="I685" s="1401"/>
      <c r="J685" s="1401"/>
      <c r="K685" s="1401"/>
      <c r="L685" s="1401"/>
      <c r="M685" s="1401"/>
      <c r="N685" s="1401"/>
      <c r="O685" s="1401"/>
      <c r="P685" s="1401"/>
      <c r="Q685" s="1401"/>
      <c r="R685" s="1401"/>
      <c r="T685" s="22"/>
      <c r="U685" t="s">
        <v>579</v>
      </c>
      <c r="Z685" s="1428"/>
      <c r="AA685" s="1428"/>
      <c r="AB685" s="1428"/>
      <c r="AC685" s="1428"/>
      <c r="AD685" s="1428"/>
      <c r="AE685" s="1428"/>
      <c r="AF685" s="1428"/>
      <c r="AG685" s="1428"/>
      <c r="AH685" s="1428"/>
      <c r="AI685" s="1428"/>
      <c r="AJ685" s="1428"/>
      <c r="AK685" s="1428"/>
      <c r="AZ685" s="3"/>
    </row>
    <row r="686" spans="1:157" ht="13" customHeight="1">
      <c r="A686" s="22"/>
      <c r="B686" t="s">
        <v>17</v>
      </c>
      <c r="G686" s="1401"/>
      <c r="H686" s="1401"/>
      <c r="I686" s="1401"/>
      <c r="J686" s="1401"/>
      <c r="K686" s="1401"/>
      <c r="L686" s="1401"/>
      <c r="M686" s="1401"/>
      <c r="N686" s="1401"/>
      <c r="O686" s="1401"/>
      <c r="P686" s="1401"/>
      <c r="Q686" s="1401"/>
      <c r="R686" s="1401"/>
      <c r="T686" s="22"/>
      <c r="U686" t="s">
        <v>17</v>
      </c>
      <c r="Z686" s="1428"/>
      <c r="AA686" s="1428"/>
      <c r="AB686" s="1428"/>
      <c r="AC686" s="1428"/>
      <c r="AD686" s="1428"/>
      <c r="AE686" s="1428"/>
      <c r="AF686" s="1428"/>
      <c r="AG686" s="1428"/>
      <c r="AH686" s="1428"/>
      <c r="AI686" s="1428"/>
      <c r="AJ686" s="1428"/>
      <c r="AK686" s="1428"/>
      <c r="AZ686" s="3"/>
    </row>
    <row r="687" spans="1:157" ht="13" customHeight="1">
      <c r="A687" s="22"/>
      <c r="B687" t="s">
        <v>315</v>
      </c>
      <c r="G687" s="1478"/>
      <c r="H687" s="1478"/>
      <c r="I687" s="1478"/>
      <c r="J687" s="1478"/>
      <c r="K687" s="1478"/>
      <c r="L687" s="1478"/>
      <c r="O687" s="33" t="s">
        <v>205</v>
      </c>
      <c r="P687" s="1470"/>
      <c r="Q687" s="1470"/>
      <c r="R687" s="1470"/>
      <c r="T687" s="22"/>
      <c r="U687" t="s">
        <v>315</v>
      </c>
      <c r="Z687" s="1478"/>
      <c r="AA687" s="1478"/>
      <c r="AB687" s="1478"/>
      <c r="AC687" s="1478"/>
      <c r="AD687" s="1478"/>
      <c r="AE687" s="1478"/>
      <c r="AH687" s="33" t="s">
        <v>205</v>
      </c>
      <c r="AI687" s="1470"/>
      <c r="AJ687" s="1470"/>
      <c r="AK687" s="1470"/>
      <c r="AZ687" s="3"/>
    </row>
    <row r="688" spans="1:157" ht="13" customHeight="1">
      <c r="A688" s="22"/>
      <c r="B688" t="s">
        <v>18</v>
      </c>
      <c r="H688" s="1401"/>
      <c r="I688" s="1401"/>
      <c r="J688" s="1401"/>
      <c r="K688" s="1401"/>
      <c r="L688" s="1401"/>
      <c r="M688" s="1401"/>
      <c r="N688" s="1401"/>
      <c r="O688" s="1401"/>
      <c r="P688" s="1401"/>
      <c r="Q688" s="1401"/>
      <c r="R688" s="1401"/>
      <c r="T688" s="22"/>
      <c r="U688" t="s">
        <v>18</v>
      </c>
      <c r="AA688" s="1401"/>
      <c r="AB688" s="1401"/>
      <c r="AC688" s="1401"/>
      <c r="AD688" s="1401"/>
      <c r="AE688" s="1401"/>
      <c r="AF688" s="1401"/>
      <c r="AG688" s="1401"/>
      <c r="AH688" s="1401"/>
      <c r="AI688" s="1401"/>
      <c r="AJ688" s="1401"/>
      <c r="AK688" s="1401"/>
      <c r="AZ688" s="3"/>
    </row>
    <row r="689" spans="1:52" ht="13" customHeight="1">
      <c r="A689" s="22"/>
      <c r="B689" t="s">
        <v>20</v>
      </c>
      <c r="N689" s="1409" t="s">
        <v>668</v>
      </c>
      <c r="O689" s="1409"/>
      <c r="T689" s="22"/>
      <c r="U689" t="s">
        <v>20</v>
      </c>
      <c r="AG689" s="1409" t="s">
        <v>668</v>
      </c>
      <c r="AH689" s="1409"/>
      <c r="AZ689" s="3"/>
    </row>
    <row r="690" spans="1:52" ht="13" customHeight="1">
      <c r="A690" s="22"/>
      <c r="T690" s="22"/>
      <c r="AZ690" s="3"/>
    </row>
    <row r="691" spans="1:52" ht="13" customHeight="1">
      <c r="A691" s="55" t="s">
        <v>361</v>
      </c>
      <c r="B691" t="s">
        <v>462</v>
      </c>
      <c r="G691" s="1479">
        <f>C645</f>
        <v>0</v>
      </c>
      <c r="H691" s="1479"/>
      <c r="I691" s="1479"/>
      <c r="J691" s="1479"/>
      <c r="K691" s="1479"/>
      <c r="L691" s="1479"/>
      <c r="M691" s="1479"/>
      <c r="N691" s="1479"/>
      <c r="O691" s="1479"/>
      <c r="P691" s="1479"/>
      <c r="Q691" s="1479"/>
      <c r="R691" s="1479"/>
      <c r="T691" s="55" t="s">
        <v>362</v>
      </c>
      <c r="U691" t="s">
        <v>462</v>
      </c>
      <c r="Z691" s="1479">
        <f>C646</f>
        <v>0</v>
      </c>
      <c r="AA691" s="1479"/>
      <c r="AB691" s="1479"/>
      <c r="AC691" s="1479"/>
      <c r="AD691" s="1479"/>
      <c r="AE691" s="1479"/>
      <c r="AF691" s="1479"/>
      <c r="AG691" s="1479"/>
      <c r="AH691" s="1479"/>
      <c r="AI691" s="1479"/>
      <c r="AJ691" s="1479"/>
      <c r="AK691" s="1479"/>
      <c r="AZ691" s="3"/>
    </row>
    <row r="692" spans="1:52" ht="13" customHeight="1">
      <c r="B692" t="s">
        <v>85</v>
      </c>
      <c r="G692" s="1401"/>
      <c r="H692" s="1401"/>
      <c r="I692" s="1401"/>
      <c r="J692" s="1401"/>
      <c r="K692" s="1401"/>
      <c r="L692" s="1401"/>
      <c r="M692" s="1401"/>
      <c r="N692" s="1401"/>
      <c r="O692" s="1401"/>
      <c r="P692" s="1401"/>
      <c r="Q692" s="1401"/>
      <c r="R692" s="1401"/>
      <c r="T692" s="22"/>
      <c r="U692" t="s">
        <v>85</v>
      </c>
      <c r="Z692" s="1401"/>
      <c r="AA692" s="1401"/>
      <c r="AB692" s="1401"/>
      <c r="AC692" s="1401"/>
      <c r="AD692" s="1401"/>
      <c r="AE692" s="1401"/>
      <c r="AF692" s="1401"/>
      <c r="AG692" s="1401"/>
      <c r="AH692" s="1401"/>
      <c r="AI692" s="1401"/>
      <c r="AJ692" s="1401"/>
      <c r="AK692" s="1401"/>
      <c r="AZ692" s="3"/>
    </row>
    <row r="693" spans="1:52" ht="13" customHeight="1">
      <c r="B693" t="s">
        <v>579</v>
      </c>
      <c r="G693" s="1401"/>
      <c r="H693" s="1401"/>
      <c r="I693" s="1401"/>
      <c r="J693" s="1401"/>
      <c r="K693" s="1401"/>
      <c r="L693" s="1401"/>
      <c r="M693" s="1401"/>
      <c r="N693" s="1401"/>
      <c r="O693" s="1401"/>
      <c r="P693" s="1401"/>
      <c r="Q693" s="1401"/>
      <c r="R693" s="1401"/>
      <c r="U693" t="s">
        <v>579</v>
      </c>
      <c r="Z693" s="1428"/>
      <c r="AA693" s="1428"/>
      <c r="AB693" s="1428"/>
      <c r="AC693" s="1428"/>
      <c r="AD693" s="1428"/>
      <c r="AE693" s="1428"/>
      <c r="AF693" s="1428"/>
      <c r="AG693" s="1428"/>
      <c r="AH693" s="1428"/>
      <c r="AI693" s="1428"/>
      <c r="AJ693" s="1428"/>
      <c r="AK693" s="1428"/>
      <c r="AZ693" s="3"/>
    </row>
    <row r="694" spans="1:52" ht="13" customHeight="1">
      <c r="B694" t="s">
        <v>17</v>
      </c>
      <c r="G694" s="1401"/>
      <c r="H694" s="1401"/>
      <c r="I694" s="1401"/>
      <c r="J694" s="1401"/>
      <c r="K694" s="1401"/>
      <c r="L694" s="1401"/>
      <c r="M694" s="1401"/>
      <c r="N694" s="1401"/>
      <c r="O694" s="1401"/>
      <c r="P694" s="1401"/>
      <c r="Q694" s="1401"/>
      <c r="R694" s="1401"/>
      <c r="U694" t="s">
        <v>17</v>
      </c>
      <c r="Z694" s="1428"/>
      <c r="AA694" s="1428"/>
      <c r="AB694" s="1428"/>
      <c r="AC694" s="1428"/>
      <c r="AD694" s="1428"/>
      <c r="AE694" s="1428"/>
      <c r="AF694" s="1428"/>
      <c r="AG694" s="1428"/>
      <c r="AH694" s="1428"/>
      <c r="AI694" s="1428"/>
      <c r="AJ694" s="1428"/>
      <c r="AK694" s="1428"/>
      <c r="AZ694" s="3"/>
    </row>
    <row r="695" spans="1:52" ht="13" customHeight="1">
      <c r="B695" t="s">
        <v>315</v>
      </c>
      <c r="G695" s="1478"/>
      <c r="H695" s="1478"/>
      <c r="I695" s="1478"/>
      <c r="J695" s="1478"/>
      <c r="K695" s="1478"/>
      <c r="L695" s="1478"/>
      <c r="O695" s="33" t="s">
        <v>205</v>
      </c>
      <c r="P695" s="1470"/>
      <c r="Q695" s="1470"/>
      <c r="R695" s="1470"/>
      <c r="U695" t="s">
        <v>315</v>
      </c>
      <c r="Z695" s="1478"/>
      <c r="AA695" s="1478"/>
      <c r="AB695" s="1478"/>
      <c r="AC695" s="1478"/>
      <c r="AD695" s="1478"/>
      <c r="AE695" s="1478"/>
      <c r="AH695" s="33" t="s">
        <v>205</v>
      </c>
      <c r="AI695" s="1470"/>
      <c r="AJ695" s="1470"/>
      <c r="AK695" s="1470"/>
      <c r="AZ695" s="3"/>
    </row>
    <row r="696" spans="1:52" ht="13" customHeight="1">
      <c r="B696" t="s">
        <v>18</v>
      </c>
      <c r="H696" s="1401"/>
      <c r="I696" s="1401"/>
      <c r="J696" s="1401"/>
      <c r="K696" s="1401"/>
      <c r="L696" s="1401"/>
      <c r="M696" s="1401"/>
      <c r="N696" s="1401"/>
      <c r="O696" s="1401"/>
      <c r="P696" s="1401"/>
      <c r="Q696" s="1401"/>
      <c r="R696" s="1401"/>
      <c r="U696" t="s">
        <v>18</v>
      </c>
      <c r="AA696" s="1401"/>
      <c r="AB696" s="1401"/>
      <c r="AC696" s="1401"/>
      <c r="AD696" s="1401"/>
      <c r="AE696" s="1401"/>
      <c r="AF696" s="1401"/>
      <c r="AG696" s="1401"/>
      <c r="AH696" s="1401"/>
      <c r="AI696" s="1401"/>
      <c r="AJ696" s="1401"/>
      <c r="AK696" s="1401"/>
      <c r="AZ696" s="3"/>
    </row>
    <row r="697" spans="1:52" ht="13" customHeight="1">
      <c r="B697" t="s">
        <v>20</v>
      </c>
      <c r="N697" s="1409" t="s">
        <v>668</v>
      </c>
      <c r="O697" s="1409"/>
      <c r="U697" t="s">
        <v>20</v>
      </c>
      <c r="AG697" s="1409" t="s">
        <v>668</v>
      </c>
      <c r="AH697" s="1409"/>
      <c r="AZ697" s="3"/>
    </row>
    <row r="698" spans="1:52" ht="13" customHeight="1">
      <c r="AZ698" s="3"/>
    </row>
    <row r="699" spans="1:52" ht="13" customHeight="1">
      <c r="A699" s="2" t="s">
        <v>575</v>
      </c>
      <c r="C699" s="2" t="s">
        <v>326</v>
      </c>
      <c r="E699" s="130"/>
      <c r="F699" s="130"/>
      <c r="G699" s="130"/>
      <c r="H699" s="130"/>
      <c r="AZ699" s="3"/>
    </row>
    <row r="700" spans="1:52" ht="13" customHeight="1">
      <c r="B700" s="135"/>
      <c r="C700" s="135"/>
      <c r="D700" s="1030" t="s">
        <v>2609</v>
      </c>
      <c r="E700" s="135"/>
      <c r="F700" s="135"/>
      <c r="G700" s="135"/>
      <c r="H700" s="135"/>
      <c r="AZ700" s="3"/>
    </row>
    <row r="701" spans="1:52" ht="13" customHeight="1">
      <c r="B701" s="135"/>
      <c r="C701" s="135"/>
      <c r="E701" s="136" t="s">
        <v>433</v>
      </c>
      <c r="F701" s="135"/>
      <c r="G701" s="135"/>
      <c r="H701" s="135"/>
      <c r="AE701" s="1409" t="s">
        <v>544</v>
      </c>
      <c r="AF701" s="1409"/>
      <c r="AZ701" s="3"/>
    </row>
    <row r="702" spans="1:52" ht="13" customHeight="1">
      <c r="B702" s="135"/>
      <c r="C702" s="135"/>
      <c r="D702" s="136" t="s">
        <v>436</v>
      </c>
      <c r="E702" s="135"/>
      <c r="F702" s="135"/>
      <c r="G702" s="135"/>
      <c r="H702" s="135"/>
      <c r="AE702" s="1409" t="s">
        <v>668</v>
      </c>
      <c r="AF702" s="1409"/>
      <c r="AZ702" s="3"/>
    </row>
    <row r="703" spans="1:52" ht="13" customHeight="1">
      <c r="B703" s="135"/>
      <c r="C703" s="135"/>
      <c r="D703" s="136" t="s">
        <v>919</v>
      </c>
      <c r="E703" s="135"/>
      <c r="F703" s="135"/>
      <c r="G703" s="135"/>
      <c r="H703" s="135"/>
      <c r="AE703" s="1549">
        <v>46056</v>
      </c>
      <c r="AF703" s="1549"/>
      <c r="AG703" s="1549"/>
      <c r="AH703" s="1549"/>
      <c r="AI703" s="1549"/>
    </row>
    <row r="704" spans="1:52" ht="13" customHeight="1">
      <c r="B704" s="135"/>
      <c r="C704" s="135"/>
      <c r="D704" s="317" t="s">
        <v>981</v>
      </c>
      <c r="E704" s="135"/>
      <c r="F704" s="135"/>
      <c r="G704" s="135"/>
      <c r="H704" s="135"/>
      <c r="AE704" s="1662">
        <v>46154</v>
      </c>
      <c r="AF704" s="1662"/>
      <c r="AG704" s="1662"/>
      <c r="AH704" s="1662"/>
      <c r="AI704" s="1662"/>
    </row>
    <row r="705" spans="1:110" ht="13" customHeight="1">
      <c r="B705" s="135"/>
      <c r="C705" s="135"/>
    </row>
    <row r="706" spans="1:110" ht="13" customHeight="1">
      <c r="B706" s="135"/>
      <c r="C706" s="135"/>
      <c r="D706" s="136" t="s">
        <v>815</v>
      </c>
      <c r="E706" s="135"/>
      <c r="F706" s="135"/>
      <c r="G706" s="135"/>
      <c r="H706" s="135"/>
      <c r="AE706" s="1549">
        <v>46296</v>
      </c>
      <c r="AF706" s="1549"/>
      <c r="AG706" s="1549"/>
      <c r="AH706" s="1549"/>
      <c r="AI706" s="1549"/>
    </row>
    <row r="707" spans="1:110" ht="13" customHeight="1">
      <c r="B707" s="135"/>
      <c r="C707" s="135"/>
      <c r="D707" s="136" t="s">
        <v>434</v>
      </c>
      <c r="E707" s="135"/>
      <c r="F707" s="135"/>
      <c r="G707" s="135"/>
      <c r="H707" s="135"/>
      <c r="AE707" s="1843">
        <v>0.27500000000000002</v>
      </c>
      <c r="AF707" s="1843"/>
      <c r="AG707" s="1843"/>
      <c r="AH707" s="1843"/>
      <c r="AI707" s="1843"/>
    </row>
    <row r="708" spans="1:110" ht="13" customHeight="1">
      <c r="B708" s="135"/>
      <c r="C708" s="135"/>
      <c r="D708" s="136" t="s">
        <v>435</v>
      </c>
      <c r="E708" s="135"/>
      <c r="F708" s="135"/>
      <c r="G708" s="135"/>
      <c r="H708" s="135"/>
      <c r="W708" s="1479" t="str">
        <f>H344</f>
        <v xml:space="preserve">California Municipal Finance Authority </v>
      </c>
      <c r="X708" s="1479"/>
      <c r="Y708" s="1479"/>
      <c r="Z708" s="1479"/>
      <c r="AA708" s="1479"/>
      <c r="AB708" s="1479"/>
      <c r="AC708" s="1479"/>
      <c r="AD708" s="1479"/>
      <c r="AE708" s="1479"/>
      <c r="AF708" s="1479"/>
      <c r="AG708" s="1479"/>
      <c r="AH708" s="1479"/>
      <c r="AI708" s="1479"/>
      <c r="AJ708" s="1479"/>
      <c r="AK708" s="1479"/>
    </row>
    <row r="709" spans="1:110" ht="13" customHeight="1">
      <c r="B709" s="135"/>
      <c r="C709" s="135"/>
      <c r="D709" s="136"/>
      <c r="E709" s="135"/>
      <c r="F709" s="135"/>
      <c r="G709" s="135"/>
      <c r="H709" s="135"/>
    </row>
    <row r="710" spans="1:110" ht="13" customHeight="1">
      <c r="B710" s="135"/>
      <c r="C710" s="135"/>
      <c r="D710" s="136" t="s">
        <v>437</v>
      </c>
      <c r="E710" s="135"/>
      <c r="F710" s="135"/>
      <c r="G710" s="135"/>
      <c r="H710" s="135"/>
      <c r="AE710" s="1409" t="s">
        <v>668</v>
      </c>
      <c r="AF710" s="1409"/>
    </row>
    <row r="711" spans="1:110" ht="13" customHeight="1">
      <c r="B711" s="135"/>
      <c r="C711" s="135"/>
      <c r="D711" s="136" t="s">
        <v>441</v>
      </c>
      <c r="E711" s="135"/>
      <c r="F711" s="135"/>
      <c r="G711" s="135"/>
      <c r="H711" s="135"/>
      <c r="W711" s="1401" t="s">
        <v>590</v>
      </c>
      <c r="X711" s="1401"/>
      <c r="Y711" s="1401"/>
      <c r="Z711" s="1401"/>
      <c r="AA711" s="1401"/>
      <c r="AB711" s="1401"/>
      <c r="AC711" s="1401"/>
      <c r="AD711" s="1401"/>
      <c r="AE711" s="1401"/>
      <c r="AF711" s="1401"/>
      <c r="AG711" s="1401"/>
      <c r="AH711" s="1401"/>
      <c r="AI711" s="1401"/>
      <c r="AJ711" s="1401"/>
      <c r="AK711" s="1401"/>
    </row>
    <row r="712" spans="1:110" ht="13" customHeight="1">
      <c r="B712" s="135"/>
      <c r="C712" s="135"/>
      <c r="D712" s="136" t="s">
        <v>87</v>
      </c>
      <c r="E712" s="135"/>
      <c r="F712" s="135"/>
      <c r="G712" s="135"/>
      <c r="H712" s="135"/>
      <c r="J712" s="1401"/>
      <c r="K712" s="1401"/>
      <c r="L712" s="1401"/>
      <c r="M712" s="1401"/>
      <c r="N712" s="1401"/>
      <c r="O712" s="1401"/>
      <c r="P712" s="1401"/>
      <c r="Q712" s="1401"/>
      <c r="R712" s="1401"/>
      <c r="S712" s="1401"/>
      <c r="T712" s="1401"/>
      <c r="U712" s="1401"/>
      <c r="V712" s="1401"/>
      <c r="W712" s="1401"/>
      <c r="X712" s="1401"/>
      <c r="BB712" s="34"/>
      <c r="BC712" s="34"/>
      <c r="BD712" s="34"/>
      <c r="BE712" s="3"/>
      <c r="BF712" s="3"/>
      <c r="BJ712" s="3"/>
      <c r="BK712" s="3"/>
      <c r="BL712" s="3"/>
      <c r="BM712" s="3"/>
      <c r="BN712" s="34"/>
      <c r="BO712" s="34"/>
    </row>
    <row r="713" spans="1:110" ht="13" customHeight="1">
      <c r="B713" s="135"/>
      <c r="C713" s="135"/>
      <c r="D713" s="136" t="s">
        <v>88</v>
      </c>
      <c r="J713" s="1478"/>
      <c r="K713" s="1478"/>
      <c r="L713" s="1478"/>
      <c r="M713" s="1478"/>
      <c r="N713" s="1478"/>
      <c r="O713" s="1478"/>
      <c r="P713" s="4" t="s">
        <v>205</v>
      </c>
      <c r="Q713" s="4"/>
      <c r="R713" s="1470"/>
      <c r="S713" s="1470"/>
      <c r="T713" s="1470"/>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5"/>
      <c r="C714" s="135"/>
      <c r="D714" s="136" t="s">
        <v>442</v>
      </c>
      <c r="W714" s="1401" t="s">
        <v>306</v>
      </c>
      <c r="X714" s="1401"/>
      <c r="Y714" s="1401"/>
      <c r="Z714" s="1401"/>
      <c r="AA714" s="1401"/>
      <c r="AB714" s="1401"/>
      <c r="AC714" s="1401"/>
      <c r="AD714" s="1401"/>
      <c r="AE714" s="1401"/>
      <c r="AF714" s="1401"/>
      <c r="AG714" s="1401"/>
      <c r="AH714" s="1401"/>
      <c r="AI714" s="1401"/>
      <c r="AJ714" s="1401"/>
      <c r="AK714" s="1401"/>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5"/>
      <c r="C715" s="135"/>
      <c r="D715" s="136"/>
      <c r="E715" s="1401" t="s">
        <v>333</v>
      </c>
      <c r="F715" s="1401"/>
      <c r="G715" s="1401"/>
      <c r="H715" s="1401"/>
      <c r="I715" s="1401"/>
      <c r="J715" s="1401"/>
      <c r="K715" s="1401"/>
      <c r="L715" s="1401"/>
      <c r="M715" s="1401"/>
      <c r="N715" s="1401"/>
      <c r="O715" s="1401"/>
      <c r="P715" s="1401"/>
      <c r="Q715" s="1401"/>
      <c r="R715" s="1401"/>
      <c r="S715" s="1401"/>
      <c r="T715" s="1401"/>
      <c r="U715" s="1401"/>
      <c r="V715" s="1401"/>
      <c r="W715" s="1401"/>
      <c r="X715" s="1401"/>
      <c r="Y715" s="1401"/>
      <c r="Z715" s="1401"/>
      <c r="AA715" s="1401"/>
      <c r="AB715" s="1401"/>
      <c r="AC715" s="1401"/>
      <c r="AD715" s="1401"/>
      <c r="AE715" s="1401"/>
      <c r="AF715" s="1401"/>
      <c r="AG715" s="1401"/>
      <c r="AH715" s="1401"/>
      <c r="AI715" s="1401"/>
      <c r="AJ715" s="1401"/>
      <c r="AK715" s="1401"/>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1276" t="s">
        <v>95</v>
      </c>
      <c r="B717" s="1276"/>
      <c r="C717" s="1276"/>
      <c r="D717" s="1276"/>
      <c r="E717" s="1276"/>
      <c r="F717" s="1276"/>
      <c r="G717" s="1276"/>
      <c r="H717" s="1276"/>
      <c r="I717" s="1276"/>
      <c r="J717" s="1276"/>
      <c r="K717" s="1276"/>
      <c r="L717" s="1276"/>
      <c r="M717" s="1276"/>
      <c r="N717" s="1276"/>
      <c r="O717" s="1276"/>
      <c r="P717" s="1276"/>
      <c r="Q717" s="1276"/>
      <c r="R717" s="1276"/>
      <c r="S717" s="1276"/>
      <c r="T717" s="1276"/>
      <c r="U717" s="1276"/>
      <c r="V717" s="1276"/>
      <c r="W717" s="1276"/>
      <c r="X717" s="1276"/>
      <c r="Y717" s="1276"/>
      <c r="Z717" s="1276"/>
      <c r="AA717" s="1276"/>
      <c r="AB717" s="1276"/>
      <c r="AC717" s="1276"/>
      <c r="AD717" s="1276"/>
      <c r="AE717" s="1276"/>
      <c r="AF717" s="1276"/>
      <c r="AG717" s="1276"/>
      <c r="AH717" s="1276"/>
      <c r="AI717" s="1276"/>
      <c r="AJ717" s="1276"/>
      <c r="AK717" s="1276"/>
      <c r="AL717" s="1276"/>
      <c r="AM717" s="1276"/>
      <c r="AN717" s="1276"/>
      <c r="AO717" s="1276"/>
      <c r="AP717" s="1276"/>
      <c r="AQ717" s="1276"/>
      <c r="AR717" s="1276"/>
      <c r="AS717" s="1276"/>
      <c r="AT717" s="1276"/>
      <c r="AZ717" s="4" t="s">
        <v>323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1276"/>
      <c r="B718" s="1276"/>
      <c r="C718" s="1276"/>
      <c r="D718" s="1276"/>
      <c r="E718" s="1276"/>
      <c r="F718" s="1276"/>
      <c r="G718" s="1276"/>
      <c r="H718" s="1276"/>
      <c r="I718" s="1276"/>
      <c r="J718" s="1276"/>
      <c r="K718" s="1276"/>
      <c r="L718" s="1276"/>
      <c r="M718" s="1276"/>
      <c r="N718" s="1276"/>
      <c r="O718" s="1276"/>
      <c r="P718" s="1276"/>
      <c r="Q718" s="1276"/>
      <c r="R718" s="1276"/>
      <c r="S718" s="1276"/>
      <c r="T718" s="1276"/>
      <c r="U718" s="1276"/>
      <c r="V718" s="1276"/>
      <c r="W718" s="1276"/>
      <c r="X718" s="1276"/>
      <c r="Y718" s="1276"/>
      <c r="Z718" s="1276"/>
      <c r="AA718" s="1276"/>
      <c r="AB718" s="1276"/>
      <c r="AC718" s="1276"/>
      <c r="AD718" s="1276"/>
      <c r="AE718" s="1276"/>
      <c r="AF718" s="1276"/>
      <c r="AG718" s="1276"/>
      <c r="AH718" s="1276"/>
      <c r="AI718" s="1276"/>
      <c r="AJ718" s="1276"/>
      <c r="AK718" s="1276"/>
      <c r="AL718" s="1276"/>
      <c r="AM718" s="1276"/>
      <c r="AN718" s="1276"/>
      <c r="AO718" s="1276"/>
      <c r="AP718" s="1276"/>
      <c r="AQ718" s="1276"/>
      <c r="AR718" s="1276"/>
      <c r="AS718" s="1276"/>
      <c r="AT718" s="1276"/>
      <c r="AZ718" s="4" t="s">
        <v>324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1276"/>
      <c r="B719" s="1276"/>
      <c r="C719" s="1276"/>
      <c r="D719" s="1276"/>
      <c r="E719" s="1276"/>
      <c r="F719" s="1276"/>
      <c r="G719" s="1276"/>
      <c r="H719" s="1276"/>
      <c r="I719" s="1276"/>
      <c r="J719" s="1276"/>
      <c r="K719" s="1276"/>
      <c r="L719" s="1276"/>
      <c r="M719" s="1276"/>
      <c r="N719" s="1276"/>
      <c r="O719" s="1276"/>
      <c r="P719" s="1276"/>
      <c r="Q719" s="1276"/>
      <c r="R719" s="1276"/>
      <c r="S719" s="1276"/>
      <c r="T719" s="1276"/>
      <c r="U719" s="1276"/>
      <c r="V719" s="1276"/>
      <c r="W719" s="1276"/>
      <c r="X719" s="1276"/>
      <c r="Y719" s="1276"/>
      <c r="Z719" s="1276"/>
      <c r="AA719" s="1276"/>
      <c r="AB719" s="1276"/>
      <c r="AC719" s="1276"/>
      <c r="AD719" s="1276"/>
      <c r="AE719" s="1276"/>
      <c r="AF719" s="1276"/>
      <c r="AG719" s="1276"/>
      <c r="AH719" s="1276"/>
      <c r="AI719" s="1276"/>
      <c r="AJ719" s="1276"/>
      <c r="AK719" s="1276"/>
      <c r="AL719" s="1276"/>
      <c r="AM719" s="1276"/>
      <c r="AN719" s="1276"/>
      <c r="AO719" s="1276"/>
      <c r="AP719" s="1276"/>
      <c r="AQ719" s="1276"/>
      <c r="AR719" s="1276"/>
      <c r="AS719" s="1276"/>
      <c r="AT719" s="1276"/>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2" t="s">
        <v>318</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 customHeight="1">
      <c r="B722" s="1598" t="s">
        <v>388</v>
      </c>
      <c r="C722" s="1499"/>
      <c r="D722" s="1499"/>
      <c r="E722" s="1499"/>
      <c r="F722" s="1500"/>
      <c r="G722" s="1598" t="s">
        <v>284</v>
      </c>
      <c r="H722" s="1499"/>
      <c r="I722" s="1499"/>
      <c r="J722" s="1500"/>
      <c r="K722" s="1513" t="s">
        <v>1666</v>
      </c>
      <c r="L722" s="1514"/>
      <c r="M722" s="1514"/>
      <c r="N722" s="1515"/>
      <c r="O722" s="1598" t="s">
        <v>446</v>
      </c>
      <c r="P722" s="1499"/>
      <c r="Q722" s="1499"/>
      <c r="R722" s="1499"/>
      <c r="S722" s="1500"/>
      <c r="T722" s="1498" t="s">
        <v>1921</v>
      </c>
      <c r="U722" s="1499"/>
      <c r="V722" s="1499"/>
      <c r="W722" s="1500"/>
      <c r="X722" s="1498" t="s">
        <v>1923</v>
      </c>
      <c r="Y722" s="1499"/>
      <c r="Z722" s="1499"/>
      <c r="AA722" s="1499"/>
      <c r="AB722" s="1500"/>
      <c r="AC722" s="1498" t="s">
        <v>1922</v>
      </c>
      <c r="AD722" s="1499"/>
      <c r="AE722" s="1499"/>
      <c r="AF722" s="1499"/>
      <c r="AG722" s="1500"/>
      <c r="AH722" s="1498" t="s">
        <v>1924</v>
      </c>
      <c r="AI722" s="1499"/>
      <c r="AJ722" s="1500"/>
      <c r="AK722" s="1498" t="s">
        <v>1951</v>
      </c>
      <c r="AL722" s="1499"/>
      <c r="AM722" s="1499"/>
      <c r="AN722" s="1499"/>
      <c r="AO722" s="1500"/>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 customHeight="1">
      <c r="B723" s="1501"/>
      <c r="C723" s="1502"/>
      <c r="D723" s="1502"/>
      <c r="E723" s="1502"/>
      <c r="F723" s="1503"/>
      <c r="G723" s="1501"/>
      <c r="H723" s="1502"/>
      <c r="I723" s="1502"/>
      <c r="J723" s="1503"/>
      <c r="K723" s="1516"/>
      <c r="L723" s="1517"/>
      <c r="M723" s="1517"/>
      <c r="N723" s="1518"/>
      <c r="O723" s="1501"/>
      <c r="P723" s="1502"/>
      <c r="Q723" s="1502"/>
      <c r="R723" s="1502"/>
      <c r="S723" s="1503"/>
      <c r="T723" s="1501"/>
      <c r="U723" s="1502"/>
      <c r="V723" s="1502"/>
      <c r="W723" s="1503"/>
      <c r="X723" s="1501"/>
      <c r="Y723" s="1502"/>
      <c r="Z723" s="1502"/>
      <c r="AA723" s="1502"/>
      <c r="AB723" s="1503"/>
      <c r="AC723" s="1501"/>
      <c r="AD723" s="1502"/>
      <c r="AE723" s="1502"/>
      <c r="AF723" s="1502"/>
      <c r="AG723" s="1503"/>
      <c r="AH723" s="1501"/>
      <c r="AI723" s="1502"/>
      <c r="AJ723" s="1503"/>
      <c r="AK723" s="1501"/>
      <c r="AL723" s="1502"/>
      <c r="AM723" s="1502"/>
      <c r="AN723" s="1502"/>
      <c r="AO723" s="1503"/>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 customHeight="1">
      <c r="A724" s="4"/>
      <c r="B724" s="1501"/>
      <c r="C724" s="1502"/>
      <c r="D724" s="1502"/>
      <c r="E724" s="1502"/>
      <c r="F724" s="1503"/>
      <c r="G724" s="1501"/>
      <c r="H724" s="1502"/>
      <c r="I724" s="1502"/>
      <c r="J724" s="1503"/>
      <c r="K724" s="1516"/>
      <c r="L724" s="1517"/>
      <c r="M724" s="1517"/>
      <c r="N724" s="1518"/>
      <c r="O724" s="1501"/>
      <c r="P724" s="1502"/>
      <c r="Q724" s="1502"/>
      <c r="R724" s="1502"/>
      <c r="S724" s="1503"/>
      <c r="T724" s="1501"/>
      <c r="U724" s="1502"/>
      <c r="V724" s="1502"/>
      <c r="W724" s="1503"/>
      <c r="X724" s="1501"/>
      <c r="Y724" s="1502"/>
      <c r="Z724" s="1502"/>
      <c r="AA724" s="1502"/>
      <c r="AB724" s="1503"/>
      <c r="AC724" s="1501"/>
      <c r="AD724" s="1502"/>
      <c r="AE724" s="1502"/>
      <c r="AF724" s="1502"/>
      <c r="AG724" s="1503"/>
      <c r="AH724" s="1501"/>
      <c r="AI724" s="1502"/>
      <c r="AJ724" s="1503"/>
      <c r="AK724" s="1501"/>
      <c r="AL724" s="1502"/>
      <c r="AM724" s="1502"/>
      <c r="AN724" s="1502"/>
      <c r="AO724" s="1503"/>
      <c r="AP724" s="3"/>
      <c r="AQ724" s="3"/>
      <c r="AR724" s="3"/>
      <c r="AS724" s="3"/>
      <c r="BA724" s="3"/>
      <c r="BB724" s="3"/>
      <c r="BC724" s="3"/>
      <c r="BD724" s="3"/>
      <c r="BE724" s="204"/>
      <c r="BF724" s="205" t="s">
        <v>894</v>
      </c>
      <c r="BG724" s="204"/>
      <c r="BH724" s="204"/>
      <c r="BI724" s="3"/>
      <c r="BJ724" s="3"/>
      <c r="BK724" s="3"/>
      <c r="BL724" s="3"/>
      <c r="BM724" s="3"/>
      <c r="BN724" s="3"/>
      <c r="BS724" s="205" t="s">
        <v>1615</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359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1818</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 customHeight="1">
      <c r="A725" s="4"/>
      <c r="B725" s="1504"/>
      <c r="C725" s="1505"/>
      <c r="D725" s="1505"/>
      <c r="E725" s="1505"/>
      <c r="F725" s="1506"/>
      <c r="G725" s="1504"/>
      <c r="H725" s="1505"/>
      <c r="I725" s="1505"/>
      <c r="J725" s="1506"/>
      <c r="K725" s="1516"/>
      <c r="L725" s="1517"/>
      <c r="M725" s="1517"/>
      <c r="N725" s="1518"/>
      <c r="O725" s="1504"/>
      <c r="P725" s="1505"/>
      <c r="Q725" s="1505"/>
      <c r="R725" s="1505"/>
      <c r="S725" s="1506"/>
      <c r="T725" s="1504"/>
      <c r="U725" s="1505"/>
      <c r="V725" s="1505"/>
      <c r="W725" s="1506"/>
      <c r="X725" s="1504"/>
      <c r="Y725" s="1505"/>
      <c r="Z725" s="1505"/>
      <c r="AA725" s="1505"/>
      <c r="AB725" s="1506"/>
      <c r="AC725" s="1504"/>
      <c r="AD725" s="1505"/>
      <c r="AE725" s="1505"/>
      <c r="AF725" s="1505"/>
      <c r="AG725" s="1506"/>
      <c r="AH725" s="1504"/>
      <c r="AI725" s="1505"/>
      <c r="AJ725" s="1506"/>
      <c r="AK725" s="1504"/>
      <c r="AL725" s="1505"/>
      <c r="AM725" s="1505"/>
      <c r="AN725" s="1505"/>
      <c r="AO725" s="1506"/>
      <c r="AP725" s="3"/>
      <c r="AQ725" s="3"/>
      <c r="AR725" s="3"/>
      <c r="AS725" s="3"/>
      <c r="AZ725" s="166" t="s">
        <v>648</v>
      </c>
      <c r="BA725" s="3"/>
      <c r="BB725" s="3"/>
      <c r="BC725" s="3"/>
      <c r="BD725" s="3"/>
      <c r="BE725" s="204"/>
      <c r="BF725" s="291" t="s">
        <v>895</v>
      </c>
      <c r="BG725" s="296" t="s">
        <v>896</v>
      </c>
      <c r="BH725" s="295" t="s">
        <v>897</v>
      </c>
      <c r="BI725" s="3"/>
      <c r="BJ725" s="3"/>
      <c r="BK725" s="3"/>
      <c r="BL725" s="3"/>
      <c r="BM725" s="3"/>
      <c r="BN725" s="3"/>
      <c r="BS725" s="291" t="s">
        <v>895</v>
      </c>
      <c r="BT725" s="296" t="s">
        <v>896</v>
      </c>
      <c r="BU725" s="295" t="s">
        <v>897</v>
      </c>
      <c r="CC725" s="3"/>
      <c r="CD725" s="3"/>
      <c r="CE725" s="3"/>
      <c r="CF725" s="3"/>
      <c r="CG725" s="121" t="s">
        <v>473</v>
      </c>
      <c r="CH725" s="122"/>
      <c r="CI725" s="1342"/>
      <c r="CJ725" s="1344"/>
      <c r="CK725" s="121" t="s">
        <v>474</v>
      </c>
      <c r="CL725" s="122"/>
      <c r="CM725" s="1342"/>
      <c r="CN725" s="1344"/>
      <c r="CO725" s="3"/>
      <c r="CP725" s="1675" t="s">
        <v>632</v>
      </c>
      <c r="CQ725" s="1676"/>
      <c r="CR725" s="1676"/>
      <c r="CS725" s="1676"/>
      <c r="CT725" s="1677"/>
      <c r="CU725" s="1480" t="s">
        <v>324</v>
      </c>
      <c r="CV725" s="1480"/>
      <c r="CW725" s="1480"/>
      <c r="CX725" s="1480"/>
      <c r="CY725" s="1480"/>
      <c r="CZ725" s="1480" t="s">
        <v>163</v>
      </c>
      <c r="DA725" s="1480"/>
      <c r="DB725" s="1480"/>
      <c r="DC725" s="1480"/>
      <c r="DD725" s="1480"/>
      <c r="DE725" s="1480" t="s">
        <v>164</v>
      </c>
      <c r="DF725" s="1480"/>
      <c r="DG725" s="1480"/>
      <c r="DH725" s="1480"/>
      <c r="DI725" s="1480"/>
      <c r="DJ725" s="1480" t="s">
        <v>459</v>
      </c>
      <c r="DK725" s="1480"/>
      <c r="DL725" s="1480"/>
      <c r="DM725" s="1480"/>
      <c r="DN725" s="1480"/>
      <c r="DO725" s="1480" t="s">
        <v>30</v>
      </c>
      <c r="DP725" s="1480"/>
      <c r="DQ725" s="1480"/>
      <c r="DR725" s="1480"/>
      <c r="DS725" s="1480"/>
      <c r="DT725" s="89"/>
      <c r="DU725" s="1480" t="s">
        <v>632</v>
      </c>
      <c r="DV725" s="1480"/>
      <c r="DW725" s="1480"/>
      <c r="DX725" s="1480"/>
      <c r="DY725" s="1480"/>
      <c r="DZ725" s="1480" t="s">
        <v>324</v>
      </c>
      <c r="EA725" s="1480"/>
      <c r="EB725" s="1480"/>
      <c r="EC725" s="1480"/>
      <c r="ED725" s="1480"/>
      <c r="EE725" s="1480" t="s">
        <v>163</v>
      </c>
      <c r="EF725" s="1480"/>
      <c r="EG725" s="1480"/>
      <c r="EH725" s="1480"/>
      <c r="EI725" s="1480"/>
      <c r="EJ725" s="1480" t="s">
        <v>164</v>
      </c>
      <c r="EK725" s="1480"/>
      <c r="EL725" s="1480"/>
      <c r="EM725" s="1480"/>
      <c r="EN725" s="1480"/>
      <c r="EO725" s="1480" t="s">
        <v>459</v>
      </c>
      <c r="EP725" s="1480"/>
      <c r="EQ725" s="1480"/>
      <c r="ER725" s="1480"/>
      <c r="ES725" s="1480"/>
      <c r="ET725" s="1480" t="s">
        <v>30</v>
      </c>
      <c r="EU725" s="1480"/>
      <c r="EV725" s="1480"/>
      <c r="EW725" s="1480"/>
      <c r="EX725" s="1480"/>
      <c r="EY725" s="4"/>
      <c r="EZ725" s="1480" t="s">
        <v>632</v>
      </c>
      <c r="FA725" s="1480"/>
      <c r="FB725" s="1480"/>
      <c r="FC725" s="1480"/>
      <c r="FD725" s="1480"/>
      <c r="FE725" s="1480" t="s">
        <v>324</v>
      </c>
      <c r="FF725" s="1480"/>
      <c r="FG725" s="1480"/>
      <c r="FH725" s="1480"/>
      <c r="FI725" s="1480"/>
      <c r="FJ725" s="1480" t="s">
        <v>163</v>
      </c>
      <c r="FK725" s="1480"/>
      <c r="FL725" s="1480"/>
      <c r="FM725" s="1480"/>
      <c r="FN725" s="1480"/>
      <c r="FO725" s="1480" t="s">
        <v>164</v>
      </c>
      <c r="FP725" s="1480"/>
      <c r="FQ725" s="1480"/>
      <c r="FR725" s="1480"/>
      <c r="FS725" s="1480"/>
      <c r="FT725" s="1480" t="s">
        <v>459</v>
      </c>
      <c r="FU725" s="1480"/>
      <c r="FV725" s="1480"/>
      <c r="FW725" s="1480"/>
      <c r="FX725" s="1480"/>
      <c r="FY725" s="1480" t="s">
        <v>30</v>
      </c>
      <c r="FZ725" s="1480"/>
      <c r="GA725" s="1480"/>
      <c r="GB725" s="1480"/>
      <c r="GC725" s="1480"/>
    </row>
    <row r="726" spans="1:185" ht="13" customHeight="1">
      <c r="A726" s="4"/>
      <c r="B726" s="1362" t="s">
        <v>324</v>
      </c>
      <c r="C726" s="1363"/>
      <c r="D726" s="1363"/>
      <c r="E726" s="1363"/>
      <c r="F726" s="1364"/>
      <c r="G726" s="1371">
        <v>5</v>
      </c>
      <c r="H726" s="1372"/>
      <c r="I726" s="1372"/>
      <c r="J726" s="1373"/>
      <c r="K726" s="1599">
        <v>666</v>
      </c>
      <c r="L726" s="1600"/>
      <c r="M726" s="1600"/>
      <c r="N726" s="1601"/>
      <c r="O726" s="1378">
        <v>859</v>
      </c>
      <c r="P726" s="1379"/>
      <c r="Q726" s="1379"/>
      <c r="R726" s="1379"/>
      <c r="S726" s="1380"/>
      <c r="T726" s="1378">
        <v>40</v>
      </c>
      <c r="U726" s="1379"/>
      <c r="V726" s="1379"/>
      <c r="W726" s="1380"/>
      <c r="X726" s="1365">
        <f t="shared" ref="X726:X749" si="10">O726+T726</f>
        <v>899</v>
      </c>
      <c r="Y726" s="1366"/>
      <c r="Z726" s="1366"/>
      <c r="AA726" s="1366"/>
      <c r="AB726" s="1367"/>
      <c r="AC726" s="1375">
        <v>0.3</v>
      </c>
      <c r="AD726" s="1376"/>
      <c r="AE726" s="1376"/>
      <c r="AF726" s="1376"/>
      <c r="AG726" s="1377"/>
      <c r="AH726" s="1368">
        <f>IF($AC726&gt;0,($X726/$AZ726), "")</f>
        <v>0.3000667556742323</v>
      </c>
      <c r="AI726" s="1369"/>
      <c r="AJ726" s="1370"/>
      <c r="AK726" s="1362" t="s">
        <v>590</v>
      </c>
      <c r="AL726" s="1363"/>
      <c r="AM726" s="1363"/>
      <c r="AN726" s="1363"/>
      <c r="AO726" s="1364"/>
      <c r="AP726" s="3"/>
      <c r="AQ726" s="3"/>
      <c r="AR726" s="3"/>
      <c r="AS726" s="3"/>
      <c r="AZ726" s="118">
        <f t="shared" ref="AZ726:AZ760" si="11">IF($G726=0,"N/A",VLOOKUP($T$189,TC_Rent,(MATCH($B726,bedrooms,FALSE)),FALSE))</f>
        <v>2996</v>
      </c>
      <c r="BA726" s="3"/>
      <c r="BB726" s="3"/>
      <c r="BC726" s="3"/>
      <c r="BD726" s="3"/>
      <c r="BE726" s="204"/>
      <c r="BF726" s="293">
        <f t="shared" ref="BF726:BF760" si="12">G726</f>
        <v>5</v>
      </c>
      <c r="BG726" s="297">
        <f t="shared" ref="BG726:BG760" si="13">IF($BF$761=0,0,BF726/$BF$761)</f>
        <v>3.8461538461538464E-2</v>
      </c>
      <c r="BH726" s="298">
        <f t="shared" ref="BH726:BH760" si="14">IF(BG726=0,"",BG726*AC726)</f>
        <v>1.1538461538461539E-2</v>
      </c>
      <c r="BI726" s="3"/>
      <c r="BJ726" s="3"/>
      <c r="BK726" s="3"/>
      <c r="BL726" s="3"/>
      <c r="BM726" s="3"/>
      <c r="BN726" s="3"/>
      <c r="BS726" s="293">
        <f t="shared" ref="BS726:BS760" si="15">G726</f>
        <v>5</v>
      </c>
      <c r="BT726" s="297">
        <f t="shared" ref="BT726:BT760" si="16">IF($BS$761=0,0,BS726/$BS$761)</f>
        <v>3.8461538461538464E-2</v>
      </c>
      <c r="BU726" s="298">
        <f t="shared" ref="BU726:BU760" si="17">IF(BT726=0,"",BT726*AH726)</f>
        <v>1.1541029064393551E-2</v>
      </c>
      <c r="CC726" s="3"/>
      <c r="CD726" s="3"/>
      <c r="CE726" s="3"/>
      <c r="CF726" s="3"/>
      <c r="CG726" s="1358">
        <f>IF(AND(AC726&lt;=0.5,AC726&gt;=0.36),1,0)</f>
        <v>0</v>
      </c>
      <c r="CH726" s="1360"/>
      <c r="CI726" s="1342">
        <f>IF(CG726=1,G726,0)</f>
        <v>0</v>
      </c>
      <c r="CJ726" s="1344"/>
      <c r="CK726" s="1358">
        <f t="shared" ref="CK726:CK760" si="18">IF(AND(AC726&lt;=0.35,AC726&gt;0),1,0)</f>
        <v>1</v>
      </c>
      <c r="CL726" s="1360"/>
      <c r="CM726" s="1342">
        <f t="shared" ref="CM726:CM760" si="19">IF(CK726=1,G726,0)</f>
        <v>5</v>
      </c>
      <c r="CN726" s="1344"/>
      <c r="CO726" s="3"/>
      <c r="CP726" s="1339">
        <f t="shared" ref="CP726:CP760" si="20">IF(B726="SRO/Studio",G726,0)</f>
        <v>0</v>
      </c>
      <c r="CQ726" s="1340"/>
      <c r="CR726" s="1340"/>
      <c r="CS726" s="1340"/>
      <c r="CT726" s="1341"/>
      <c r="CU726" s="1361">
        <f t="shared" ref="CU726:CU760" si="21">IF(B726="1 Bedroom",G726,0)</f>
        <v>5</v>
      </c>
      <c r="CV726" s="1361"/>
      <c r="CW726" s="1361"/>
      <c r="CX726" s="1361"/>
      <c r="CY726" s="1361"/>
      <c r="CZ726" s="1361">
        <f t="shared" ref="CZ726:CZ760" si="22">IF(B726="2 Bedrooms",G726,0)</f>
        <v>0</v>
      </c>
      <c r="DA726" s="1361"/>
      <c r="DB726" s="1361"/>
      <c r="DC726" s="1361"/>
      <c r="DD726" s="1361"/>
      <c r="DE726" s="1361">
        <f t="shared" ref="DE726:DE760" si="23">IF(B726="3 Bedrooms",G726,0)</f>
        <v>0</v>
      </c>
      <c r="DF726" s="1361"/>
      <c r="DG726" s="1361"/>
      <c r="DH726" s="1361"/>
      <c r="DI726" s="1361"/>
      <c r="DJ726" s="1361">
        <f t="shared" ref="DJ726:DJ760" si="24">IF(B726="4 Bedrooms",G726,0)</f>
        <v>0</v>
      </c>
      <c r="DK726" s="1361"/>
      <c r="DL726" s="1361"/>
      <c r="DM726" s="1361"/>
      <c r="DN726" s="1361"/>
      <c r="DO726" s="1361">
        <f t="shared" ref="DO726:DO760" si="25">IF(B726="5 Bedrooms",G726,0)</f>
        <v>0</v>
      </c>
      <c r="DP726" s="1361"/>
      <c r="DQ726" s="1361"/>
      <c r="DR726" s="1361"/>
      <c r="DS726" s="1361"/>
      <c r="DT726" s="6"/>
      <c r="DU726" s="1381">
        <f t="shared" ref="DU726:DU760" si="26">IF(AND(B726="SRO/Studio",AC726&lt;=0.3),G726,0)</f>
        <v>0</v>
      </c>
      <c r="DV726" s="1381"/>
      <c r="DW726" s="1381"/>
      <c r="DX726" s="1381"/>
      <c r="DY726" s="1381"/>
      <c r="DZ726" s="1381">
        <f t="shared" ref="DZ726:DZ760" si="27">IF(AND(B726="1 Bedroom",AC726&lt;=0.3),G726,0)</f>
        <v>5</v>
      </c>
      <c r="EA726" s="1381"/>
      <c r="EB726" s="1381"/>
      <c r="EC726" s="1381"/>
      <c r="ED726" s="1381"/>
      <c r="EE726" s="1381">
        <f t="shared" ref="EE726:EE760" si="28">IF(AND(B726="2 Bedrooms",AC726&lt;=0.3),G726,0)</f>
        <v>0</v>
      </c>
      <c r="EF726" s="1381"/>
      <c r="EG726" s="1381"/>
      <c r="EH726" s="1381"/>
      <c r="EI726" s="1381"/>
      <c r="EJ726" s="1381">
        <f t="shared" ref="EJ726:EJ760" si="29">IF(AND(B726="3 Bedrooms",AC726&lt;=0.3),G726,0)</f>
        <v>0</v>
      </c>
      <c r="EK726" s="1381"/>
      <c r="EL726" s="1381"/>
      <c r="EM726" s="1381"/>
      <c r="EN726" s="1381"/>
      <c r="EO726" s="1381">
        <f t="shared" ref="EO726:EO760" si="30">IF(AND(B726="4 Bedrooms",AC726&lt;=0.3),G726,0)</f>
        <v>0</v>
      </c>
      <c r="EP726" s="1381"/>
      <c r="EQ726" s="1381"/>
      <c r="ER726" s="1381"/>
      <c r="ES726" s="1381"/>
      <c r="ET726" s="1381">
        <f t="shared" ref="ET726:ET760" si="31">IF(AND(B726="5 Bedrooms",AC726&lt;=0.3),G726,0)</f>
        <v>0</v>
      </c>
      <c r="EU726" s="1381"/>
      <c r="EV726" s="1381"/>
      <c r="EW726" s="1381"/>
      <c r="EX726" s="1381"/>
      <c r="EY726" s="4"/>
      <c r="EZ726" s="1358" t="str">
        <f t="shared" ref="EZ726:EZ760" si="32">IF(CP726&gt;0,O726,"")</f>
        <v/>
      </c>
      <c r="FA726" s="1359"/>
      <c r="FB726" s="1359"/>
      <c r="FC726" s="1359"/>
      <c r="FD726" s="1360"/>
      <c r="FE726" s="1358">
        <f t="shared" ref="FE726:FE760" si="33">IF(CU726&gt;0,O726,"")</f>
        <v>859</v>
      </c>
      <c r="FF726" s="1359"/>
      <c r="FG726" s="1359"/>
      <c r="FH726" s="1359"/>
      <c r="FI726" s="1360"/>
      <c r="FJ726" s="1358" t="str">
        <f t="shared" ref="FJ726:FJ760" si="34">IF(CZ726&gt;0,O726,"")</f>
        <v/>
      </c>
      <c r="FK726" s="1359"/>
      <c r="FL726" s="1359"/>
      <c r="FM726" s="1359"/>
      <c r="FN726" s="1360"/>
      <c r="FO726" s="1358" t="str">
        <f t="shared" ref="FO726:FO760" si="35">IF(DE726&gt;0,O726,"")</f>
        <v/>
      </c>
      <c r="FP726" s="1359"/>
      <c r="FQ726" s="1359"/>
      <c r="FR726" s="1359"/>
      <c r="FS726" s="1360"/>
      <c r="FT726" s="1358" t="str">
        <f t="shared" ref="FT726:FT760" si="36">IF(DJ726&gt;0,O726,"")</f>
        <v/>
      </c>
      <c r="FU726" s="1359"/>
      <c r="FV726" s="1359"/>
      <c r="FW726" s="1359"/>
      <c r="FX726" s="1360"/>
      <c r="FY726" s="1358" t="str">
        <f t="shared" ref="FY726:FY760" si="37">IF(DO726&gt;0,O726,"")</f>
        <v/>
      </c>
      <c r="FZ726" s="1359"/>
      <c r="GA726" s="1359"/>
      <c r="GB726" s="1359"/>
      <c r="GC726" s="1360"/>
    </row>
    <row r="727" spans="1:185" ht="13" customHeight="1">
      <c r="A727" s="4"/>
      <c r="B727" s="1362" t="s">
        <v>324</v>
      </c>
      <c r="C727" s="1363"/>
      <c r="D727" s="1363"/>
      <c r="E727" s="1363"/>
      <c r="F727" s="1364"/>
      <c r="G727" s="1371">
        <v>8</v>
      </c>
      <c r="H727" s="1372"/>
      <c r="I727" s="1372"/>
      <c r="J727" s="1373"/>
      <c r="K727" s="1599">
        <v>666</v>
      </c>
      <c r="L727" s="1600"/>
      <c r="M727" s="1600"/>
      <c r="N727" s="1601"/>
      <c r="O727" s="1378">
        <v>1458</v>
      </c>
      <c r="P727" s="1379"/>
      <c r="Q727" s="1379"/>
      <c r="R727" s="1379"/>
      <c r="S727" s="1380"/>
      <c r="T727" s="1378">
        <v>40</v>
      </c>
      <c r="U727" s="1379"/>
      <c r="V727" s="1379"/>
      <c r="W727" s="1380"/>
      <c r="X727" s="1365">
        <f t="shared" si="10"/>
        <v>1498</v>
      </c>
      <c r="Y727" s="1366"/>
      <c r="Z727" s="1366"/>
      <c r="AA727" s="1366"/>
      <c r="AB727" s="1367"/>
      <c r="AC727" s="1375">
        <v>0.5</v>
      </c>
      <c r="AD727" s="1376"/>
      <c r="AE727" s="1376"/>
      <c r="AF727" s="1376"/>
      <c r="AG727" s="1377"/>
      <c r="AH727" s="1368">
        <f t="shared" ref="AH727:AH760" si="38">IF($AC727&gt;0,($X727/$AZ727), "")</f>
        <v>0.5</v>
      </c>
      <c r="AI727" s="1369"/>
      <c r="AJ727" s="1370"/>
      <c r="AK727" s="1362" t="s">
        <v>590</v>
      </c>
      <c r="AL727" s="1363"/>
      <c r="AM727" s="1363"/>
      <c r="AN727" s="1363"/>
      <c r="AO727" s="1364"/>
      <c r="AP727" s="3"/>
      <c r="AQ727" s="3"/>
      <c r="AR727" s="3"/>
      <c r="AS727" s="3"/>
      <c r="AZ727" s="118">
        <f t="shared" si="11"/>
        <v>2996</v>
      </c>
      <c r="BA727" s="3"/>
      <c r="BB727" s="3"/>
      <c r="BC727" s="3"/>
      <c r="BD727" s="3"/>
      <c r="BE727" s="204"/>
      <c r="BF727" s="294">
        <f t="shared" si="12"/>
        <v>8</v>
      </c>
      <c r="BG727" s="297">
        <f t="shared" si="13"/>
        <v>6.1538461538461542E-2</v>
      </c>
      <c r="BH727" s="298">
        <f t="shared" si="14"/>
        <v>3.0769230769230771E-2</v>
      </c>
      <c r="BI727" s="3"/>
      <c r="BJ727" s="3"/>
      <c r="BK727" s="3"/>
      <c r="BL727" s="3"/>
      <c r="BM727" s="3"/>
      <c r="BN727" s="3"/>
      <c r="BS727" s="294">
        <f t="shared" si="15"/>
        <v>8</v>
      </c>
      <c r="BT727" s="297">
        <f t="shared" si="16"/>
        <v>6.1538461538461542E-2</v>
      </c>
      <c r="BU727" s="298">
        <f t="shared" si="17"/>
        <v>3.0769230769230771E-2</v>
      </c>
      <c r="CC727" s="3"/>
      <c r="CD727" s="3"/>
      <c r="CE727" s="3"/>
      <c r="CF727" s="3"/>
      <c r="CG727" s="1358">
        <f t="shared" ref="CG727:CG760" si="39">IF(AND(AC727&lt;=0.5,AC727&gt;=0.36),1,0)</f>
        <v>1</v>
      </c>
      <c r="CH727" s="1360"/>
      <c r="CI727" s="1342">
        <f t="shared" ref="CI727:CI760" si="40">IF(CG727=1,G727,0)</f>
        <v>8</v>
      </c>
      <c r="CJ727" s="1344"/>
      <c r="CK727" s="1358">
        <f t="shared" si="18"/>
        <v>0</v>
      </c>
      <c r="CL727" s="1360"/>
      <c r="CM727" s="1342">
        <f t="shared" si="19"/>
        <v>0</v>
      </c>
      <c r="CN727" s="1344"/>
      <c r="CO727" s="3"/>
      <c r="CP727" s="1339">
        <f t="shared" si="20"/>
        <v>0</v>
      </c>
      <c r="CQ727" s="1340"/>
      <c r="CR727" s="1340"/>
      <c r="CS727" s="1340"/>
      <c r="CT727" s="1341"/>
      <c r="CU727" s="1361">
        <f t="shared" si="21"/>
        <v>8</v>
      </c>
      <c r="CV727" s="1361"/>
      <c r="CW727" s="1361"/>
      <c r="CX727" s="1361"/>
      <c r="CY727" s="1361"/>
      <c r="CZ727" s="1361">
        <f t="shared" si="22"/>
        <v>0</v>
      </c>
      <c r="DA727" s="1361"/>
      <c r="DB727" s="1361"/>
      <c r="DC727" s="1361"/>
      <c r="DD727" s="1361"/>
      <c r="DE727" s="1361">
        <f t="shared" si="23"/>
        <v>0</v>
      </c>
      <c r="DF727" s="1361"/>
      <c r="DG727" s="1361"/>
      <c r="DH727" s="1361"/>
      <c r="DI727" s="1361"/>
      <c r="DJ727" s="1361">
        <f t="shared" si="24"/>
        <v>0</v>
      </c>
      <c r="DK727" s="1361"/>
      <c r="DL727" s="1361"/>
      <c r="DM727" s="1361"/>
      <c r="DN727" s="1361"/>
      <c r="DO727" s="1361">
        <f t="shared" si="25"/>
        <v>0</v>
      </c>
      <c r="DP727" s="1361"/>
      <c r="DQ727" s="1361"/>
      <c r="DR727" s="1361"/>
      <c r="DS727" s="1361"/>
      <c r="DT727" s="6"/>
      <c r="DU727" s="1381">
        <f t="shared" si="26"/>
        <v>0</v>
      </c>
      <c r="DV727" s="1381"/>
      <c r="DW727" s="1381"/>
      <c r="DX727" s="1381"/>
      <c r="DY727" s="1381"/>
      <c r="DZ727" s="1381">
        <f t="shared" si="27"/>
        <v>0</v>
      </c>
      <c r="EA727" s="1381"/>
      <c r="EB727" s="1381"/>
      <c r="EC727" s="1381"/>
      <c r="ED727" s="1381"/>
      <c r="EE727" s="1381">
        <f t="shared" si="28"/>
        <v>0</v>
      </c>
      <c r="EF727" s="1381"/>
      <c r="EG727" s="1381"/>
      <c r="EH727" s="1381"/>
      <c r="EI727" s="1381"/>
      <c r="EJ727" s="1381">
        <f t="shared" si="29"/>
        <v>0</v>
      </c>
      <c r="EK727" s="1381"/>
      <c r="EL727" s="1381"/>
      <c r="EM727" s="1381"/>
      <c r="EN727" s="1381"/>
      <c r="EO727" s="1381">
        <f t="shared" si="30"/>
        <v>0</v>
      </c>
      <c r="EP727" s="1381"/>
      <c r="EQ727" s="1381"/>
      <c r="ER727" s="1381"/>
      <c r="ES727" s="1381"/>
      <c r="ET727" s="1381">
        <f t="shared" si="31"/>
        <v>0</v>
      </c>
      <c r="EU727" s="1381"/>
      <c r="EV727" s="1381"/>
      <c r="EW727" s="1381"/>
      <c r="EX727" s="1381"/>
      <c r="EY727" s="4"/>
      <c r="EZ727" s="1358" t="str">
        <f t="shared" si="32"/>
        <v/>
      </c>
      <c r="FA727" s="1359"/>
      <c r="FB727" s="1359"/>
      <c r="FC727" s="1359"/>
      <c r="FD727" s="1360"/>
      <c r="FE727" s="1358">
        <f t="shared" si="33"/>
        <v>1458</v>
      </c>
      <c r="FF727" s="1359"/>
      <c r="FG727" s="1359"/>
      <c r="FH727" s="1359"/>
      <c r="FI727" s="1360"/>
      <c r="FJ727" s="1358" t="str">
        <f t="shared" si="34"/>
        <v/>
      </c>
      <c r="FK727" s="1359"/>
      <c r="FL727" s="1359"/>
      <c r="FM727" s="1359"/>
      <c r="FN727" s="1360"/>
      <c r="FO727" s="1358" t="str">
        <f t="shared" si="35"/>
        <v/>
      </c>
      <c r="FP727" s="1359"/>
      <c r="FQ727" s="1359"/>
      <c r="FR727" s="1359"/>
      <c r="FS727" s="1360"/>
      <c r="FT727" s="1358" t="str">
        <f t="shared" si="36"/>
        <v/>
      </c>
      <c r="FU727" s="1359"/>
      <c r="FV727" s="1359"/>
      <c r="FW727" s="1359"/>
      <c r="FX727" s="1360"/>
      <c r="FY727" s="1358" t="str">
        <f t="shared" si="37"/>
        <v/>
      </c>
      <c r="FZ727" s="1359"/>
      <c r="GA727" s="1359"/>
      <c r="GB727" s="1359"/>
      <c r="GC727" s="1360"/>
    </row>
    <row r="728" spans="1:185" ht="13" customHeight="1">
      <c r="A728" s="4"/>
      <c r="B728" s="1362" t="s">
        <v>324</v>
      </c>
      <c r="C728" s="1363"/>
      <c r="D728" s="1363"/>
      <c r="E728" s="1363"/>
      <c r="F728" s="1364"/>
      <c r="G728" s="1371">
        <v>12</v>
      </c>
      <c r="H728" s="1372"/>
      <c r="I728" s="1372"/>
      <c r="J728" s="1373"/>
      <c r="K728" s="1599">
        <v>666</v>
      </c>
      <c r="L728" s="1600"/>
      <c r="M728" s="1600"/>
      <c r="N728" s="1601"/>
      <c r="O728" s="1378">
        <v>1758</v>
      </c>
      <c r="P728" s="1379"/>
      <c r="Q728" s="1379"/>
      <c r="R728" s="1379"/>
      <c r="S728" s="1380"/>
      <c r="T728" s="1378">
        <v>40</v>
      </c>
      <c r="U728" s="1379"/>
      <c r="V728" s="1379"/>
      <c r="W728" s="1380"/>
      <c r="X728" s="1365">
        <f t="shared" si="10"/>
        <v>1798</v>
      </c>
      <c r="Y728" s="1366"/>
      <c r="Z728" s="1366"/>
      <c r="AA728" s="1366"/>
      <c r="AB728" s="1367"/>
      <c r="AC728" s="1375">
        <v>0.6</v>
      </c>
      <c r="AD728" s="1376"/>
      <c r="AE728" s="1376"/>
      <c r="AF728" s="1376"/>
      <c r="AG728" s="1377"/>
      <c r="AH728" s="1368">
        <f t="shared" si="38"/>
        <v>0.6001335113484646</v>
      </c>
      <c r="AI728" s="1369"/>
      <c r="AJ728" s="1370"/>
      <c r="AK728" s="1362" t="s">
        <v>590</v>
      </c>
      <c r="AL728" s="1363"/>
      <c r="AM728" s="1363"/>
      <c r="AN728" s="1363"/>
      <c r="AO728" s="1364"/>
      <c r="AP728" s="3"/>
      <c r="AQ728" s="3"/>
      <c r="AR728" s="3"/>
      <c r="AS728" s="3"/>
      <c r="AZ728" s="118">
        <f t="shared" si="11"/>
        <v>2996</v>
      </c>
      <c r="BA728" s="3"/>
      <c r="BB728" s="3"/>
      <c r="BC728" s="3"/>
      <c r="BD728" s="3"/>
      <c r="BE728" s="204"/>
      <c r="BF728" s="294">
        <f t="shared" si="12"/>
        <v>12</v>
      </c>
      <c r="BG728" s="297">
        <f t="shared" si="13"/>
        <v>9.2307692307692313E-2</v>
      </c>
      <c r="BH728" s="298">
        <f t="shared" si="14"/>
        <v>5.5384615384615386E-2</v>
      </c>
      <c r="BI728" s="3"/>
      <c r="BJ728" s="3"/>
      <c r="BK728" s="3"/>
      <c r="BL728" s="3"/>
      <c r="BM728" s="3"/>
      <c r="BN728" s="3"/>
      <c r="BS728" s="294">
        <f t="shared" si="15"/>
        <v>12</v>
      </c>
      <c r="BT728" s="297">
        <f t="shared" si="16"/>
        <v>9.2307692307692313E-2</v>
      </c>
      <c r="BU728" s="298">
        <f t="shared" si="17"/>
        <v>5.5396939509089041E-2</v>
      </c>
      <c r="CC728" s="3"/>
      <c r="CD728" s="3"/>
      <c r="CE728" s="3"/>
      <c r="CF728" s="3"/>
      <c r="CG728" s="1358">
        <f t="shared" si="39"/>
        <v>0</v>
      </c>
      <c r="CH728" s="1360"/>
      <c r="CI728" s="1342">
        <f t="shared" si="40"/>
        <v>0</v>
      </c>
      <c r="CJ728" s="1344"/>
      <c r="CK728" s="1358">
        <f t="shared" si="18"/>
        <v>0</v>
      </c>
      <c r="CL728" s="1360"/>
      <c r="CM728" s="1342">
        <f t="shared" si="19"/>
        <v>0</v>
      </c>
      <c r="CN728" s="1344"/>
      <c r="CO728" s="3"/>
      <c r="CP728" s="1339">
        <f t="shared" si="20"/>
        <v>0</v>
      </c>
      <c r="CQ728" s="1340"/>
      <c r="CR728" s="1340"/>
      <c r="CS728" s="1340"/>
      <c r="CT728" s="1341"/>
      <c r="CU728" s="1361">
        <f t="shared" si="21"/>
        <v>12</v>
      </c>
      <c r="CV728" s="1361"/>
      <c r="CW728" s="1361"/>
      <c r="CX728" s="1361"/>
      <c r="CY728" s="1361"/>
      <c r="CZ728" s="1361">
        <f t="shared" si="22"/>
        <v>0</v>
      </c>
      <c r="DA728" s="1361"/>
      <c r="DB728" s="1361"/>
      <c r="DC728" s="1361"/>
      <c r="DD728" s="1361"/>
      <c r="DE728" s="1361">
        <f t="shared" si="23"/>
        <v>0</v>
      </c>
      <c r="DF728" s="1361"/>
      <c r="DG728" s="1361"/>
      <c r="DH728" s="1361"/>
      <c r="DI728" s="1361"/>
      <c r="DJ728" s="1361">
        <f t="shared" si="24"/>
        <v>0</v>
      </c>
      <c r="DK728" s="1361"/>
      <c r="DL728" s="1361"/>
      <c r="DM728" s="1361"/>
      <c r="DN728" s="1361"/>
      <c r="DO728" s="1361">
        <f t="shared" si="25"/>
        <v>0</v>
      </c>
      <c r="DP728" s="1361"/>
      <c r="DQ728" s="1361"/>
      <c r="DR728" s="1361"/>
      <c r="DS728" s="1361"/>
      <c r="DT728" s="6"/>
      <c r="DU728" s="1381">
        <f t="shared" si="26"/>
        <v>0</v>
      </c>
      <c r="DV728" s="1381"/>
      <c r="DW728" s="1381"/>
      <c r="DX728" s="1381"/>
      <c r="DY728" s="1381"/>
      <c r="DZ728" s="1381">
        <f t="shared" si="27"/>
        <v>0</v>
      </c>
      <c r="EA728" s="1381"/>
      <c r="EB728" s="1381"/>
      <c r="EC728" s="1381"/>
      <c r="ED728" s="1381"/>
      <c r="EE728" s="1381">
        <f t="shared" si="28"/>
        <v>0</v>
      </c>
      <c r="EF728" s="1381"/>
      <c r="EG728" s="1381"/>
      <c r="EH728" s="1381"/>
      <c r="EI728" s="1381"/>
      <c r="EJ728" s="1381">
        <f t="shared" si="29"/>
        <v>0</v>
      </c>
      <c r="EK728" s="1381"/>
      <c r="EL728" s="1381"/>
      <c r="EM728" s="1381"/>
      <c r="EN728" s="1381"/>
      <c r="EO728" s="1381">
        <f t="shared" si="30"/>
        <v>0</v>
      </c>
      <c r="EP728" s="1381"/>
      <c r="EQ728" s="1381"/>
      <c r="ER728" s="1381"/>
      <c r="ES728" s="1381"/>
      <c r="ET728" s="1381">
        <f t="shared" si="31"/>
        <v>0</v>
      </c>
      <c r="EU728" s="1381"/>
      <c r="EV728" s="1381"/>
      <c r="EW728" s="1381"/>
      <c r="EX728" s="1381"/>
      <c r="EZ728" s="1358" t="str">
        <f t="shared" si="32"/>
        <v/>
      </c>
      <c r="FA728" s="1359"/>
      <c r="FB728" s="1359"/>
      <c r="FC728" s="1359"/>
      <c r="FD728" s="1360"/>
      <c r="FE728" s="1358">
        <f t="shared" si="33"/>
        <v>1758</v>
      </c>
      <c r="FF728" s="1359"/>
      <c r="FG728" s="1359"/>
      <c r="FH728" s="1359"/>
      <c r="FI728" s="1360"/>
      <c r="FJ728" s="1358" t="str">
        <f t="shared" si="34"/>
        <v/>
      </c>
      <c r="FK728" s="1359"/>
      <c r="FL728" s="1359"/>
      <c r="FM728" s="1359"/>
      <c r="FN728" s="1360"/>
      <c r="FO728" s="1358" t="str">
        <f t="shared" si="35"/>
        <v/>
      </c>
      <c r="FP728" s="1359"/>
      <c r="FQ728" s="1359"/>
      <c r="FR728" s="1359"/>
      <c r="FS728" s="1360"/>
      <c r="FT728" s="1358" t="str">
        <f t="shared" si="36"/>
        <v/>
      </c>
      <c r="FU728" s="1359"/>
      <c r="FV728" s="1359"/>
      <c r="FW728" s="1359"/>
      <c r="FX728" s="1360"/>
      <c r="FY728" s="1358" t="str">
        <f t="shared" si="37"/>
        <v/>
      </c>
      <c r="FZ728" s="1359"/>
      <c r="GA728" s="1359"/>
      <c r="GB728" s="1359"/>
      <c r="GC728" s="1360"/>
    </row>
    <row r="729" spans="1:185" ht="13" customHeight="1">
      <c r="B729" s="1362" t="s">
        <v>324</v>
      </c>
      <c r="C729" s="1363"/>
      <c r="D729" s="1363"/>
      <c r="E729" s="1363"/>
      <c r="F729" s="1364"/>
      <c r="G729" s="1371">
        <v>21</v>
      </c>
      <c r="H729" s="1372"/>
      <c r="I729" s="1372"/>
      <c r="J729" s="1373"/>
      <c r="K729" s="1599">
        <v>666</v>
      </c>
      <c r="L729" s="1600"/>
      <c r="M729" s="1600"/>
      <c r="N729" s="1601"/>
      <c r="O729" s="1378">
        <v>2358</v>
      </c>
      <c r="P729" s="1379"/>
      <c r="Q729" s="1379"/>
      <c r="R729" s="1379"/>
      <c r="S729" s="1380"/>
      <c r="T729" s="1378">
        <v>40</v>
      </c>
      <c r="U729" s="1379"/>
      <c r="V729" s="1379"/>
      <c r="W729" s="1380"/>
      <c r="X729" s="1365">
        <f t="shared" si="10"/>
        <v>2398</v>
      </c>
      <c r="Y729" s="1366"/>
      <c r="Z729" s="1366"/>
      <c r="AA729" s="1366"/>
      <c r="AB729" s="1367"/>
      <c r="AC729" s="1375">
        <v>0.8</v>
      </c>
      <c r="AD729" s="1376"/>
      <c r="AE729" s="1376"/>
      <c r="AF729" s="1376"/>
      <c r="AG729" s="1377"/>
      <c r="AH729" s="1368">
        <f t="shared" si="38"/>
        <v>0.80040053404539391</v>
      </c>
      <c r="AI729" s="1369"/>
      <c r="AJ729" s="1370"/>
      <c r="AK729" s="1362" t="s">
        <v>590</v>
      </c>
      <c r="AL729" s="1363"/>
      <c r="AM729" s="1363"/>
      <c r="AN729" s="1363"/>
      <c r="AO729" s="1364"/>
      <c r="AP729" s="3"/>
      <c r="AQ729" s="3"/>
      <c r="AR729" s="3"/>
      <c r="AS729" s="3"/>
      <c r="AY729" s="116"/>
      <c r="AZ729" s="118">
        <f t="shared" si="11"/>
        <v>2996</v>
      </c>
      <c r="BA729" s="3"/>
      <c r="BB729" s="3"/>
      <c r="BC729" s="3"/>
      <c r="BD729" s="3"/>
      <c r="BE729" s="204"/>
      <c r="BF729" s="294">
        <f t="shared" si="12"/>
        <v>21</v>
      </c>
      <c r="BG729" s="297">
        <f t="shared" si="13"/>
        <v>0.16153846153846155</v>
      </c>
      <c r="BH729" s="298">
        <f t="shared" si="14"/>
        <v>0.12923076923076923</v>
      </c>
      <c r="BI729" s="3"/>
      <c r="BJ729" s="3"/>
      <c r="BK729" s="3"/>
      <c r="BL729" s="3"/>
      <c r="BM729" s="3"/>
      <c r="BN729" s="3"/>
      <c r="BS729" s="294">
        <f t="shared" si="15"/>
        <v>21</v>
      </c>
      <c r="BT729" s="297">
        <f t="shared" si="16"/>
        <v>0.16153846153846155</v>
      </c>
      <c r="BU729" s="298">
        <f t="shared" si="17"/>
        <v>0.12929547088425594</v>
      </c>
      <c r="CC729" s="3"/>
      <c r="CD729" s="3"/>
      <c r="CE729" s="3"/>
      <c r="CF729" s="3"/>
      <c r="CG729" s="1358">
        <f t="shared" si="39"/>
        <v>0</v>
      </c>
      <c r="CH729" s="1360"/>
      <c r="CI729" s="1342">
        <f t="shared" si="40"/>
        <v>0</v>
      </c>
      <c r="CJ729" s="1344"/>
      <c r="CK729" s="1358">
        <f t="shared" si="18"/>
        <v>0</v>
      </c>
      <c r="CL729" s="1360"/>
      <c r="CM729" s="1342">
        <f t="shared" si="19"/>
        <v>0</v>
      </c>
      <c r="CN729" s="1344"/>
      <c r="CO729" s="3"/>
      <c r="CP729" s="1339">
        <f t="shared" si="20"/>
        <v>0</v>
      </c>
      <c r="CQ729" s="1340"/>
      <c r="CR729" s="1340"/>
      <c r="CS729" s="1340"/>
      <c r="CT729" s="1341"/>
      <c r="CU729" s="1361">
        <f t="shared" si="21"/>
        <v>21</v>
      </c>
      <c r="CV729" s="1361"/>
      <c r="CW729" s="1361"/>
      <c r="CX729" s="1361"/>
      <c r="CY729" s="1361"/>
      <c r="CZ729" s="1361">
        <f t="shared" si="22"/>
        <v>0</v>
      </c>
      <c r="DA729" s="1361"/>
      <c r="DB729" s="1361"/>
      <c r="DC729" s="1361"/>
      <c r="DD729" s="1361"/>
      <c r="DE729" s="1361">
        <f t="shared" si="23"/>
        <v>0</v>
      </c>
      <c r="DF729" s="1361"/>
      <c r="DG729" s="1361"/>
      <c r="DH729" s="1361"/>
      <c r="DI729" s="1361"/>
      <c r="DJ729" s="1361">
        <f t="shared" si="24"/>
        <v>0</v>
      </c>
      <c r="DK729" s="1361"/>
      <c r="DL729" s="1361"/>
      <c r="DM729" s="1361"/>
      <c r="DN729" s="1361"/>
      <c r="DO729" s="1361">
        <f t="shared" si="25"/>
        <v>0</v>
      </c>
      <c r="DP729" s="1361"/>
      <c r="DQ729" s="1361"/>
      <c r="DR729" s="1361"/>
      <c r="DS729" s="1361"/>
      <c r="DT729" s="6"/>
      <c r="DU729" s="1381">
        <f t="shared" si="26"/>
        <v>0</v>
      </c>
      <c r="DV729" s="1381"/>
      <c r="DW729" s="1381"/>
      <c r="DX729" s="1381"/>
      <c r="DY729" s="1381"/>
      <c r="DZ729" s="1381">
        <f t="shared" si="27"/>
        <v>0</v>
      </c>
      <c r="EA729" s="1381"/>
      <c r="EB729" s="1381"/>
      <c r="EC729" s="1381"/>
      <c r="ED729" s="1381"/>
      <c r="EE729" s="1381">
        <f t="shared" si="28"/>
        <v>0</v>
      </c>
      <c r="EF729" s="1381"/>
      <c r="EG729" s="1381"/>
      <c r="EH729" s="1381"/>
      <c r="EI729" s="1381"/>
      <c r="EJ729" s="1381">
        <f t="shared" si="29"/>
        <v>0</v>
      </c>
      <c r="EK729" s="1381"/>
      <c r="EL729" s="1381"/>
      <c r="EM729" s="1381"/>
      <c r="EN729" s="1381"/>
      <c r="EO729" s="1381">
        <f t="shared" si="30"/>
        <v>0</v>
      </c>
      <c r="EP729" s="1381"/>
      <c r="EQ729" s="1381"/>
      <c r="ER729" s="1381"/>
      <c r="ES729" s="1381"/>
      <c r="ET729" s="1381">
        <f t="shared" si="31"/>
        <v>0</v>
      </c>
      <c r="EU729" s="1381"/>
      <c r="EV729" s="1381"/>
      <c r="EW729" s="1381"/>
      <c r="EX729" s="1381"/>
      <c r="EZ729" s="1358" t="str">
        <f t="shared" si="32"/>
        <v/>
      </c>
      <c r="FA729" s="1359"/>
      <c r="FB729" s="1359"/>
      <c r="FC729" s="1359"/>
      <c r="FD729" s="1360"/>
      <c r="FE729" s="1358">
        <f t="shared" si="33"/>
        <v>2358</v>
      </c>
      <c r="FF729" s="1359"/>
      <c r="FG729" s="1359"/>
      <c r="FH729" s="1359"/>
      <c r="FI729" s="1360"/>
      <c r="FJ729" s="1358" t="str">
        <f t="shared" si="34"/>
        <v/>
      </c>
      <c r="FK729" s="1359"/>
      <c r="FL729" s="1359"/>
      <c r="FM729" s="1359"/>
      <c r="FN729" s="1360"/>
      <c r="FO729" s="1358" t="str">
        <f t="shared" si="35"/>
        <v/>
      </c>
      <c r="FP729" s="1359"/>
      <c r="FQ729" s="1359"/>
      <c r="FR729" s="1359"/>
      <c r="FS729" s="1360"/>
      <c r="FT729" s="1358" t="str">
        <f t="shared" si="36"/>
        <v/>
      </c>
      <c r="FU729" s="1359"/>
      <c r="FV729" s="1359"/>
      <c r="FW729" s="1359"/>
      <c r="FX729" s="1360"/>
      <c r="FY729" s="1358" t="str">
        <f t="shared" si="37"/>
        <v/>
      </c>
      <c r="FZ729" s="1359"/>
      <c r="GA729" s="1359"/>
      <c r="GB729" s="1359"/>
      <c r="GC729" s="1360"/>
    </row>
    <row r="730" spans="1:185" ht="13" customHeight="1">
      <c r="B730" s="1362" t="s">
        <v>163</v>
      </c>
      <c r="C730" s="1363"/>
      <c r="D730" s="1363"/>
      <c r="E730" s="1363"/>
      <c r="F730" s="1364"/>
      <c r="G730" s="1371">
        <v>7</v>
      </c>
      <c r="H730" s="1372"/>
      <c r="I730" s="1372"/>
      <c r="J730" s="1373"/>
      <c r="K730" s="1599">
        <v>956</v>
      </c>
      <c r="L730" s="1600"/>
      <c r="M730" s="1600"/>
      <c r="N730" s="1601"/>
      <c r="O730" s="1378">
        <v>1043</v>
      </c>
      <c r="P730" s="1379"/>
      <c r="Q730" s="1379"/>
      <c r="R730" s="1379"/>
      <c r="S730" s="1380"/>
      <c r="T730" s="1378">
        <v>36</v>
      </c>
      <c r="U730" s="1379"/>
      <c r="V730" s="1379"/>
      <c r="W730" s="1380"/>
      <c r="X730" s="1365">
        <f t="shared" si="10"/>
        <v>1079</v>
      </c>
      <c r="Y730" s="1366"/>
      <c r="Z730" s="1366"/>
      <c r="AA730" s="1366"/>
      <c r="AB730" s="1367"/>
      <c r="AC730" s="1375">
        <v>0.3</v>
      </c>
      <c r="AD730" s="1376"/>
      <c r="AE730" s="1376"/>
      <c r="AF730" s="1376"/>
      <c r="AG730" s="1377"/>
      <c r="AH730" s="1368">
        <f t="shared" si="38"/>
        <v>0.30005561735261399</v>
      </c>
      <c r="AI730" s="1369"/>
      <c r="AJ730" s="1370"/>
      <c r="AK730" s="1362" t="s">
        <v>590</v>
      </c>
      <c r="AL730" s="1363"/>
      <c r="AM730" s="1363"/>
      <c r="AN730" s="1363"/>
      <c r="AO730" s="1364"/>
      <c r="AP730" s="3"/>
      <c r="AQ730" s="3"/>
      <c r="AR730" s="3"/>
      <c r="AS730" s="3"/>
      <c r="AY730" s="116"/>
      <c r="AZ730" s="118">
        <f t="shared" si="11"/>
        <v>3596</v>
      </c>
      <c r="BA730" s="3"/>
      <c r="BB730" s="3"/>
      <c r="BC730" s="3"/>
      <c r="BD730" s="3"/>
      <c r="BE730" s="204"/>
      <c r="BF730" s="294">
        <f t="shared" si="12"/>
        <v>7</v>
      </c>
      <c r="BG730" s="297">
        <f t="shared" si="13"/>
        <v>5.3846153846153849E-2</v>
      </c>
      <c r="BH730" s="298">
        <f t="shared" si="14"/>
        <v>1.6153846153846154E-2</v>
      </c>
      <c r="BI730" s="3"/>
      <c r="BJ730" s="3"/>
      <c r="BK730" s="3"/>
      <c r="BL730" s="3"/>
      <c r="BM730" s="3"/>
      <c r="BN730" s="3"/>
      <c r="BS730" s="294">
        <f t="shared" si="15"/>
        <v>7</v>
      </c>
      <c r="BT730" s="297">
        <f t="shared" si="16"/>
        <v>5.3846153846153849E-2</v>
      </c>
      <c r="BU730" s="298">
        <f t="shared" si="17"/>
        <v>1.6156840934371523E-2</v>
      </c>
      <c r="CC730" s="3"/>
      <c r="CD730" s="3"/>
      <c r="CE730" s="3"/>
      <c r="CF730" s="3"/>
      <c r="CG730" s="1358">
        <f t="shared" si="39"/>
        <v>0</v>
      </c>
      <c r="CH730" s="1360"/>
      <c r="CI730" s="1342">
        <f t="shared" si="40"/>
        <v>0</v>
      </c>
      <c r="CJ730" s="1344"/>
      <c r="CK730" s="1358">
        <f t="shared" si="18"/>
        <v>1</v>
      </c>
      <c r="CL730" s="1360"/>
      <c r="CM730" s="1342">
        <f t="shared" si="19"/>
        <v>7</v>
      </c>
      <c r="CN730" s="1344"/>
      <c r="CO730" s="3"/>
      <c r="CP730" s="1339">
        <f t="shared" si="20"/>
        <v>0</v>
      </c>
      <c r="CQ730" s="1340"/>
      <c r="CR730" s="1340"/>
      <c r="CS730" s="1340"/>
      <c r="CT730" s="1341"/>
      <c r="CU730" s="1361">
        <f t="shared" si="21"/>
        <v>0</v>
      </c>
      <c r="CV730" s="1361"/>
      <c r="CW730" s="1361"/>
      <c r="CX730" s="1361"/>
      <c r="CY730" s="1361"/>
      <c r="CZ730" s="1361">
        <f t="shared" si="22"/>
        <v>7</v>
      </c>
      <c r="DA730" s="1361"/>
      <c r="DB730" s="1361"/>
      <c r="DC730" s="1361"/>
      <c r="DD730" s="1361"/>
      <c r="DE730" s="1361">
        <f t="shared" si="23"/>
        <v>0</v>
      </c>
      <c r="DF730" s="1361"/>
      <c r="DG730" s="1361"/>
      <c r="DH730" s="1361"/>
      <c r="DI730" s="1361"/>
      <c r="DJ730" s="1361">
        <f t="shared" si="24"/>
        <v>0</v>
      </c>
      <c r="DK730" s="1361"/>
      <c r="DL730" s="1361"/>
      <c r="DM730" s="1361"/>
      <c r="DN730" s="1361"/>
      <c r="DO730" s="1361">
        <f t="shared" si="25"/>
        <v>0</v>
      </c>
      <c r="DP730" s="1361"/>
      <c r="DQ730" s="1361"/>
      <c r="DR730" s="1361"/>
      <c r="DS730" s="1361"/>
      <c r="DT730" s="6"/>
      <c r="DU730" s="1381">
        <f t="shared" si="26"/>
        <v>0</v>
      </c>
      <c r="DV730" s="1381"/>
      <c r="DW730" s="1381"/>
      <c r="DX730" s="1381"/>
      <c r="DY730" s="1381"/>
      <c r="DZ730" s="1381">
        <f t="shared" si="27"/>
        <v>0</v>
      </c>
      <c r="EA730" s="1381"/>
      <c r="EB730" s="1381"/>
      <c r="EC730" s="1381"/>
      <c r="ED730" s="1381"/>
      <c r="EE730" s="1381">
        <f t="shared" si="28"/>
        <v>7</v>
      </c>
      <c r="EF730" s="1381"/>
      <c r="EG730" s="1381"/>
      <c r="EH730" s="1381"/>
      <c r="EI730" s="1381"/>
      <c r="EJ730" s="1381">
        <f t="shared" si="29"/>
        <v>0</v>
      </c>
      <c r="EK730" s="1381"/>
      <c r="EL730" s="1381"/>
      <c r="EM730" s="1381"/>
      <c r="EN730" s="1381"/>
      <c r="EO730" s="1381">
        <f t="shared" si="30"/>
        <v>0</v>
      </c>
      <c r="EP730" s="1381"/>
      <c r="EQ730" s="1381"/>
      <c r="ER730" s="1381"/>
      <c r="ES730" s="1381"/>
      <c r="ET730" s="1381">
        <f t="shared" si="31"/>
        <v>0</v>
      </c>
      <c r="EU730" s="1381"/>
      <c r="EV730" s="1381"/>
      <c r="EW730" s="1381"/>
      <c r="EX730" s="1381"/>
      <c r="EZ730" s="1358" t="str">
        <f t="shared" si="32"/>
        <v/>
      </c>
      <c r="FA730" s="1359"/>
      <c r="FB730" s="1359"/>
      <c r="FC730" s="1359"/>
      <c r="FD730" s="1360"/>
      <c r="FE730" s="1358" t="str">
        <f t="shared" si="33"/>
        <v/>
      </c>
      <c r="FF730" s="1359"/>
      <c r="FG730" s="1359"/>
      <c r="FH730" s="1359"/>
      <c r="FI730" s="1360"/>
      <c r="FJ730" s="1358">
        <f t="shared" si="34"/>
        <v>1043</v>
      </c>
      <c r="FK730" s="1359"/>
      <c r="FL730" s="1359"/>
      <c r="FM730" s="1359"/>
      <c r="FN730" s="1360"/>
      <c r="FO730" s="1358" t="str">
        <f t="shared" si="35"/>
        <v/>
      </c>
      <c r="FP730" s="1359"/>
      <c r="FQ730" s="1359"/>
      <c r="FR730" s="1359"/>
      <c r="FS730" s="1360"/>
      <c r="FT730" s="1358" t="str">
        <f t="shared" si="36"/>
        <v/>
      </c>
      <c r="FU730" s="1359"/>
      <c r="FV730" s="1359"/>
      <c r="FW730" s="1359"/>
      <c r="FX730" s="1360"/>
      <c r="FY730" s="1358" t="str">
        <f t="shared" si="37"/>
        <v/>
      </c>
      <c r="FZ730" s="1359"/>
      <c r="GA730" s="1359"/>
      <c r="GB730" s="1359"/>
      <c r="GC730" s="1360"/>
    </row>
    <row r="731" spans="1:185" ht="13" customHeight="1">
      <c r="B731" s="1362" t="s">
        <v>163</v>
      </c>
      <c r="C731" s="1363"/>
      <c r="D731" s="1363"/>
      <c r="E731" s="1363"/>
      <c r="F731" s="1364"/>
      <c r="G731" s="1371">
        <v>9</v>
      </c>
      <c r="H731" s="1372"/>
      <c r="I731" s="1372"/>
      <c r="J731" s="1373"/>
      <c r="K731" s="1599">
        <v>956</v>
      </c>
      <c r="L731" s="1600"/>
      <c r="M731" s="1600"/>
      <c r="N731" s="1601"/>
      <c r="O731" s="1378">
        <v>1762</v>
      </c>
      <c r="P731" s="1379"/>
      <c r="Q731" s="1379"/>
      <c r="R731" s="1379"/>
      <c r="S731" s="1380"/>
      <c r="T731" s="1378">
        <v>36</v>
      </c>
      <c r="U731" s="1379"/>
      <c r="V731" s="1379"/>
      <c r="W731" s="1380"/>
      <c r="X731" s="1365">
        <f t="shared" si="10"/>
        <v>1798</v>
      </c>
      <c r="Y731" s="1366"/>
      <c r="Z731" s="1366"/>
      <c r="AA731" s="1366"/>
      <c r="AB731" s="1367"/>
      <c r="AC731" s="1375">
        <v>0.5</v>
      </c>
      <c r="AD731" s="1376"/>
      <c r="AE731" s="1376"/>
      <c r="AF731" s="1376"/>
      <c r="AG731" s="1377"/>
      <c r="AH731" s="1368">
        <f t="shared" si="38"/>
        <v>0.5</v>
      </c>
      <c r="AI731" s="1369"/>
      <c r="AJ731" s="1370"/>
      <c r="AK731" s="1362" t="s">
        <v>590</v>
      </c>
      <c r="AL731" s="1363"/>
      <c r="AM731" s="1363"/>
      <c r="AN731" s="1363"/>
      <c r="AO731" s="1364"/>
      <c r="AP731" s="3"/>
      <c r="AQ731" s="3"/>
      <c r="AR731" s="3"/>
      <c r="AS731" s="3"/>
      <c r="AY731" s="116"/>
      <c r="AZ731" s="118">
        <f t="shared" si="11"/>
        <v>3596</v>
      </c>
      <c r="BA731" s="3"/>
      <c r="BB731" s="3"/>
      <c r="BC731" s="3"/>
      <c r="BD731" s="3"/>
      <c r="BE731" s="204"/>
      <c r="BF731" s="294">
        <f t="shared" si="12"/>
        <v>9</v>
      </c>
      <c r="BG731" s="297">
        <f t="shared" si="13"/>
        <v>6.9230769230769235E-2</v>
      </c>
      <c r="BH731" s="298">
        <f t="shared" si="14"/>
        <v>3.4615384615384617E-2</v>
      </c>
      <c r="BI731" s="3"/>
      <c r="BJ731" s="3"/>
      <c r="BK731" s="3"/>
      <c r="BL731" s="3"/>
      <c r="BM731" s="3"/>
      <c r="BN731" s="3"/>
      <c r="BS731" s="294">
        <f t="shared" si="15"/>
        <v>9</v>
      </c>
      <c r="BT731" s="297">
        <f t="shared" si="16"/>
        <v>6.9230769230769235E-2</v>
      </c>
      <c r="BU731" s="298">
        <f t="shared" si="17"/>
        <v>3.4615384615384617E-2</v>
      </c>
      <c r="CC731" s="3"/>
      <c r="CD731" s="3"/>
      <c r="CE731" s="3"/>
      <c r="CF731" s="3"/>
      <c r="CG731" s="1358">
        <f t="shared" si="39"/>
        <v>1</v>
      </c>
      <c r="CH731" s="1360"/>
      <c r="CI731" s="1342">
        <f t="shared" si="40"/>
        <v>9</v>
      </c>
      <c r="CJ731" s="1344"/>
      <c r="CK731" s="1358">
        <f t="shared" si="18"/>
        <v>0</v>
      </c>
      <c r="CL731" s="1360"/>
      <c r="CM731" s="1342">
        <f t="shared" si="19"/>
        <v>0</v>
      </c>
      <c r="CN731" s="1344"/>
      <c r="CO731" s="3"/>
      <c r="CP731" s="1339">
        <f t="shared" si="20"/>
        <v>0</v>
      </c>
      <c r="CQ731" s="1340"/>
      <c r="CR731" s="1340"/>
      <c r="CS731" s="1340"/>
      <c r="CT731" s="1341"/>
      <c r="CU731" s="1361">
        <f t="shared" si="21"/>
        <v>0</v>
      </c>
      <c r="CV731" s="1361"/>
      <c r="CW731" s="1361"/>
      <c r="CX731" s="1361"/>
      <c r="CY731" s="1361"/>
      <c r="CZ731" s="1361">
        <f t="shared" si="22"/>
        <v>9</v>
      </c>
      <c r="DA731" s="1361"/>
      <c r="DB731" s="1361"/>
      <c r="DC731" s="1361"/>
      <c r="DD731" s="1361"/>
      <c r="DE731" s="1361">
        <f t="shared" si="23"/>
        <v>0</v>
      </c>
      <c r="DF731" s="1361"/>
      <c r="DG731" s="1361"/>
      <c r="DH731" s="1361"/>
      <c r="DI731" s="1361"/>
      <c r="DJ731" s="1361">
        <f t="shared" si="24"/>
        <v>0</v>
      </c>
      <c r="DK731" s="1361"/>
      <c r="DL731" s="1361"/>
      <c r="DM731" s="1361"/>
      <c r="DN731" s="1361"/>
      <c r="DO731" s="1361">
        <f t="shared" si="25"/>
        <v>0</v>
      </c>
      <c r="DP731" s="1361"/>
      <c r="DQ731" s="1361"/>
      <c r="DR731" s="1361"/>
      <c r="DS731" s="1361"/>
      <c r="DT731" s="6"/>
      <c r="DU731" s="1381">
        <f t="shared" si="26"/>
        <v>0</v>
      </c>
      <c r="DV731" s="1381"/>
      <c r="DW731" s="1381"/>
      <c r="DX731" s="1381"/>
      <c r="DY731" s="1381"/>
      <c r="DZ731" s="1381">
        <f t="shared" si="27"/>
        <v>0</v>
      </c>
      <c r="EA731" s="1381"/>
      <c r="EB731" s="1381"/>
      <c r="EC731" s="1381"/>
      <c r="ED731" s="1381"/>
      <c r="EE731" s="1381">
        <f t="shared" si="28"/>
        <v>0</v>
      </c>
      <c r="EF731" s="1381"/>
      <c r="EG731" s="1381"/>
      <c r="EH731" s="1381"/>
      <c r="EI731" s="1381"/>
      <c r="EJ731" s="1381">
        <f t="shared" si="29"/>
        <v>0</v>
      </c>
      <c r="EK731" s="1381"/>
      <c r="EL731" s="1381"/>
      <c r="EM731" s="1381"/>
      <c r="EN731" s="1381"/>
      <c r="EO731" s="1381">
        <f t="shared" si="30"/>
        <v>0</v>
      </c>
      <c r="EP731" s="1381"/>
      <c r="EQ731" s="1381"/>
      <c r="ER731" s="1381"/>
      <c r="ES731" s="1381"/>
      <c r="ET731" s="1381">
        <f t="shared" si="31"/>
        <v>0</v>
      </c>
      <c r="EU731" s="1381"/>
      <c r="EV731" s="1381"/>
      <c r="EW731" s="1381"/>
      <c r="EX731" s="1381"/>
      <c r="EZ731" s="1358" t="str">
        <f t="shared" si="32"/>
        <v/>
      </c>
      <c r="FA731" s="1359"/>
      <c r="FB731" s="1359"/>
      <c r="FC731" s="1359"/>
      <c r="FD731" s="1360"/>
      <c r="FE731" s="1358" t="str">
        <f t="shared" si="33"/>
        <v/>
      </c>
      <c r="FF731" s="1359"/>
      <c r="FG731" s="1359"/>
      <c r="FH731" s="1359"/>
      <c r="FI731" s="1360"/>
      <c r="FJ731" s="1358">
        <f t="shared" si="34"/>
        <v>1762</v>
      </c>
      <c r="FK731" s="1359"/>
      <c r="FL731" s="1359"/>
      <c r="FM731" s="1359"/>
      <c r="FN731" s="1360"/>
      <c r="FO731" s="1358" t="str">
        <f t="shared" si="35"/>
        <v/>
      </c>
      <c r="FP731" s="1359"/>
      <c r="FQ731" s="1359"/>
      <c r="FR731" s="1359"/>
      <c r="FS731" s="1360"/>
      <c r="FT731" s="1358" t="str">
        <f t="shared" si="36"/>
        <v/>
      </c>
      <c r="FU731" s="1359"/>
      <c r="FV731" s="1359"/>
      <c r="FW731" s="1359"/>
      <c r="FX731" s="1360"/>
      <c r="FY731" s="1358" t="str">
        <f t="shared" si="37"/>
        <v/>
      </c>
      <c r="FZ731" s="1359"/>
      <c r="GA731" s="1359"/>
      <c r="GB731" s="1359"/>
      <c r="GC731" s="1360"/>
    </row>
    <row r="732" spans="1:185" ht="13" customHeight="1">
      <c r="B732" s="1362" t="s">
        <v>163</v>
      </c>
      <c r="C732" s="1363"/>
      <c r="D732" s="1363"/>
      <c r="E732" s="1363"/>
      <c r="F732" s="1364"/>
      <c r="G732" s="1371">
        <v>13</v>
      </c>
      <c r="H732" s="1372"/>
      <c r="I732" s="1372"/>
      <c r="J732" s="1373"/>
      <c r="K732" s="1599">
        <v>956</v>
      </c>
      <c r="L732" s="1600"/>
      <c r="M732" s="1600"/>
      <c r="N732" s="1601"/>
      <c r="O732" s="1378">
        <v>2122</v>
      </c>
      <c r="P732" s="1379"/>
      <c r="Q732" s="1379"/>
      <c r="R732" s="1379"/>
      <c r="S732" s="1380"/>
      <c r="T732" s="1378">
        <v>36</v>
      </c>
      <c r="U732" s="1379"/>
      <c r="V732" s="1379"/>
      <c r="W732" s="1380"/>
      <c r="X732" s="1365">
        <f t="shared" si="10"/>
        <v>2158</v>
      </c>
      <c r="Y732" s="1366"/>
      <c r="Z732" s="1366"/>
      <c r="AA732" s="1366"/>
      <c r="AB732" s="1367"/>
      <c r="AC732" s="1375">
        <v>0.6</v>
      </c>
      <c r="AD732" s="1376"/>
      <c r="AE732" s="1376"/>
      <c r="AF732" s="1376"/>
      <c r="AG732" s="1377"/>
      <c r="AH732" s="1368">
        <f t="shared" si="38"/>
        <v>0.60011123470522798</v>
      </c>
      <c r="AI732" s="1369"/>
      <c r="AJ732" s="1370"/>
      <c r="AK732" s="1362" t="s">
        <v>590</v>
      </c>
      <c r="AL732" s="1363"/>
      <c r="AM732" s="1363"/>
      <c r="AN732" s="1363"/>
      <c r="AO732" s="1364"/>
      <c r="AP732" s="3"/>
      <c r="AQ732" s="3"/>
      <c r="AR732" s="3"/>
      <c r="AS732" s="3"/>
      <c r="AY732" s="116"/>
      <c r="AZ732" s="118">
        <f t="shared" si="11"/>
        <v>3596</v>
      </c>
      <c r="BA732" s="3"/>
      <c r="BB732" s="3"/>
      <c r="BC732" s="3"/>
      <c r="BD732" s="3"/>
      <c r="BE732" s="204"/>
      <c r="BF732" s="294">
        <f t="shared" si="12"/>
        <v>13</v>
      </c>
      <c r="BG732" s="297">
        <f t="shared" si="13"/>
        <v>0.1</v>
      </c>
      <c r="BH732" s="298">
        <f t="shared" si="14"/>
        <v>0.06</v>
      </c>
      <c r="BI732" s="3"/>
      <c r="BJ732" s="3"/>
      <c r="BK732" s="3"/>
      <c r="BL732" s="3"/>
      <c r="BM732" s="3"/>
      <c r="BN732" s="3"/>
      <c r="BS732" s="294">
        <f t="shared" si="15"/>
        <v>13</v>
      </c>
      <c r="BT732" s="297">
        <f t="shared" si="16"/>
        <v>0.1</v>
      </c>
      <c r="BU732" s="298">
        <f t="shared" si="17"/>
        <v>6.0011123470522801E-2</v>
      </c>
      <c r="CC732" s="3"/>
      <c r="CE732" s="3"/>
      <c r="CF732" s="3"/>
      <c r="CG732" s="1358">
        <f t="shared" si="39"/>
        <v>0</v>
      </c>
      <c r="CH732" s="1360"/>
      <c r="CI732" s="1342">
        <f t="shared" si="40"/>
        <v>0</v>
      </c>
      <c r="CJ732" s="1344"/>
      <c r="CK732" s="1358">
        <f t="shared" si="18"/>
        <v>0</v>
      </c>
      <c r="CL732" s="1360"/>
      <c r="CM732" s="1342">
        <f t="shared" si="19"/>
        <v>0</v>
      </c>
      <c r="CN732" s="1344"/>
      <c r="CO732" s="3"/>
      <c r="CP732" s="1339">
        <f t="shared" si="20"/>
        <v>0</v>
      </c>
      <c r="CQ732" s="1340"/>
      <c r="CR732" s="1340"/>
      <c r="CS732" s="1340"/>
      <c r="CT732" s="1341"/>
      <c r="CU732" s="1361">
        <f t="shared" si="21"/>
        <v>0</v>
      </c>
      <c r="CV732" s="1361"/>
      <c r="CW732" s="1361"/>
      <c r="CX732" s="1361"/>
      <c r="CY732" s="1361"/>
      <c r="CZ732" s="1361">
        <f t="shared" si="22"/>
        <v>13</v>
      </c>
      <c r="DA732" s="1361"/>
      <c r="DB732" s="1361"/>
      <c r="DC732" s="1361"/>
      <c r="DD732" s="1361"/>
      <c r="DE732" s="1361">
        <f t="shared" si="23"/>
        <v>0</v>
      </c>
      <c r="DF732" s="1361"/>
      <c r="DG732" s="1361"/>
      <c r="DH732" s="1361"/>
      <c r="DI732" s="1361"/>
      <c r="DJ732" s="1361">
        <f t="shared" si="24"/>
        <v>0</v>
      </c>
      <c r="DK732" s="1361"/>
      <c r="DL732" s="1361"/>
      <c r="DM732" s="1361"/>
      <c r="DN732" s="1361"/>
      <c r="DO732" s="1361">
        <f t="shared" si="25"/>
        <v>0</v>
      </c>
      <c r="DP732" s="1361"/>
      <c r="DQ732" s="1361"/>
      <c r="DR732" s="1361"/>
      <c r="DS732" s="1361"/>
      <c r="DT732" s="6"/>
      <c r="DU732" s="1381">
        <f t="shared" si="26"/>
        <v>0</v>
      </c>
      <c r="DV732" s="1381"/>
      <c r="DW732" s="1381"/>
      <c r="DX732" s="1381"/>
      <c r="DY732" s="1381"/>
      <c r="DZ732" s="1381">
        <f t="shared" si="27"/>
        <v>0</v>
      </c>
      <c r="EA732" s="1381"/>
      <c r="EB732" s="1381"/>
      <c r="EC732" s="1381"/>
      <c r="ED732" s="1381"/>
      <c r="EE732" s="1381">
        <f t="shared" si="28"/>
        <v>0</v>
      </c>
      <c r="EF732" s="1381"/>
      <c r="EG732" s="1381"/>
      <c r="EH732" s="1381"/>
      <c r="EI732" s="1381"/>
      <c r="EJ732" s="1381">
        <f t="shared" si="29"/>
        <v>0</v>
      </c>
      <c r="EK732" s="1381"/>
      <c r="EL732" s="1381"/>
      <c r="EM732" s="1381"/>
      <c r="EN732" s="1381"/>
      <c r="EO732" s="1381">
        <f t="shared" si="30"/>
        <v>0</v>
      </c>
      <c r="EP732" s="1381"/>
      <c r="EQ732" s="1381"/>
      <c r="ER732" s="1381"/>
      <c r="ES732" s="1381"/>
      <c r="ET732" s="1381">
        <f t="shared" si="31"/>
        <v>0</v>
      </c>
      <c r="EU732" s="1381"/>
      <c r="EV732" s="1381"/>
      <c r="EW732" s="1381"/>
      <c r="EX732" s="1381"/>
      <c r="EZ732" s="1358" t="str">
        <f t="shared" si="32"/>
        <v/>
      </c>
      <c r="FA732" s="1359"/>
      <c r="FB732" s="1359"/>
      <c r="FC732" s="1359"/>
      <c r="FD732" s="1360"/>
      <c r="FE732" s="1358" t="str">
        <f t="shared" si="33"/>
        <v/>
      </c>
      <c r="FF732" s="1359"/>
      <c r="FG732" s="1359"/>
      <c r="FH732" s="1359"/>
      <c r="FI732" s="1360"/>
      <c r="FJ732" s="1358">
        <f t="shared" si="34"/>
        <v>2122</v>
      </c>
      <c r="FK732" s="1359"/>
      <c r="FL732" s="1359"/>
      <c r="FM732" s="1359"/>
      <c r="FN732" s="1360"/>
      <c r="FO732" s="1358" t="str">
        <f t="shared" si="35"/>
        <v/>
      </c>
      <c r="FP732" s="1359"/>
      <c r="FQ732" s="1359"/>
      <c r="FR732" s="1359"/>
      <c r="FS732" s="1360"/>
      <c r="FT732" s="1358" t="str">
        <f t="shared" si="36"/>
        <v/>
      </c>
      <c r="FU732" s="1359"/>
      <c r="FV732" s="1359"/>
      <c r="FW732" s="1359"/>
      <c r="FX732" s="1360"/>
      <c r="FY732" s="1358" t="str">
        <f t="shared" si="37"/>
        <v/>
      </c>
      <c r="FZ732" s="1359"/>
      <c r="GA732" s="1359"/>
      <c r="GB732" s="1359"/>
      <c r="GC732" s="1360"/>
    </row>
    <row r="733" spans="1:185" ht="13" customHeight="1">
      <c r="B733" s="1362" t="s">
        <v>163</v>
      </c>
      <c r="C733" s="1363"/>
      <c r="D733" s="1363"/>
      <c r="E733" s="1363"/>
      <c r="F733" s="1364"/>
      <c r="G733" s="1371">
        <v>13</v>
      </c>
      <c r="H733" s="1372"/>
      <c r="I733" s="1372"/>
      <c r="J733" s="1373"/>
      <c r="K733" s="1599">
        <v>956</v>
      </c>
      <c r="L733" s="1600"/>
      <c r="M733" s="1600"/>
      <c r="N733" s="1601"/>
      <c r="O733" s="1378">
        <v>2619</v>
      </c>
      <c r="P733" s="1379"/>
      <c r="Q733" s="1379"/>
      <c r="R733" s="1379"/>
      <c r="S733" s="1380"/>
      <c r="T733" s="1378">
        <v>36</v>
      </c>
      <c r="U733" s="1379"/>
      <c r="V733" s="1379"/>
      <c r="W733" s="1380"/>
      <c r="X733" s="1365">
        <f t="shared" si="10"/>
        <v>2655</v>
      </c>
      <c r="Y733" s="1366"/>
      <c r="Z733" s="1366"/>
      <c r="AA733" s="1366"/>
      <c r="AB733" s="1367"/>
      <c r="AC733" s="1375">
        <v>0.8</v>
      </c>
      <c r="AD733" s="1376"/>
      <c r="AE733" s="1376"/>
      <c r="AF733" s="1376"/>
      <c r="AG733" s="1377"/>
      <c r="AH733" s="1368">
        <f t="shared" si="38"/>
        <v>0.73832035595105672</v>
      </c>
      <c r="AI733" s="1369"/>
      <c r="AJ733" s="1370"/>
      <c r="AK733" s="1362" t="s">
        <v>590</v>
      </c>
      <c r="AL733" s="1363"/>
      <c r="AM733" s="1363"/>
      <c r="AN733" s="1363"/>
      <c r="AO733" s="1364"/>
      <c r="AP733" s="3"/>
      <c r="AQ733" s="3"/>
      <c r="AR733" s="3"/>
      <c r="AS733" s="3"/>
      <c r="AY733" s="1080"/>
      <c r="AZ733" s="118">
        <f t="shared" si="11"/>
        <v>3596</v>
      </c>
      <c r="BA733" s="3"/>
      <c r="BB733" s="3"/>
      <c r="BC733" s="3"/>
      <c r="BD733" s="3"/>
      <c r="BE733" s="204"/>
      <c r="BF733" s="294">
        <f t="shared" si="12"/>
        <v>13</v>
      </c>
      <c r="BG733" s="297">
        <f t="shared" si="13"/>
        <v>0.1</v>
      </c>
      <c r="BH733" s="298">
        <f t="shared" si="14"/>
        <v>8.0000000000000016E-2</v>
      </c>
      <c r="BI733" s="3"/>
      <c r="BJ733" s="3"/>
      <c r="BK733" s="3"/>
      <c r="BL733" s="3"/>
      <c r="BM733" s="3"/>
      <c r="BN733" s="3"/>
      <c r="BS733" s="294">
        <f t="shared" si="15"/>
        <v>13</v>
      </c>
      <c r="BT733" s="297">
        <f t="shared" si="16"/>
        <v>0.1</v>
      </c>
      <c r="BU733" s="298">
        <f t="shared" si="17"/>
        <v>7.3832035595105677E-2</v>
      </c>
      <c r="BV733" s="292"/>
      <c r="BW733" s="3"/>
      <c r="BX733" s="3"/>
      <c r="BY733" s="3"/>
      <c r="BZ733" s="3"/>
      <c r="CA733" s="3"/>
      <c r="CB733" s="3"/>
      <c r="CC733" s="3"/>
      <c r="CE733" s="3"/>
      <c r="CF733" s="3"/>
      <c r="CG733" s="1358">
        <f t="shared" si="39"/>
        <v>0</v>
      </c>
      <c r="CH733" s="1360"/>
      <c r="CI733" s="1342">
        <f t="shared" si="40"/>
        <v>0</v>
      </c>
      <c r="CJ733" s="1344"/>
      <c r="CK733" s="1358">
        <f t="shared" si="18"/>
        <v>0</v>
      </c>
      <c r="CL733" s="1360"/>
      <c r="CM733" s="1342">
        <f t="shared" si="19"/>
        <v>0</v>
      </c>
      <c r="CN733" s="1344"/>
      <c r="CO733" s="3"/>
      <c r="CP733" s="1339">
        <f t="shared" si="20"/>
        <v>0</v>
      </c>
      <c r="CQ733" s="1340"/>
      <c r="CR733" s="1340"/>
      <c r="CS733" s="1340"/>
      <c r="CT733" s="1341"/>
      <c r="CU733" s="1361">
        <f t="shared" si="21"/>
        <v>0</v>
      </c>
      <c r="CV733" s="1361"/>
      <c r="CW733" s="1361"/>
      <c r="CX733" s="1361"/>
      <c r="CY733" s="1361"/>
      <c r="CZ733" s="1361">
        <f t="shared" si="22"/>
        <v>13</v>
      </c>
      <c r="DA733" s="1361"/>
      <c r="DB733" s="1361"/>
      <c r="DC733" s="1361"/>
      <c r="DD733" s="1361"/>
      <c r="DE733" s="1361">
        <f t="shared" si="23"/>
        <v>0</v>
      </c>
      <c r="DF733" s="1361"/>
      <c r="DG733" s="1361"/>
      <c r="DH733" s="1361"/>
      <c r="DI733" s="1361"/>
      <c r="DJ733" s="1361">
        <f t="shared" si="24"/>
        <v>0</v>
      </c>
      <c r="DK733" s="1361"/>
      <c r="DL733" s="1361"/>
      <c r="DM733" s="1361"/>
      <c r="DN733" s="1361"/>
      <c r="DO733" s="1361">
        <f t="shared" si="25"/>
        <v>0</v>
      </c>
      <c r="DP733" s="1361"/>
      <c r="DQ733" s="1361"/>
      <c r="DR733" s="1361"/>
      <c r="DS733" s="1361"/>
      <c r="DT733" s="6"/>
      <c r="DU733" s="1381">
        <f t="shared" si="26"/>
        <v>0</v>
      </c>
      <c r="DV733" s="1381"/>
      <c r="DW733" s="1381"/>
      <c r="DX733" s="1381"/>
      <c r="DY733" s="1381"/>
      <c r="DZ733" s="1381">
        <f t="shared" si="27"/>
        <v>0</v>
      </c>
      <c r="EA733" s="1381"/>
      <c r="EB733" s="1381"/>
      <c r="EC733" s="1381"/>
      <c r="ED733" s="1381"/>
      <c r="EE733" s="1381">
        <f t="shared" si="28"/>
        <v>0</v>
      </c>
      <c r="EF733" s="1381"/>
      <c r="EG733" s="1381"/>
      <c r="EH733" s="1381"/>
      <c r="EI733" s="1381"/>
      <c r="EJ733" s="1381">
        <f t="shared" si="29"/>
        <v>0</v>
      </c>
      <c r="EK733" s="1381"/>
      <c r="EL733" s="1381"/>
      <c r="EM733" s="1381"/>
      <c r="EN733" s="1381"/>
      <c r="EO733" s="1381">
        <f t="shared" si="30"/>
        <v>0</v>
      </c>
      <c r="EP733" s="1381"/>
      <c r="EQ733" s="1381"/>
      <c r="ER733" s="1381"/>
      <c r="ES733" s="1381"/>
      <c r="ET733" s="1381">
        <f t="shared" si="31"/>
        <v>0</v>
      </c>
      <c r="EU733" s="1381"/>
      <c r="EV733" s="1381"/>
      <c r="EW733" s="1381"/>
      <c r="EX733" s="1381"/>
      <c r="EZ733" s="1358" t="str">
        <f t="shared" si="32"/>
        <v/>
      </c>
      <c r="FA733" s="1359"/>
      <c r="FB733" s="1359"/>
      <c r="FC733" s="1359"/>
      <c r="FD733" s="1360"/>
      <c r="FE733" s="1358" t="str">
        <f t="shared" si="33"/>
        <v/>
      </c>
      <c r="FF733" s="1359"/>
      <c r="FG733" s="1359"/>
      <c r="FH733" s="1359"/>
      <c r="FI733" s="1360"/>
      <c r="FJ733" s="1358">
        <f t="shared" si="34"/>
        <v>2619</v>
      </c>
      <c r="FK733" s="1359"/>
      <c r="FL733" s="1359"/>
      <c r="FM733" s="1359"/>
      <c r="FN733" s="1360"/>
      <c r="FO733" s="1358" t="str">
        <f t="shared" si="35"/>
        <v/>
      </c>
      <c r="FP733" s="1359"/>
      <c r="FQ733" s="1359"/>
      <c r="FR733" s="1359"/>
      <c r="FS733" s="1360"/>
      <c r="FT733" s="1358" t="str">
        <f t="shared" si="36"/>
        <v/>
      </c>
      <c r="FU733" s="1359"/>
      <c r="FV733" s="1359"/>
      <c r="FW733" s="1359"/>
      <c r="FX733" s="1360"/>
      <c r="FY733" s="1358" t="str">
        <f t="shared" si="37"/>
        <v/>
      </c>
      <c r="FZ733" s="1359"/>
      <c r="GA733" s="1359"/>
      <c r="GB733" s="1359"/>
      <c r="GC733" s="1360"/>
    </row>
    <row r="734" spans="1:185" ht="13" customHeight="1">
      <c r="B734" s="1362" t="s">
        <v>164</v>
      </c>
      <c r="C734" s="1363"/>
      <c r="D734" s="1363"/>
      <c r="E734" s="1363"/>
      <c r="F734" s="1364"/>
      <c r="G734" s="1371">
        <v>11</v>
      </c>
      <c r="H734" s="1372"/>
      <c r="I734" s="1372"/>
      <c r="J734" s="1373"/>
      <c r="K734" s="1599">
        <v>1070</v>
      </c>
      <c r="L734" s="1600"/>
      <c r="M734" s="1600"/>
      <c r="N734" s="1601"/>
      <c r="O734" s="1378">
        <v>1202</v>
      </c>
      <c r="P734" s="1379"/>
      <c r="Q734" s="1379"/>
      <c r="R734" s="1379"/>
      <c r="S734" s="1380"/>
      <c r="T734" s="1378">
        <v>44</v>
      </c>
      <c r="U734" s="1379"/>
      <c r="V734" s="1379"/>
      <c r="W734" s="1380"/>
      <c r="X734" s="1365">
        <f t="shared" si="10"/>
        <v>1246</v>
      </c>
      <c r="Y734" s="1366"/>
      <c r="Z734" s="1366"/>
      <c r="AA734" s="1366"/>
      <c r="AB734" s="1367"/>
      <c r="AC734" s="1375">
        <v>0.3</v>
      </c>
      <c r="AD734" s="1376"/>
      <c r="AE734" s="1376"/>
      <c r="AF734" s="1376"/>
      <c r="AG734" s="1377"/>
      <c r="AH734" s="1368">
        <f t="shared" si="38"/>
        <v>0.29995185363505056</v>
      </c>
      <c r="AI734" s="1369"/>
      <c r="AJ734" s="1370"/>
      <c r="AK734" s="1362" t="s">
        <v>590</v>
      </c>
      <c r="AL734" s="1363"/>
      <c r="AM734" s="1363"/>
      <c r="AN734" s="1363"/>
      <c r="AO734" s="1364"/>
      <c r="AP734" s="3"/>
      <c r="AQ734" s="3"/>
      <c r="AR734" s="3"/>
      <c r="AS734" s="3"/>
      <c r="AY734" s="1080"/>
      <c r="AZ734" s="118">
        <f t="shared" si="11"/>
        <v>4154</v>
      </c>
      <c r="BA734" s="3"/>
      <c r="BB734" s="3"/>
      <c r="BC734" s="3"/>
      <c r="BD734" s="3"/>
      <c r="BE734" s="204"/>
      <c r="BF734" s="294">
        <f t="shared" si="12"/>
        <v>11</v>
      </c>
      <c r="BG734" s="297">
        <f t="shared" si="13"/>
        <v>8.461538461538462E-2</v>
      </c>
      <c r="BH734" s="298">
        <f t="shared" si="14"/>
        <v>2.5384615384615384E-2</v>
      </c>
      <c r="BI734" s="3"/>
      <c r="BJ734" s="3"/>
      <c r="BK734" s="3"/>
      <c r="BL734" s="3"/>
      <c r="BM734" s="3"/>
      <c r="BN734" s="3"/>
      <c r="BS734" s="294">
        <f t="shared" si="15"/>
        <v>11</v>
      </c>
      <c r="BT734" s="297">
        <f t="shared" si="16"/>
        <v>8.461538461538462E-2</v>
      </c>
      <c r="BU734" s="298">
        <f t="shared" si="17"/>
        <v>2.5380541461427358E-2</v>
      </c>
      <c r="BV734" s="3"/>
      <c r="BW734" s="3"/>
      <c r="BX734" s="3"/>
      <c r="BY734" s="3"/>
      <c r="BZ734" s="3"/>
      <c r="CA734" s="3"/>
      <c r="CB734" s="3"/>
      <c r="CC734" s="3"/>
      <c r="CE734" s="3"/>
      <c r="CF734" s="3"/>
      <c r="CG734" s="1358">
        <f t="shared" si="39"/>
        <v>0</v>
      </c>
      <c r="CH734" s="1360"/>
      <c r="CI734" s="1342">
        <f t="shared" si="40"/>
        <v>0</v>
      </c>
      <c r="CJ734" s="1344"/>
      <c r="CK734" s="1358">
        <f t="shared" si="18"/>
        <v>1</v>
      </c>
      <c r="CL734" s="1360"/>
      <c r="CM734" s="1342">
        <f t="shared" si="19"/>
        <v>11</v>
      </c>
      <c r="CN734" s="1344"/>
      <c r="CO734" s="3"/>
      <c r="CP734" s="1339">
        <f t="shared" si="20"/>
        <v>0</v>
      </c>
      <c r="CQ734" s="1340"/>
      <c r="CR734" s="1340"/>
      <c r="CS734" s="1340"/>
      <c r="CT734" s="1341"/>
      <c r="CU734" s="1361">
        <f t="shared" si="21"/>
        <v>0</v>
      </c>
      <c r="CV734" s="1361"/>
      <c r="CW734" s="1361"/>
      <c r="CX734" s="1361"/>
      <c r="CY734" s="1361"/>
      <c r="CZ734" s="1361">
        <f t="shared" si="22"/>
        <v>0</v>
      </c>
      <c r="DA734" s="1361"/>
      <c r="DB734" s="1361"/>
      <c r="DC734" s="1361"/>
      <c r="DD734" s="1361"/>
      <c r="DE734" s="1361">
        <f t="shared" si="23"/>
        <v>11</v>
      </c>
      <c r="DF734" s="1361"/>
      <c r="DG734" s="1361"/>
      <c r="DH734" s="1361"/>
      <c r="DI734" s="1361"/>
      <c r="DJ734" s="1361">
        <f t="shared" si="24"/>
        <v>0</v>
      </c>
      <c r="DK734" s="1361"/>
      <c r="DL734" s="1361"/>
      <c r="DM734" s="1361"/>
      <c r="DN734" s="1361"/>
      <c r="DO734" s="1361">
        <f t="shared" si="25"/>
        <v>0</v>
      </c>
      <c r="DP734" s="1361"/>
      <c r="DQ734" s="1361"/>
      <c r="DR734" s="1361"/>
      <c r="DS734" s="1361"/>
      <c r="DT734" s="6"/>
      <c r="DU734" s="1381">
        <f t="shared" si="26"/>
        <v>0</v>
      </c>
      <c r="DV734" s="1381"/>
      <c r="DW734" s="1381"/>
      <c r="DX734" s="1381"/>
      <c r="DY734" s="1381"/>
      <c r="DZ734" s="1381">
        <f t="shared" si="27"/>
        <v>0</v>
      </c>
      <c r="EA734" s="1381"/>
      <c r="EB734" s="1381"/>
      <c r="EC734" s="1381"/>
      <c r="ED734" s="1381"/>
      <c r="EE734" s="1381">
        <f t="shared" si="28"/>
        <v>0</v>
      </c>
      <c r="EF734" s="1381"/>
      <c r="EG734" s="1381"/>
      <c r="EH734" s="1381"/>
      <c r="EI734" s="1381"/>
      <c r="EJ734" s="1381">
        <f t="shared" si="29"/>
        <v>11</v>
      </c>
      <c r="EK734" s="1381"/>
      <c r="EL734" s="1381"/>
      <c r="EM734" s="1381"/>
      <c r="EN734" s="1381"/>
      <c r="EO734" s="1381">
        <f t="shared" si="30"/>
        <v>0</v>
      </c>
      <c r="EP734" s="1381"/>
      <c r="EQ734" s="1381"/>
      <c r="ER734" s="1381"/>
      <c r="ES734" s="1381"/>
      <c r="ET734" s="1381">
        <f t="shared" si="31"/>
        <v>0</v>
      </c>
      <c r="EU734" s="1381"/>
      <c r="EV734" s="1381"/>
      <c r="EW734" s="1381"/>
      <c r="EX734" s="1381"/>
      <c r="EY734" s="4"/>
      <c r="EZ734" s="1358" t="str">
        <f t="shared" si="32"/>
        <v/>
      </c>
      <c r="FA734" s="1359"/>
      <c r="FB734" s="1359"/>
      <c r="FC734" s="1359"/>
      <c r="FD734" s="1360"/>
      <c r="FE734" s="1358" t="str">
        <f t="shared" si="33"/>
        <v/>
      </c>
      <c r="FF734" s="1359"/>
      <c r="FG734" s="1359"/>
      <c r="FH734" s="1359"/>
      <c r="FI734" s="1360"/>
      <c r="FJ734" s="1358" t="str">
        <f t="shared" si="34"/>
        <v/>
      </c>
      <c r="FK734" s="1359"/>
      <c r="FL734" s="1359"/>
      <c r="FM734" s="1359"/>
      <c r="FN734" s="1360"/>
      <c r="FO734" s="1358">
        <f t="shared" si="35"/>
        <v>1202</v>
      </c>
      <c r="FP734" s="1359"/>
      <c r="FQ734" s="1359"/>
      <c r="FR734" s="1359"/>
      <c r="FS734" s="1360"/>
      <c r="FT734" s="1358" t="str">
        <f t="shared" si="36"/>
        <v/>
      </c>
      <c r="FU734" s="1359"/>
      <c r="FV734" s="1359"/>
      <c r="FW734" s="1359"/>
      <c r="FX734" s="1360"/>
      <c r="FY734" s="1358" t="str">
        <f t="shared" si="37"/>
        <v/>
      </c>
      <c r="FZ734" s="1359"/>
      <c r="GA734" s="1359"/>
      <c r="GB734" s="1359"/>
      <c r="GC734" s="1360"/>
    </row>
    <row r="735" spans="1:185" ht="13" customHeight="1">
      <c r="A735" s="4"/>
      <c r="B735" s="1362" t="s">
        <v>164</v>
      </c>
      <c r="C735" s="1363"/>
      <c r="D735" s="1363"/>
      <c r="E735" s="1363"/>
      <c r="F735" s="1364"/>
      <c r="G735" s="1371">
        <v>10</v>
      </c>
      <c r="H735" s="1372"/>
      <c r="I735" s="1372"/>
      <c r="J735" s="1373"/>
      <c r="K735" s="1599">
        <v>1070</v>
      </c>
      <c r="L735" s="1600"/>
      <c r="M735" s="1600"/>
      <c r="N735" s="1601"/>
      <c r="O735" s="1378">
        <v>2033</v>
      </c>
      <c r="P735" s="1379"/>
      <c r="Q735" s="1379"/>
      <c r="R735" s="1379"/>
      <c r="S735" s="1380"/>
      <c r="T735" s="1378">
        <v>44</v>
      </c>
      <c r="U735" s="1379"/>
      <c r="V735" s="1379"/>
      <c r="W735" s="1380"/>
      <c r="X735" s="1365">
        <f t="shared" si="10"/>
        <v>2077</v>
      </c>
      <c r="Y735" s="1366"/>
      <c r="Z735" s="1366"/>
      <c r="AA735" s="1366"/>
      <c r="AB735" s="1367"/>
      <c r="AC735" s="1375">
        <v>0.5</v>
      </c>
      <c r="AD735" s="1376"/>
      <c r="AE735" s="1376"/>
      <c r="AF735" s="1376"/>
      <c r="AG735" s="1377"/>
      <c r="AH735" s="1368">
        <f t="shared" si="38"/>
        <v>0.5</v>
      </c>
      <c r="AI735" s="1369"/>
      <c r="AJ735" s="1370"/>
      <c r="AK735" s="1362" t="s">
        <v>590</v>
      </c>
      <c r="AL735" s="1363"/>
      <c r="AM735" s="1363"/>
      <c r="AN735" s="1363"/>
      <c r="AO735" s="1364"/>
      <c r="AP735" s="3"/>
      <c r="AQ735" s="3"/>
      <c r="AR735" s="3"/>
      <c r="AS735" s="3"/>
      <c r="AY735" s="1080"/>
      <c r="AZ735" s="118">
        <f t="shared" si="11"/>
        <v>4154</v>
      </c>
      <c r="BA735" s="3"/>
      <c r="BB735" s="3"/>
      <c r="BC735" s="3"/>
      <c r="BD735" s="3"/>
      <c r="BE735" s="204"/>
      <c r="BF735" s="294">
        <f t="shared" si="12"/>
        <v>10</v>
      </c>
      <c r="BG735" s="297">
        <f t="shared" si="13"/>
        <v>7.6923076923076927E-2</v>
      </c>
      <c r="BH735" s="298">
        <f t="shared" si="14"/>
        <v>3.8461538461538464E-2</v>
      </c>
      <c r="BI735" s="3"/>
      <c r="BJ735" s="3"/>
      <c r="BK735" s="3"/>
      <c r="BL735" s="3"/>
      <c r="BM735" s="3"/>
      <c r="BN735" s="3"/>
      <c r="BS735" s="294">
        <f t="shared" si="15"/>
        <v>10</v>
      </c>
      <c r="BT735" s="297">
        <f t="shared" si="16"/>
        <v>7.6923076923076927E-2</v>
      </c>
      <c r="BU735" s="298">
        <f t="shared" si="17"/>
        <v>3.8461538461538464E-2</v>
      </c>
      <c r="BV735" s="3"/>
      <c r="BW735" s="3"/>
      <c r="BX735" s="3"/>
      <c r="BY735" s="3"/>
      <c r="BZ735" s="3"/>
      <c r="CA735" s="3"/>
      <c r="CB735" s="3"/>
      <c r="CC735" s="3"/>
      <c r="CE735" s="3"/>
      <c r="CF735" s="3"/>
      <c r="CG735" s="1358">
        <f t="shared" si="39"/>
        <v>1</v>
      </c>
      <c r="CH735" s="1360"/>
      <c r="CI735" s="1342">
        <f t="shared" si="40"/>
        <v>10</v>
      </c>
      <c r="CJ735" s="1344"/>
      <c r="CK735" s="1358">
        <f t="shared" si="18"/>
        <v>0</v>
      </c>
      <c r="CL735" s="1360"/>
      <c r="CM735" s="1342">
        <f t="shared" si="19"/>
        <v>0</v>
      </c>
      <c r="CN735" s="1344"/>
      <c r="CO735" s="3"/>
      <c r="CP735" s="1339">
        <f t="shared" si="20"/>
        <v>0</v>
      </c>
      <c r="CQ735" s="1340"/>
      <c r="CR735" s="1340"/>
      <c r="CS735" s="1340"/>
      <c r="CT735" s="1341"/>
      <c r="CU735" s="1361">
        <f t="shared" si="21"/>
        <v>0</v>
      </c>
      <c r="CV735" s="1361"/>
      <c r="CW735" s="1361"/>
      <c r="CX735" s="1361"/>
      <c r="CY735" s="1361"/>
      <c r="CZ735" s="1361">
        <f t="shared" si="22"/>
        <v>0</v>
      </c>
      <c r="DA735" s="1361"/>
      <c r="DB735" s="1361"/>
      <c r="DC735" s="1361"/>
      <c r="DD735" s="1361"/>
      <c r="DE735" s="1361">
        <f t="shared" si="23"/>
        <v>10</v>
      </c>
      <c r="DF735" s="1361"/>
      <c r="DG735" s="1361"/>
      <c r="DH735" s="1361"/>
      <c r="DI735" s="1361"/>
      <c r="DJ735" s="1361">
        <f t="shared" si="24"/>
        <v>0</v>
      </c>
      <c r="DK735" s="1361"/>
      <c r="DL735" s="1361"/>
      <c r="DM735" s="1361"/>
      <c r="DN735" s="1361"/>
      <c r="DO735" s="1361">
        <f t="shared" si="25"/>
        <v>0</v>
      </c>
      <c r="DP735" s="1361"/>
      <c r="DQ735" s="1361"/>
      <c r="DR735" s="1361"/>
      <c r="DS735" s="1361"/>
      <c r="DT735" s="6"/>
      <c r="DU735" s="1381">
        <f t="shared" si="26"/>
        <v>0</v>
      </c>
      <c r="DV735" s="1381"/>
      <c r="DW735" s="1381"/>
      <c r="DX735" s="1381"/>
      <c r="DY735" s="1381"/>
      <c r="DZ735" s="1381">
        <f t="shared" si="27"/>
        <v>0</v>
      </c>
      <c r="EA735" s="1381"/>
      <c r="EB735" s="1381"/>
      <c r="EC735" s="1381"/>
      <c r="ED735" s="1381"/>
      <c r="EE735" s="1381">
        <f t="shared" si="28"/>
        <v>0</v>
      </c>
      <c r="EF735" s="1381"/>
      <c r="EG735" s="1381"/>
      <c r="EH735" s="1381"/>
      <c r="EI735" s="1381"/>
      <c r="EJ735" s="1381">
        <f t="shared" si="29"/>
        <v>0</v>
      </c>
      <c r="EK735" s="1381"/>
      <c r="EL735" s="1381"/>
      <c r="EM735" s="1381"/>
      <c r="EN735" s="1381"/>
      <c r="EO735" s="1381">
        <f t="shared" si="30"/>
        <v>0</v>
      </c>
      <c r="EP735" s="1381"/>
      <c r="EQ735" s="1381"/>
      <c r="ER735" s="1381"/>
      <c r="ES735" s="1381"/>
      <c r="ET735" s="1381">
        <f t="shared" si="31"/>
        <v>0</v>
      </c>
      <c r="EU735" s="1381"/>
      <c r="EV735" s="1381"/>
      <c r="EW735" s="1381"/>
      <c r="EX735" s="1381"/>
      <c r="EY735" s="4"/>
      <c r="EZ735" s="1358" t="str">
        <f t="shared" si="32"/>
        <v/>
      </c>
      <c r="FA735" s="1359"/>
      <c r="FB735" s="1359"/>
      <c r="FC735" s="1359"/>
      <c r="FD735" s="1360"/>
      <c r="FE735" s="1358" t="str">
        <f t="shared" si="33"/>
        <v/>
      </c>
      <c r="FF735" s="1359"/>
      <c r="FG735" s="1359"/>
      <c r="FH735" s="1359"/>
      <c r="FI735" s="1360"/>
      <c r="FJ735" s="1358" t="str">
        <f t="shared" si="34"/>
        <v/>
      </c>
      <c r="FK735" s="1359"/>
      <c r="FL735" s="1359"/>
      <c r="FM735" s="1359"/>
      <c r="FN735" s="1360"/>
      <c r="FO735" s="1358">
        <f t="shared" si="35"/>
        <v>2033</v>
      </c>
      <c r="FP735" s="1359"/>
      <c r="FQ735" s="1359"/>
      <c r="FR735" s="1359"/>
      <c r="FS735" s="1360"/>
      <c r="FT735" s="1358" t="str">
        <f t="shared" si="36"/>
        <v/>
      </c>
      <c r="FU735" s="1359"/>
      <c r="FV735" s="1359"/>
      <c r="FW735" s="1359"/>
      <c r="FX735" s="1360"/>
      <c r="FY735" s="1358" t="str">
        <f t="shared" si="37"/>
        <v/>
      </c>
      <c r="FZ735" s="1359"/>
      <c r="GA735" s="1359"/>
      <c r="GB735" s="1359"/>
      <c r="GC735" s="1360"/>
    </row>
    <row r="736" spans="1:185" ht="13" customHeight="1">
      <c r="A736" s="4"/>
      <c r="B736" s="1362" t="s">
        <v>164</v>
      </c>
      <c r="C736" s="1363"/>
      <c r="D736" s="1363"/>
      <c r="E736" s="1363"/>
      <c r="F736" s="1364"/>
      <c r="G736" s="1371">
        <v>9</v>
      </c>
      <c r="H736" s="1372"/>
      <c r="I736" s="1372"/>
      <c r="J736" s="1373"/>
      <c r="K736" s="1599">
        <v>1070</v>
      </c>
      <c r="L736" s="1600"/>
      <c r="M736" s="1600"/>
      <c r="N736" s="1601"/>
      <c r="O736" s="1378">
        <v>2449</v>
      </c>
      <c r="P736" s="1379"/>
      <c r="Q736" s="1379"/>
      <c r="R736" s="1379"/>
      <c r="S736" s="1380"/>
      <c r="T736" s="1378">
        <v>44</v>
      </c>
      <c r="U736" s="1379"/>
      <c r="V736" s="1379"/>
      <c r="W736" s="1380"/>
      <c r="X736" s="1365">
        <f t="shared" si="10"/>
        <v>2493</v>
      </c>
      <c r="Y736" s="1366"/>
      <c r="Z736" s="1366"/>
      <c r="AA736" s="1366"/>
      <c r="AB736" s="1367"/>
      <c r="AC736" s="1375">
        <v>0.6</v>
      </c>
      <c r="AD736" s="1376"/>
      <c r="AE736" s="1376"/>
      <c r="AF736" s="1376"/>
      <c r="AG736" s="1377"/>
      <c r="AH736" s="1368">
        <f t="shared" si="38"/>
        <v>0.60014443909484838</v>
      </c>
      <c r="AI736" s="1369"/>
      <c r="AJ736" s="1370"/>
      <c r="AK736" s="1362" t="s">
        <v>590</v>
      </c>
      <c r="AL736" s="1363"/>
      <c r="AM736" s="1363"/>
      <c r="AN736" s="1363"/>
      <c r="AO736" s="1364"/>
      <c r="AP736" s="3"/>
      <c r="AQ736" s="3"/>
      <c r="AR736" s="3"/>
      <c r="AS736" s="3"/>
      <c r="AY736" s="1080"/>
      <c r="AZ736" s="118">
        <f t="shared" si="11"/>
        <v>4154</v>
      </c>
      <c r="BA736" s="3"/>
      <c r="BB736" s="3"/>
      <c r="BC736" s="3"/>
      <c r="BD736" s="3"/>
      <c r="BE736" s="204"/>
      <c r="BF736" s="294">
        <f t="shared" si="12"/>
        <v>9</v>
      </c>
      <c r="BG736" s="297">
        <f t="shared" si="13"/>
        <v>6.9230769230769235E-2</v>
      </c>
      <c r="BH736" s="298">
        <f t="shared" si="14"/>
        <v>4.1538461538461538E-2</v>
      </c>
      <c r="BI736" s="3"/>
      <c r="BJ736" s="3"/>
      <c r="BK736" s="3"/>
      <c r="BL736" s="3"/>
      <c r="BM736" s="3"/>
      <c r="BN736" s="3"/>
      <c r="BS736" s="294">
        <f t="shared" si="15"/>
        <v>9</v>
      </c>
      <c r="BT736" s="297">
        <f t="shared" si="16"/>
        <v>6.9230769230769235E-2</v>
      </c>
      <c r="BU736" s="298">
        <f t="shared" si="17"/>
        <v>4.1548461168104893E-2</v>
      </c>
      <c r="BV736" s="3"/>
      <c r="BW736" s="3"/>
      <c r="BX736" s="3"/>
      <c r="BY736" s="3"/>
      <c r="BZ736" s="3"/>
      <c r="CA736" s="3"/>
      <c r="CB736" s="3"/>
      <c r="CC736" s="3"/>
      <c r="CE736" s="3"/>
      <c r="CF736" s="3"/>
      <c r="CG736" s="1358">
        <f t="shared" si="39"/>
        <v>0</v>
      </c>
      <c r="CH736" s="1360"/>
      <c r="CI736" s="1342">
        <f t="shared" si="40"/>
        <v>0</v>
      </c>
      <c r="CJ736" s="1344"/>
      <c r="CK736" s="1358">
        <f t="shared" si="18"/>
        <v>0</v>
      </c>
      <c r="CL736" s="1360"/>
      <c r="CM736" s="1342">
        <f t="shared" si="19"/>
        <v>0</v>
      </c>
      <c r="CN736" s="1344"/>
      <c r="CO736" s="3"/>
      <c r="CP736" s="1339">
        <f t="shared" si="20"/>
        <v>0</v>
      </c>
      <c r="CQ736" s="1340"/>
      <c r="CR736" s="1340"/>
      <c r="CS736" s="1340"/>
      <c r="CT736" s="1341"/>
      <c r="CU736" s="1361">
        <f t="shared" si="21"/>
        <v>0</v>
      </c>
      <c r="CV736" s="1361"/>
      <c r="CW736" s="1361"/>
      <c r="CX736" s="1361"/>
      <c r="CY736" s="1361"/>
      <c r="CZ736" s="1361">
        <f t="shared" si="22"/>
        <v>0</v>
      </c>
      <c r="DA736" s="1361"/>
      <c r="DB736" s="1361"/>
      <c r="DC736" s="1361"/>
      <c r="DD736" s="1361"/>
      <c r="DE736" s="1361">
        <f t="shared" si="23"/>
        <v>9</v>
      </c>
      <c r="DF736" s="1361"/>
      <c r="DG736" s="1361"/>
      <c r="DH736" s="1361"/>
      <c r="DI736" s="1361"/>
      <c r="DJ736" s="1361">
        <f t="shared" si="24"/>
        <v>0</v>
      </c>
      <c r="DK736" s="1361"/>
      <c r="DL736" s="1361"/>
      <c r="DM736" s="1361"/>
      <c r="DN736" s="1361"/>
      <c r="DO736" s="1361">
        <f t="shared" si="25"/>
        <v>0</v>
      </c>
      <c r="DP736" s="1361"/>
      <c r="DQ736" s="1361"/>
      <c r="DR736" s="1361"/>
      <c r="DS736" s="1361"/>
      <c r="DT736" s="6"/>
      <c r="DU736" s="1381">
        <f t="shared" si="26"/>
        <v>0</v>
      </c>
      <c r="DV736" s="1381"/>
      <c r="DW736" s="1381"/>
      <c r="DX736" s="1381"/>
      <c r="DY736" s="1381"/>
      <c r="DZ736" s="1381">
        <f t="shared" si="27"/>
        <v>0</v>
      </c>
      <c r="EA736" s="1381"/>
      <c r="EB736" s="1381"/>
      <c r="EC736" s="1381"/>
      <c r="ED736" s="1381"/>
      <c r="EE736" s="1381">
        <f t="shared" si="28"/>
        <v>0</v>
      </c>
      <c r="EF736" s="1381"/>
      <c r="EG736" s="1381"/>
      <c r="EH736" s="1381"/>
      <c r="EI736" s="1381"/>
      <c r="EJ736" s="1381">
        <f t="shared" si="29"/>
        <v>0</v>
      </c>
      <c r="EK736" s="1381"/>
      <c r="EL736" s="1381"/>
      <c r="EM736" s="1381"/>
      <c r="EN736" s="1381"/>
      <c r="EO736" s="1381">
        <f t="shared" si="30"/>
        <v>0</v>
      </c>
      <c r="EP736" s="1381"/>
      <c r="EQ736" s="1381"/>
      <c r="ER736" s="1381"/>
      <c r="ES736" s="1381"/>
      <c r="ET736" s="1381">
        <f t="shared" si="31"/>
        <v>0</v>
      </c>
      <c r="EU736" s="1381"/>
      <c r="EV736" s="1381"/>
      <c r="EW736" s="1381"/>
      <c r="EX736" s="1381"/>
      <c r="EY736" s="4"/>
      <c r="EZ736" s="1358" t="str">
        <f t="shared" si="32"/>
        <v/>
      </c>
      <c r="FA736" s="1359"/>
      <c r="FB736" s="1359"/>
      <c r="FC736" s="1359"/>
      <c r="FD736" s="1360"/>
      <c r="FE736" s="1358" t="str">
        <f t="shared" si="33"/>
        <v/>
      </c>
      <c r="FF736" s="1359"/>
      <c r="FG736" s="1359"/>
      <c r="FH736" s="1359"/>
      <c r="FI736" s="1360"/>
      <c r="FJ736" s="1358" t="str">
        <f t="shared" si="34"/>
        <v/>
      </c>
      <c r="FK736" s="1359"/>
      <c r="FL736" s="1359"/>
      <c r="FM736" s="1359"/>
      <c r="FN736" s="1360"/>
      <c r="FO736" s="1358">
        <f t="shared" si="35"/>
        <v>2449</v>
      </c>
      <c r="FP736" s="1359"/>
      <c r="FQ736" s="1359"/>
      <c r="FR736" s="1359"/>
      <c r="FS736" s="1360"/>
      <c r="FT736" s="1358" t="str">
        <f t="shared" si="36"/>
        <v/>
      </c>
      <c r="FU736" s="1359"/>
      <c r="FV736" s="1359"/>
      <c r="FW736" s="1359"/>
      <c r="FX736" s="1360"/>
      <c r="FY736" s="1358" t="str">
        <f t="shared" si="37"/>
        <v/>
      </c>
      <c r="FZ736" s="1359"/>
      <c r="GA736" s="1359"/>
      <c r="GB736" s="1359"/>
      <c r="GC736" s="1360"/>
    </row>
    <row r="737" spans="1:185" ht="13" customHeight="1">
      <c r="A737" s="4"/>
      <c r="B737" s="1362" t="s">
        <v>164</v>
      </c>
      <c r="C737" s="1363"/>
      <c r="D737" s="1363"/>
      <c r="E737" s="1363"/>
      <c r="F737" s="1364"/>
      <c r="G737" s="1371">
        <v>12</v>
      </c>
      <c r="H737" s="1372"/>
      <c r="I737" s="1372"/>
      <c r="J737" s="1373"/>
      <c r="K737" s="1599">
        <v>1070</v>
      </c>
      <c r="L737" s="1600"/>
      <c r="M737" s="1600"/>
      <c r="N737" s="1601"/>
      <c r="O737" s="1378">
        <v>3096</v>
      </c>
      <c r="P737" s="1379"/>
      <c r="Q737" s="1379"/>
      <c r="R737" s="1379"/>
      <c r="S737" s="1380"/>
      <c r="T737" s="1378">
        <v>44</v>
      </c>
      <c r="U737" s="1379"/>
      <c r="V737" s="1379"/>
      <c r="W737" s="1380"/>
      <c r="X737" s="1365">
        <f t="shared" si="10"/>
        <v>3140</v>
      </c>
      <c r="Y737" s="1366"/>
      <c r="Z737" s="1366"/>
      <c r="AA737" s="1366"/>
      <c r="AB737" s="1367"/>
      <c r="AC737" s="1375">
        <v>0.8</v>
      </c>
      <c r="AD737" s="1376"/>
      <c r="AE737" s="1376"/>
      <c r="AF737" s="1376"/>
      <c r="AG737" s="1377"/>
      <c r="AH737" s="1368">
        <f t="shared" si="38"/>
        <v>0.7558979297063072</v>
      </c>
      <c r="AI737" s="1369"/>
      <c r="AJ737" s="1370"/>
      <c r="AK737" s="1362" t="s">
        <v>590</v>
      </c>
      <c r="AL737" s="1363"/>
      <c r="AM737" s="1363"/>
      <c r="AN737" s="1363"/>
      <c r="AO737" s="1364"/>
      <c r="AP737" s="3"/>
      <c r="AQ737" s="3"/>
      <c r="AR737" s="3"/>
      <c r="AS737" s="3"/>
      <c r="AY737" s="1080"/>
      <c r="AZ737" s="118">
        <f t="shared" si="11"/>
        <v>4154</v>
      </c>
      <c r="BA737" s="3"/>
      <c r="BB737" s="3"/>
      <c r="BC737" s="3"/>
      <c r="BD737" s="3"/>
      <c r="BE737" s="204"/>
      <c r="BF737" s="294">
        <f t="shared" si="12"/>
        <v>12</v>
      </c>
      <c r="BG737" s="297">
        <f t="shared" si="13"/>
        <v>9.2307692307692313E-2</v>
      </c>
      <c r="BH737" s="298">
        <f t="shared" si="14"/>
        <v>7.3846153846153853E-2</v>
      </c>
      <c r="BI737" s="3"/>
      <c r="BJ737" s="3"/>
      <c r="BK737" s="3"/>
      <c r="BL737" s="3"/>
      <c r="BM737" s="3"/>
      <c r="BN737" s="3"/>
      <c r="BS737" s="294">
        <f t="shared" si="15"/>
        <v>12</v>
      </c>
      <c r="BT737" s="297">
        <f t="shared" si="16"/>
        <v>9.2307692307692313E-2</v>
      </c>
      <c r="BU737" s="298">
        <f t="shared" si="17"/>
        <v>6.9775193511351433E-2</v>
      </c>
      <c r="BV737" s="3"/>
      <c r="BW737" s="3"/>
      <c r="BX737" s="3"/>
      <c r="BY737" s="3"/>
      <c r="BZ737" s="3"/>
      <c r="CA737" s="3"/>
      <c r="CB737" s="3"/>
      <c r="CC737" s="3"/>
      <c r="CE737" s="3"/>
      <c r="CF737" s="3"/>
      <c r="CG737" s="1358">
        <f t="shared" si="39"/>
        <v>0</v>
      </c>
      <c r="CH737" s="1360"/>
      <c r="CI737" s="1342">
        <f t="shared" si="40"/>
        <v>0</v>
      </c>
      <c r="CJ737" s="1344"/>
      <c r="CK737" s="1358">
        <f t="shared" si="18"/>
        <v>0</v>
      </c>
      <c r="CL737" s="1360"/>
      <c r="CM737" s="1342">
        <f t="shared" si="19"/>
        <v>0</v>
      </c>
      <c r="CN737" s="1344"/>
      <c r="CO737" s="3"/>
      <c r="CP737" s="1339">
        <f t="shared" si="20"/>
        <v>0</v>
      </c>
      <c r="CQ737" s="1340"/>
      <c r="CR737" s="1340"/>
      <c r="CS737" s="1340"/>
      <c r="CT737" s="1341"/>
      <c r="CU737" s="1361">
        <f t="shared" si="21"/>
        <v>0</v>
      </c>
      <c r="CV737" s="1361"/>
      <c r="CW737" s="1361"/>
      <c r="CX737" s="1361"/>
      <c r="CY737" s="1361"/>
      <c r="CZ737" s="1361">
        <f t="shared" si="22"/>
        <v>0</v>
      </c>
      <c r="DA737" s="1361"/>
      <c r="DB737" s="1361"/>
      <c r="DC737" s="1361"/>
      <c r="DD737" s="1361"/>
      <c r="DE737" s="1361">
        <f t="shared" si="23"/>
        <v>12</v>
      </c>
      <c r="DF737" s="1361"/>
      <c r="DG737" s="1361"/>
      <c r="DH737" s="1361"/>
      <c r="DI737" s="1361"/>
      <c r="DJ737" s="1361">
        <f t="shared" si="24"/>
        <v>0</v>
      </c>
      <c r="DK737" s="1361"/>
      <c r="DL737" s="1361"/>
      <c r="DM737" s="1361"/>
      <c r="DN737" s="1361"/>
      <c r="DO737" s="1361">
        <f t="shared" si="25"/>
        <v>0</v>
      </c>
      <c r="DP737" s="1361"/>
      <c r="DQ737" s="1361"/>
      <c r="DR737" s="1361"/>
      <c r="DS737" s="1361"/>
      <c r="DT737" s="6"/>
      <c r="DU737" s="1381">
        <f t="shared" si="26"/>
        <v>0</v>
      </c>
      <c r="DV737" s="1381"/>
      <c r="DW737" s="1381"/>
      <c r="DX737" s="1381"/>
      <c r="DY737" s="1381"/>
      <c r="DZ737" s="1381">
        <f t="shared" si="27"/>
        <v>0</v>
      </c>
      <c r="EA737" s="1381"/>
      <c r="EB737" s="1381"/>
      <c r="EC737" s="1381"/>
      <c r="ED737" s="1381"/>
      <c r="EE737" s="1381">
        <f t="shared" si="28"/>
        <v>0</v>
      </c>
      <c r="EF737" s="1381"/>
      <c r="EG737" s="1381"/>
      <c r="EH737" s="1381"/>
      <c r="EI737" s="1381"/>
      <c r="EJ737" s="1381">
        <f t="shared" si="29"/>
        <v>0</v>
      </c>
      <c r="EK737" s="1381"/>
      <c r="EL737" s="1381"/>
      <c r="EM737" s="1381"/>
      <c r="EN737" s="1381"/>
      <c r="EO737" s="1381">
        <f t="shared" si="30"/>
        <v>0</v>
      </c>
      <c r="EP737" s="1381"/>
      <c r="EQ737" s="1381"/>
      <c r="ER737" s="1381"/>
      <c r="ES737" s="1381"/>
      <c r="ET737" s="1381">
        <f t="shared" si="31"/>
        <v>0</v>
      </c>
      <c r="EU737" s="1381"/>
      <c r="EV737" s="1381"/>
      <c r="EW737" s="1381"/>
      <c r="EX737" s="1381"/>
      <c r="EZ737" s="1358" t="str">
        <f t="shared" si="32"/>
        <v/>
      </c>
      <c r="FA737" s="1359"/>
      <c r="FB737" s="1359"/>
      <c r="FC737" s="1359"/>
      <c r="FD737" s="1360"/>
      <c r="FE737" s="1358" t="str">
        <f t="shared" si="33"/>
        <v/>
      </c>
      <c r="FF737" s="1359"/>
      <c r="FG737" s="1359"/>
      <c r="FH737" s="1359"/>
      <c r="FI737" s="1360"/>
      <c r="FJ737" s="1358" t="str">
        <f t="shared" si="34"/>
        <v/>
      </c>
      <c r="FK737" s="1359"/>
      <c r="FL737" s="1359"/>
      <c r="FM737" s="1359"/>
      <c r="FN737" s="1360"/>
      <c r="FO737" s="1358">
        <f t="shared" si="35"/>
        <v>3096</v>
      </c>
      <c r="FP737" s="1359"/>
      <c r="FQ737" s="1359"/>
      <c r="FR737" s="1359"/>
      <c r="FS737" s="1360"/>
      <c r="FT737" s="1358" t="str">
        <f t="shared" si="36"/>
        <v/>
      </c>
      <c r="FU737" s="1359"/>
      <c r="FV737" s="1359"/>
      <c r="FW737" s="1359"/>
      <c r="FX737" s="1360"/>
      <c r="FY737" s="1358" t="str">
        <f t="shared" si="37"/>
        <v/>
      </c>
      <c r="FZ737" s="1359"/>
      <c r="GA737" s="1359"/>
      <c r="GB737" s="1359"/>
      <c r="GC737" s="1360"/>
    </row>
    <row r="738" spans="1:185" ht="13" customHeight="1">
      <c r="B738" s="1362"/>
      <c r="C738" s="1363"/>
      <c r="D738" s="1363"/>
      <c r="E738" s="1363"/>
      <c r="F738" s="1364"/>
      <c r="G738" s="1371"/>
      <c r="H738" s="1372"/>
      <c r="I738" s="1372"/>
      <c r="J738" s="1373"/>
      <c r="K738" s="1599"/>
      <c r="L738" s="1600"/>
      <c r="M738" s="1600"/>
      <c r="N738" s="1601"/>
      <c r="O738" s="1378"/>
      <c r="P738" s="1379"/>
      <c r="Q738" s="1379"/>
      <c r="R738" s="1379"/>
      <c r="S738" s="1380"/>
      <c r="T738" s="1378"/>
      <c r="U738" s="1379"/>
      <c r="V738" s="1379"/>
      <c r="W738" s="1380"/>
      <c r="X738" s="1365">
        <f t="shared" si="10"/>
        <v>0</v>
      </c>
      <c r="Y738" s="1366"/>
      <c r="Z738" s="1366"/>
      <c r="AA738" s="1366"/>
      <c r="AB738" s="1367"/>
      <c r="AC738" s="1375"/>
      <c r="AD738" s="1376"/>
      <c r="AE738" s="1376"/>
      <c r="AF738" s="1376"/>
      <c r="AG738" s="1377"/>
      <c r="AH738" s="1368" t="str">
        <f t="shared" si="38"/>
        <v/>
      </c>
      <c r="AI738" s="1369"/>
      <c r="AJ738" s="1370"/>
      <c r="AK738" s="1362" t="s">
        <v>590</v>
      </c>
      <c r="AL738" s="1363"/>
      <c r="AM738" s="1363"/>
      <c r="AN738" s="1363"/>
      <c r="AO738" s="1364"/>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358">
        <f t="shared" si="39"/>
        <v>0</v>
      </c>
      <c r="CH738" s="1360"/>
      <c r="CI738" s="1342">
        <f t="shared" si="40"/>
        <v>0</v>
      </c>
      <c r="CJ738" s="1344"/>
      <c r="CK738" s="1358">
        <f t="shared" si="18"/>
        <v>0</v>
      </c>
      <c r="CL738" s="1360"/>
      <c r="CM738" s="1342">
        <f t="shared" si="19"/>
        <v>0</v>
      </c>
      <c r="CN738" s="1344"/>
      <c r="CO738" s="3"/>
      <c r="CP738" s="1339">
        <f t="shared" si="20"/>
        <v>0</v>
      </c>
      <c r="CQ738" s="1340"/>
      <c r="CR738" s="1340"/>
      <c r="CS738" s="1340"/>
      <c r="CT738" s="1341"/>
      <c r="CU738" s="1361">
        <f t="shared" si="21"/>
        <v>0</v>
      </c>
      <c r="CV738" s="1361"/>
      <c r="CW738" s="1361"/>
      <c r="CX738" s="1361"/>
      <c r="CY738" s="1361"/>
      <c r="CZ738" s="1361">
        <f t="shared" si="22"/>
        <v>0</v>
      </c>
      <c r="DA738" s="1361"/>
      <c r="DB738" s="1361"/>
      <c r="DC738" s="1361"/>
      <c r="DD738" s="1361"/>
      <c r="DE738" s="1361">
        <f t="shared" si="23"/>
        <v>0</v>
      </c>
      <c r="DF738" s="1361"/>
      <c r="DG738" s="1361"/>
      <c r="DH738" s="1361"/>
      <c r="DI738" s="1361"/>
      <c r="DJ738" s="1361">
        <f t="shared" si="24"/>
        <v>0</v>
      </c>
      <c r="DK738" s="1361"/>
      <c r="DL738" s="1361"/>
      <c r="DM738" s="1361"/>
      <c r="DN738" s="1361"/>
      <c r="DO738" s="1361">
        <f t="shared" si="25"/>
        <v>0</v>
      </c>
      <c r="DP738" s="1361"/>
      <c r="DQ738" s="1361"/>
      <c r="DR738" s="1361"/>
      <c r="DS738" s="1361"/>
      <c r="DT738" s="6"/>
      <c r="DU738" s="1381">
        <f t="shared" si="26"/>
        <v>0</v>
      </c>
      <c r="DV738" s="1381"/>
      <c r="DW738" s="1381"/>
      <c r="DX738" s="1381"/>
      <c r="DY738" s="1381"/>
      <c r="DZ738" s="1381">
        <f t="shared" si="27"/>
        <v>0</v>
      </c>
      <c r="EA738" s="1381"/>
      <c r="EB738" s="1381"/>
      <c r="EC738" s="1381"/>
      <c r="ED738" s="1381"/>
      <c r="EE738" s="1381">
        <f t="shared" si="28"/>
        <v>0</v>
      </c>
      <c r="EF738" s="1381"/>
      <c r="EG738" s="1381"/>
      <c r="EH738" s="1381"/>
      <c r="EI738" s="1381"/>
      <c r="EJ738" s="1381">
        <f t="shared" si="29"/>
        <v>0</v>
      </c>
      <c r="EK738" s="1381"/>
      <c r="EL738" s="1381"/>
      <c r="EM738" s="1381"/>
      <c r="EN738" s="1381"/>
      <c r="EO738" s="1381">
        <f t="shared" si="30"/>
        <v>0</v>
      </c>
      <c r="EP738" s="1381"/>
      <c r="EQ738" s="1381"/>
      <c r="ER738" s="1381"/>
      <c r="ES738" s="1381"/>
      <c r="ET738" s="1381">
        <f t="shared" si="31"/>
        <v>0</v>
      </c>
      <c r="EU738" s="1381"/>
      <c r="EV738" s="1381"/>
      <c r="EW738" s="1381"/>
      <c r="EX738" s="1381"/>
      <c r="EZ738" s="1358" t="str">
        <f t="shared" si="32"/>
        <v/>
      </c>
      <c r="FA738" s="1359"/>
      <c r="FB738" s="1359"/>
      <c r="FC738" s="1359"/>
      <c r="FD738" s="1360"/>
      <c r="FE738" s="1358" t="str">
        <f t="shared" si="33"/>
        <v/>
      </c>
      <c r="FF738" s="1359"/>
      <c r="FG738" s="1359"/>
      <c r="FH738" s="1359"/>
      <c r="FI738" s="1360"/>
      <c r="FJ738" s="1358" t="str">
        <f t="shared" si="34"/>
        <v/>
      </c>
      <c r="FK738" s="1359"/>
      <c r="FL738" s="1359"/>
      <c r="FM738" s="1359"/>
      <c r="FN738" s="1360"/>
      <c r="FO738" s="1358" t="str">
        <f t="shared" si="35"/>
        <v/>
      </c>
      <c r="FP738" s="1359"/>
      <c r="FQ738" s="1359"/>
      <c r="FR738" s="1359"/>
      <c r="FS738" s="1360"/>
      <c r="FT738" s="1358" t="str">
        <f t="shared" si="36"/>
        <v/>
      </c>
      <c r="FU738" s="1359"/>
      <c r="FV738" s="1359"/>
      <c r="FW738" s="1359"/>
      <c r="FX738" s="1360"/>
      <c r="FY738" s="1358" t="str">
        <f t="shared" si="37"/>
        <v/>
      </c>
      <c r="FZ738" s="1359"/>
      <c r="GA738" s="1359"/>
      <c r="GB738" s="1359"/>
      <c r="GC738" s="1360"/>
    </row>
    <row r="739" spans="1:185" ht="13" customHeight="1">
      <c r="B739" s="1362"/>
      <c r="C739" s="1363"/>
      <c r="D739" s="1363"/>
      <c r="E739" s="1363"/>
      <c r="F739" s="1364"/>
      <c r="G739" s="1371"/>
      <c r="H739" s="1372"/>
      <c r="I739" s="1372"/>
      <c r="J739" s="1373"/>
      <c r="K739" s="1599"/>
      <c r="L739" s="1600"/>
      <c r="M739" s="1600"/>
      <c r="N739" s="1601"/>
      <c r="O739" s="1378"/>
      <c r="P739" s="1379"/>
      <c r="Q739" s="1379"/>
      <c r="R739" s="1379"/>
      <c r="S739" s="1380"/>
      <c r="T739" s="1378"/>
      <c r="U739" s="1379"/>
      <c r="V739" s="1379"/>
      <c r="W739" s="1380"/>
      <c r="X739" s="1365">
        <f t="shared" si="10"/>
        <v>0</v>
      </c>
      <c r="Y739" s="1366"/>
      <c r="Z739" s="1366"/>
      <c r="AA739" s="1366"/>
      <c r="AB739" s="1367"/>
      <c r="AC739" s="1375"/>
      <c r="AD739" s="1376"/>
      <c r="AE739" s="1376"/>
      <c r="AF739" s="1376"/>
      <c r="AG739" s="1377"/>
      <c r="AH739" s="1368" t="str">
        <f t="shared" si="38"/>
        <v/>
      </c>
      <c r="AI739" s="1369"/>
      <c r="AJ739" s="1370"/>
      <c r="AK739" s="1362" t="s">
        <v>590</v>
      </c>
      <c r="AL739" s="1363"/>
      <c r="AM739" s="1363"/>
      <c r="AN739" s="1363"/>
      <c r="AO739" s="1364"/>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358">
        <f t="shared" si="39"/>
        <v>0</v>
      </c>
      <c r="CH739" s="1360"/>
      <c r="CI739" s="1342">
        <f t="shared" si="40"/>
        <v>0</v>
      </c>
      <c r="CJ739" s="1344"/>
      <c r="CK739" s="1358">
        <f t="shared" si="18"/>
        <v>0</v>
      </c>
      <c r="CL739" s="1360"/>
      <c r="CM739" s="1342">
        <f t="shared" si="19"/>
        <v>0</v>
      </c>
      <c r="CN739" s="1344"/>
      <c r="CO739" s="3"/>
      <c r="CP739" s="1339">
        <f t="shared" si="20"/>
        <v>0</v>
      </c>
      <c r="CQ739" s="1340"/>
      <c r="CR739" s="1340"/>
      <c r="CS739" s="1340"/>
      <c r="CT739" s="1341"/>
      <c r="CU739" s="1361">
        <f t="shared" si="21"/>
        <v>0</v>
      </c>
      <c r="CV739" s="1361"/>
      <c r="CW739" s="1361"/>
      <c r="CX739" s="1361"/>
      <c r="CY739" s="1361"/>
      <c r="CZ739" s="1361">
        <f t="shared" si="22"/>
        <v>0</v>
      </c>
      <c r="DA739" s="1361"/>
      <c r="DB739" s="1361"/>
      <c r="DC739" s="1361"/>
      <c r="DD739" s="1361"/>
      <c r="DE739" s="1361">
        <f t="shared" si="23"/>
        <v>0</v>
      </c>
      <c r="DF739" s="1361"/>
      <c r="DG739" s="1361"/>
      <c r="DH739" s="1361"/>
      <c r="DI739" s="1361"/>
      <c r="DJ739" s="1361">
        <f t="shared" si="24"/>
        <v>0</v>
      </c>
      <c r="DK739" s="1361"/>
      <c r="DL739" s="1361"/>
      <c r="DM739" s="1361"/>
      <c r="DN739" s="1361"/>
      <c r="DO739" s="1361">
        <f t="shared" si="25"/>
        <v>0</v>
      </c>
      <c r="DP739" s="1361"/>
      <c r="DQ739" s="1361"/>
      <c r="DR739" s="1361"/>
      <c r="DS739" s="1361"/>
      <c r="DT739" s="6"/>
      <c r="DU739" s="1381">
        <f t="shared" si="26"/>
        <v>0</v>
      </c>
      <c r="DV739" s="1381"/>
      <c r="DW739" s="1381"/>
      <c r="DX739" s="1381"/>
      <c r="DY739" s="1381"/>
      <c r="DZ739" s="1381">
        <f t="shared" si="27"/>
        <v>0</v>
      </c>
      <c r="EA739" s="1381"/>
      <c r="EB739" s="1381"/>
      <c r="EC739" s="1381"/>
      <c r="ED739" s="1381"/>
      <c r="EE739" s="1381">
        <f t="shared" si="28"/>
        <v>0</v>
      </c>
      <c r="EF739" s="1381"/>
      <c r="EG739" s="1381"/>
      <c r="EH739" s="1381"/>
      <c r="EI739" s="1381"/>
      <c r="EJ739" s="1381">
        <f t="shared" si="29"/>
        <v>0</v>
      </c>
      <c r="EK739" s="1381"/>
      <c r="EL739" s="1381"/>
      <c r="EM739" s="1381"/>
      <c r="EN739" s="1381"/>
      <c r="EO739" s="1381">
        <f t="shared" si="30"/>
        <v>0</v>
      </c>
      <c r="EP739" s="1381"/>
      <c r="EQ739" s="1381"/>
      <c r="ER739" s="1381"/>
      <c r="ES739" s="1381"/>
      <c r="ET739" s="1381">
        <f t="shared" si="31"/>
        <v>0</v>
      </c>
      <c r="EU739" s="1381"/>
      <c r="EV739" s="1381"/>
      <c r="EW739" s="1381"/>
      <c r="EX739" s="1381"/>
      <c r="EZ739" s="1358" t="str">
        <f t="shared" si="32"/>
        <v/>
      </c>
      <c r="FA739" s="1359"/>
      <c r="FB739" s="1359"/>
      <c r="FC739" s="1359"/>
      <c r="FD739" s="1360"/>
      <c r="FE739" s="1358" t="str">
        <f t="shared" si="33"/>
        <v/>
      </c>
      <c r="FF739" s="1359"/>
      <c r="FG739" s="1359"/>
      <c r="FH739" s="1359"/>
      <c r="FI739" s="1360"/>
      <c r="FJ739" s="1358" t="str">
        <f t="shared" si="34"/>
        <v/>
      </c>
      <c r="FK739" s="1359"/>
      <c r="FL739" s="1359"/>
      <c r="FM739" s="1359"/>
      <c r="FN739" s="1360"/>
      <c r="FO739" s="1358" t="str">
        <f t="shared" si="35"/>
        <v/>
      </c>
      <c r="FP739" s="1359"/>
      <c r="FQ739" s="1359"/>
      <c r="FR739" s="1359"/>
      <c r="FS739" s="1360"/>
      <c r="FT739" s="1358" t="str">
        <f t="shared" si="36"/>
        <v/>
      </c>
      <c r="FU739" s="1359"/>
      <c r="FV739" s="1359"/>
      <c r="FW739" s="1359"/>
      <c r="FX739" s="1360"/>
      <c r="FY739" s="1358" t="str">
        <f t="shared" si="37"/>
        <v/>
      </c>
      <c r="FZ739" s="1359"/>
      <c r="GA739" s="1359"/>
      <c r="GB739" s="1359"/>
      <c r="GC739" s="1360"/>
    </row>
    <row r="740" spans="1:185" ht="13" customHeight="1">
      <c r="B740" s="1362"/>
      <c r="C740" s="1363"/>
      <c r="D740" s="1363"/>
      <c r="E740" s="1363"/>
      <c r="F740" s="1364"/>
      <c r="G740" s="1371"/>
      <c r="H740" s="1372"/>
      <c r="I740" s="1372"/>
      <c r="J740" s="1373"/>
      <c r="K740" s="1599"/>
      <c r="L740" s="1600"/>
      <c r="M740" s="1600"/>
      <c r="N740" s="1601"/>
      <c r="O740" s="1378"/>
      <c r="P740" s="1379"/>
      <c r="Q740" s="1379"/>
      <c r="R740" s="1379"/>
      <c r="S740" s="1380"/>
      <c r="T740" s="1378"/>
      <c r="U740" s="1379"/>
      <c r="V740" s="1379"/>
      <c r="W740" s="1380"/>
      <c r="X740" s="1365">
        <f t="shared" si="10"/>
        <v>0</v>
      </c>
      <c r="Y740" s="1366"/>
      <c r="Z740" s="1366"/>
      <c r="AA740" s="1366"/>
      <c r="AB740" s="1367"/>
      <c r="AC740" s="1375"/>
      <c r="AD740" s="1376"/>
      <c r="AE740" s="1376"/>
      <c r="AF740" s="1376"/>
      <c r="AG740" s="1377"/>
      <c r="AH740" s="1368" t="str">
        <f t="shared" si="38"/>
        <v/>
      </c>
      <c r="AI740" s="1369"/>
      <c r="AJ740" s="1370"/>
      <c r="AK740" s="1362" t="s">
        <v>590</v>
      </c>
      <c r="AL740" s="1363"/>
      <c r="AM740" s="1363"/>
      <c r="AN740" s="1363"/>
      <c r="AO740" s="1364"/>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358">
        <f t="shared" si="39"/>
        <v>0</v>
      </c>
      <c r="CH740" s="1360"/>
      <c r="CI740" s="1342">
        <f t="shared" si="40"/>
        <v>0</v>
      </c>
      <c r="CJ740" s="1344"/>
      <c r="CK740" s="1358">
        <f t="shared" si="18"/>
        <v>0</v>
      </c>
      <c r="CL740" s="1360"/>
      <c r="CM740" s="1342">
        <f t="shared" si="19"/>
        <v>0</v>
      </c>
      <c r="CN740" s="1344"/>
      <c r="CO740" s="3"/>
      <c r="CP740" s="1339">
        <f t="shared" si="20"/>
        <v>0</v>
      </c>
      <c r="CQ740" s="1340"/>
      <c r="CR740" s="1340"/>
      <c r="CS740" s="1340"/>
      <c r="CT740" s="1341"/>
      <c r="CU740" s="1361">
        <f t="shared" si="21"/>
        <v>0</v>
      </c>
      <c r="CV740" s="1361"/>
      <c r="CW740" s="1361"/>
      <c r="CX740" s="1361"/>
      <c r="CY740" s="1361"/>
      <c r="CZ740" s="1361">
        <f t="shared" si="22"/>
        <v>0</v>
      </c>
      <c r="DA740" s="1361"/>
      <c r="DB740" s="1361"/>
      <c r="DC740" s="1361"/>
      <c r="DD740" s="1361"/>
      <c r="DE740" s="1361">
        <f t="shared" si="23"/>
        <v>0</v>
      </c>
      <c r="DF740" s="1361"/>
      <c r="DG740" s="1361"/>
      <c r="DH740" s="1361"/>
      <c r="DI740" s="1361"/>
      <c r="DJ740" s="1361">
        <f t="shared" si="24"/>
        <v>0</v>
      </c>
      <c r="DK740" s="1361"/>
      <c r="DL740" s="1361"/>
      <c r="DM740" s="1361"/>
      <c r="DN740" s="1361"/>
      <c r="DO740" s="1361">
        <f t="shared" si="25"/>
        <v>0</v>
      </c>
      <c r="DP740" s="1361"/>
      <c r="DQ740" s="1361"/>
      <c r="DR740" s="1361"/>
      <c r="DS740" s="1361"/>
      <c r="DT740" s="6"/>
      <c r="DU740" s="1381">
        <f t="shared" si="26"/>
        <v>0</v>
      </c>
      <c r="DV740" s="1381"/>
      <c r="DW740" s="1381"/>
      <c r="DX740" s="1381"/>
      <c r="DY740" s="1381"/>
      <c r="DZ740" s="1381">
        <f t="shared" si="27"/>
        <v>0</v>
      </c>
      <c r="EA740" s="1381"/>
      <c r="EB740" s="1381"/>
      <c r="EC740" s="1381"/>
      <c r="ED740" s="1381"/>
      <c r="EE740" s="1381">
        <f t="shared" si="28"/>
        <v>0</v>
      </c>
      <c r="EF740" s="1381"/>
      <c r="EG740" s="1381"/>
      <c r="EH740" s="1381"/>
      <c r="EI740" s="1381"/>
      <c r="EJ740" s="1381">
        <f t="shared" si="29"/>
        <v>0</v>
      </c>
      <c r="EK740" s="1381"/>
      <c r="EL740" s="1381"/>
      <c r="EM740" s="1381"/>
      <c r="EN740" s="1381"/>
      <c r="EO740" s="1381">
        <f t="shared" si="30"/>
        <v>0</v>
      </c>
      <c r="EP740" s="1381"/>
      <c r="EQ740" s="1381"/>
      <c r="ER740" s="1381"/>
      <c r="ES740" s="1381"/>
      <c r="ET740" s="1381">
        <f t="shared" si="31"/>
        <v>0</v>
      </c>
      <c r="EU740" s="1381"/>
      <c r="EV740" s="1381"/>
      <c r="EW740" s="1381"/>
      <c r="EX740" s="1381"/>
      <c r="EZ740" s="1358" t="str">
        <f t="shared" si="32"/>
        <v/>
      </c>
      <c r="FA740" s="1359"/>
      <c r="FB740" s="1359"/>
      <c r="FC740" s="1359"/>
      <c r="FD740" s="1360"/>
      <c r="FE740" s="1358" t="str">
        <f t="shared" si="33"/>
        <v/>
      </c>
      <c r="FF740" s="1359"/>
      <c r="FG740" s="1359"/>
      <c r="FH740" s="1359"/>
      <c r="FI740" s="1360"/>
      <c r="FJ740" s="1358" t="str">
        <f t="shared" si="34"/>
        <v/>
      </c>
      <c r="FK740" s="1359"/>
      <c r="FL740" s="1359"/>
      <c r="FM740" s="1359"/>
      <c r="FN740" s="1360"/>
      <c r="FO740" s="1358" t="str">
        <f t="shared" si="35"/>
        <v/>
      </c>
      <c r="FP740" s="1359"/>
      <c r="FQ740" s="1359"/>
      <c r="FR740" s="1359"/>
      <c r="FS740" s="1360"/>
      <c r="FT740" s="1358" t="str">
        <f t="shared" si="36"/>
        <v/>
      </c>
      <c r="FU740" s="1359"/>
      <c r="FV740" s="1359"/>
      <c r="FW740" s="1359"/>
      <c r="FX740" s="1360"/>
      <c r="FY740" s="1358" t="str">
        <f t="shared" si="37"/>
        <v/>
      </c>
      <c r="FZ740" s="1359"/>
      <c r="GA740" s="1359"/>
      <c r="GB740" s="1359"/>
      <c r="GC740" s="1360"/>
    </row>
    <row r="741" spans="1:185" ht="13" customHeight="1">
      <c r="B741" s="1362"/>
      <c r="C741" s="1363"/>
      <c r="D741" s="1363"/>
      <c r="E741" s="1363"/>
      <c r="F741" s="1364"/>
      <c r="G741" s="1371"/>
      <c r="H741" s="1372"/>
      <c r="I741" s="1372"/>
      <c r="J741" s="1373"/>
      <c r="K741" s="1599"/>
      <c r="L741" s="1600"/>
      <c r="M741" s="1600"/>
      <c r="N741" s="1601"/>
      <c r="O741" s="1378"/>
      <c r="P741" s="1379"/>
      <c r="Q741" s="1379"/>
      <c r="R741" s="1379"/>
      <c r="S741" s="1380"/>
      <c r="T741" s="1378"/>
      <c r="U741" s="1379"/>
      <c r="V741" s="1379"/>
      <c r="W741" s="1380"/>
      <c r="X741" s="1365">
        <f t="shared" si="10"/>
        <v>0</v>
      </c>
      <c r="Y741" s="1366"/>
      <c r="Z741" s="1366"/>
      <c r="AA741" s="1366"/>
      <c r="AB741" s="1367"/>
      <c r="AC741" s="1375"/>
      <c r="AD741" s="1376"/>
      <c r="AE741" s="1376"/>
      <c r="AF741" s="1376"/>
      <c r="AG741" s="1377"/>
      <c r="AH741" s="1368" t="str">
        <f t="shared" si="38"/>
        <v/>
      </c>
      <c r="AI741" s="1369"/>
      <c r="AJ741" s="1370"/>
      <c r="AK741" s="1362" t="s">
        <v>590</v>
      </c>
      <c r="AL741" s="1363"/>
      <c r="AM741" s="1363"/>
      <c r="AN741" s="1363"/>
      <c r="AO741" s="1364"/>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358">
        <f t="shared" si="39"/>
        <v>0</v>
      </c>
      <c r="CH741" s="1360"/>
      <c r="CI741" s="1342">
        <f t="shared" si="40"/>
        <v>0</v>
      </c>
      <c r="CJ741" s="1344"/>
      <c r="CK741" s="1358">
        <f t="shared" si="18"/>
        <v>0</v>
      </c>
      <c r="CL741" s="1360"/>
      <c r="CM741" s="1342">
        <f t="shared" si="19"/>
        <v>0</v>
      </c>
      <c r="CN741" s="1344"/>
      <c r="CO741" s="3"/>
      <c r="CP741" s="1339">
        <f t="shared" si="20"/>
        <v>0</v>
      </c>
      <c r="CQ741" s="1340"/>
      <c r="CR741" s="1340"/>
      <c r="CS741" s="1340"/>
      <c r="CT741" s="1341"/>
      <c r="CU741" s="1361">
        <f t="shared" si="21"/>
        <v>0</v>
      </c>
      <c r="CV741" s="1361"/>
      <c r="CW741" s="1361"/>
      <c r="CX741" s="1361"/>
      <c r="CY741" s="1361"/>
      <c r="CZ741" s="1361">
        <f t="shared" si="22"/>
        <v>0</v>
      </c>
      <c r="DA741" s="1361"/>
      <c r="DB741" s="1361"/>
      <c r="DC741" s="1361"/>
      <c r="DD741" s="1361"/>
      <c r="DE741" s="1361">
        <f t="shared" si="23"/>
        <v>0</v>
      </c>
      <c r="DF741" s="1361"/>
      <c r="DG741" s="1361"/>
      <c r="DH741" s="1361"/>
      <c r="DI741" s="1361"/>
      <c r="DJ741" s="1361">
        <f t="shared" si="24"/>
        <v>0</v>
      </c>
      <c r="DK741" s="1361"/>
      <c r="DL741" s="1361"/>
      <c r="DM741" s="1361"/>
      <c r="DN741" s="1361"/>
      <c r="DO741" s="1361">
        <f t="shared" si="25"/>
        <v>0</v>
      </c>
      <c r="DP741" s="1361"/>
      <c r="DQ741" s="1361"/>
      <c r="DR741" s="1361"/>
      <c r="DS741" s="1361"/>
      <c r="DT741" s="6"/>
      <c r="DU741" s="1381">
        <f t="shared" si="26"/>
        <v>0</v>
      </c>
      <c r="DV741" s="1381"/>
      <c r="DW741" s="1381"/>
      <c r="DX741" s="1381"/>
      <c r="DY741" s="1381"/>
      <c r="DZ741" s="1381">
        <f t="shared" si="27"/>
        <v>0</v>
      </c>
      <c r="EA741" s="1381"/>
      <c r="EB741" s="1381"/>
      <c r="EC741" s="1381"/>
      <c r="ED741" s="1381"/>
      <c r="EE741" s="1381">
        <f t="shared" si="28"/>
        <v>0</v>
      </c>
      <c r="EF741" s="1381"/>
      <c r="EG741" s="1381"/>
      <c r="EH741" s="1381"/>
      <c r="EI741" s="1381"/>
      <c r="EJ741" s="1381">
        <f t="shared" si="29"/>
        <v>0</v>
      </c>
      <c r="EK741" s="1381"/>
      <c r="EL741" s="1381"/>
      <c r="EM741" s="1381"/>
      <c r="EN741" s="1381"/>
      <c r="EO741" s="1381">
        <f t="shared" si="30"/>
        <v>0</v>
      </c>
      <c r="EP741" s="1381"/>
      <c r="EQ741" s="1381"/>
      <c r="ER741" s="1381"/>
      <c r="ES741" s="1381"/>
      <c r="ET741" s="1381">
        <f t="shared" si="31"/>
        <v>0</v>
      </c>
      <c r="EU741" s="1381"/>
      <c r="EV741" s="1381"/>
      <c r="EW741" s="1381"/>
      <c r="EX741" s="1381"/>
      <c r="EZ741" s="1358" t="str">
        <f t="shared" si="32"/>
        <v/>
      </c>
      <c r="FA741" s="1359"/>
      <c r="FB741" s="1359"/>
      <c r="FC741" s="1359"/>
      <c r="FD741" s="1360"/>
      <c r="FE741" s="1358" t="str">
        <f t="shared" si="33"/>
        <v/>
      </c>
      <c r="FF741" s="1359"/>
      <c r="FG741" s="1359"/>
      <c r="FH741" s="1359"/>
      <c r="FI741" s="1360"/>
      <c r="FJ741" s="1358" t="str">
        <f t="shared" si="34"/>
        <v/>
      </c>
      <c r="FK741" s="1359"/>
      <c r="FL741" s="1359"/>
      <c r="FM741" s="1359"/>
      <c r="FN741" s="1360"/>
      <c r="FO741" s="1358" t="str">
        <f t="shared" si="35"/>
        <v/>
      </c>
      <c r="FP741" s="1359"/>
      <c r="FQ741" s="1359"/>
      <c r="FR741" s="1359"/>
      <c r="FS741" s="1360"/>
      <c r="FT741" s="1358" t="str">
        <f t="shared" si="36"/>
        <v/>
      </c>
      <c r="FU741" s="1359"/>
      <c r="FV741" s="1359"/>
      <c r="FW741" s="1359"/>
      <c r="FX741" s="1360"/>
      <c r="FY741" s="1358" t="str">
        <f t="shared" si="37"/>
        <v/>
      </c>
      <c r="FZ741" s="1359"/>
      <c r="GA741" s="1359"/>
      <c r="GB741" s="1359"/>
      <c r="GC741" s="1360"/>
    </row>
    <row r="742" spans="1:185" ht="13" customHeight="1">
      <c r="B742" s="1362"/>
      <c r="C742" s="1363"/>
      <c r="D742" s="1363"/>
      <c r="E742" s="1363"/>
      <c r="F742" s="1364"/>
      <c r="G742" s="1371"/>
      <c r="H742" s="1372"/>
      <c r="I742" s="1372"/>
      <c r="J742" s="1373"/>
      <c r="K742" s="1599"/>
      <c r="L742" s="1600"/>
      <c r="M742" s="1600"/>
      <c r="N742" s="1601"/>
      <c r="O742" s="1378"/>
      <c r="P742" s="1379"/>
      <c r="Q742" s="1379"/>
      <c r="R742" s="1379"/>
      <c r="S742" s="1380"/>
      <c r="T742" s="1378"/>
      <c r="U742" s="1379"/>
      <c r="V742" s="1379"/>
      <c r="W742" s="1380"/>
      <c r="X742" s="1365">
        <f t="shared" si="10"/>
        <v>0</v>
      </c>
      <c r="Y742" s="1366"/>
      <c r="Z742" s="1366"/>
      <c r="AA742" s="1366"/>
      <c r="AB742" s="1367"/>
      <c r="AC742" s="1375"/>
      <c r="AD742" s="1376"/>
      <c r="AE742" s="1376"/>
      <c r="AF742" s="1376"/>
      <c r="AG742" s="1377"/>
      <c r="AH742" s="1368" t="str">
        <f t="shared" si="38"/>
        <v/>
      </c>
      <c r="AI742" s="1369"/>
      <c r="AJ742" s="1370"/>
      <c r="AK742" s="1362" t="s">
        <v>590</v>
      </c>
      <c r="AL742" s="1363"/>
      <c r="AM742" s="1363"/>
      <c r="AN742" s="1363"/>
      <c r="AO742" s="1364"/>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358">
        <f t="shared" si="39"/>
        <v>0</v>
      </c>
      <c r="CH742" s="1360"/>
      <c r="CI742" s="1342">
        <f t="shared" si="40"/>
        <v>0</v>
      </c>
      <c r="CJ742" s="1344"/>
      <c r="CK742" s="1358">
        <f t="shared" si="18"/>
        <v>0</v>
      </c>
      <c r="CL742" s="1360"/>
      <c r="CM742" s="1342">
        <f t="shared" si="19"/>
        <v>0</v>
      </c>
      <c r="CN742" s="1344"/>
      <c r="CO742" s="3"/>
      <c r="CP742" s="1339">
        <f t="shared" si="20"/>
        <v>0</v>
      </c>
      <c r="CQ742" s="1340"/>
      <c r="CR742" s="1340"/>
      <c r="CS742" s="1340"/>
      <c r="CT742" s="1341"/>
      <c r="CU742" s="1361">
        <f t="shared" si="21"/>
        <v>0</v>
      </c>
      <c r="CV742" s="1361"/>
      <c r="CW742" s="1361"/>
      <c r="CX742" s="1361"/>
      <c r="CY742" s="1361"/>
      <c r="CZ742" s="1361">
        <f t="shared" si="22"/>
        <v>0</v>
      </c>
      <c r="DA742" s="1361"/>
      <c r="DB742" s="1361"/>
      <c r="DC742" s="1361"/>
      <c r="DD742" s="1361"/>
      <c r="DE742" s="1361">
        <f t="shared" si="23"/>
        <v>0</v>
      </c>
      <c r="DF742" s="1361"/>
      <c r="DG742" s="1361"/>
      <c r="DH742" s="1361"/>
      <c r="DI742" s="1361"/>
      <c r="DJ742" s="1361">
        <f t="shared" si="24"/>
        <v>0</v>
      </c>
      <c r="DK742" s="1361"/>
      <c r="DL742" s="1361"/>
      <c r="DM742" s="1361"/>
      <c r="DN742" s="1361"/>
      <c r="DO742" s="1361">
        <f t="shared" si="25"/>
        <v>0</v>
      </c>
      <c r="DP742" s="1361"/>
      <c r="DQ742" s="1361"/>
      <c r="DR742" s="1361"/>
      <c r="DS742" s="1361"/>
      <c r="DT742" s="6"/>
      <c r="DU742" s="1381">
        <f t="shared" si="26"/>
        <v>0</v>
      </c>
      <c r="DV742" s="1381"/>
      <c r="DW742" s="1381"/>
      <c r="DX742" s="1381"/>
      <c r="DY742" s="1381"/>
      <c r="DZ742" s="1381">
        <f t="shared" si="27"/>
        <v>0</v>
      </c>
      <c r="EA742" s="1381"/>
      <c r="EB742" s="1381"/>
      <c r="EC742" s="1381"/>
      <c r="ED742" s="1381"/>
      <c r="EE742" s="1381">
        <f t="shared" si="28"/>
        <v>0</v>
      </c>
      <c r="EF742" s="1381"/>
      <c r="EG742" s="1381"/>
      <c r="EH742" s="1381"/>
      <c r="EI742" s="1381"/>
      <c r="EJ742" s="1381">
        <f t="shared" si="29"/>
        <v>0</v>
      </c>
      <c r="EK742" s="1381"/>
      <c r="EL742" s="1381"/>
      <c r="EM742" s="1381"/>
      <c r="EN742" s="1381"/>
      <c r="EO742" s="1381">
        <f t="shared" si="30"/>
        <v>0</v>
      </c>
      <c r="EP742" s="1381"/>
      <c r="EQ742" s="1381"/>
      <c r="ER742" s="1381"/>
      <c r="ES742" s="1381"/>
      <c r="ET742" s="1381">
        <f t="shared" si="31"/>
        <v>0</v>
      </c>
      <c r="EU742" s="1381"/>
      <c r="EV742" s="1381"/>
      <c r="EW742" s="1381"/>
      <c r="EX742" s="1381"/>
      <c r="EZ742" s="1358" t="str">
        <f t="shared" si="32"/>
        <v/>
      </c>
      <c r="FA742" s="1359"/>
      <c r="FB742" s="1359"/>
      <c r="FC742" s="1359"/>
      <c r="FD742" s="1360"/>
      <c r="FE742" s="1358" t="str">
        <f t="shared" si="33"/>
        <v/>
      </c>
      <c r="FF742" s="1359"/>
      <c r="FG742" s="1359"/>
      <c r="FH742" s="1359"/>
      <c r="FI742" s="1360"/>
      <c r="FJ742" s="1358" t="str">
        <f t="shared" si="34"/>
        <v/>
      </c>
      <c r="FK742" s="1359"/>
      <c r="FL742" s="1359"/>
      <c r="FM742" s="1359"/>
      <c r="FN742" s="1360"/>
      <c r="FO742" s="1358" t="str">
        <f t="shared" si="35"/>
        <v/>
      </c>
      <c r="FP742" s="1359"/>
      <c r="FQ742" s="1359"/>
      <c r="FR742" s="1359"/>
      <c r="FS742" s="1360"/>
      <c r="FT742" s="1358" t="str">
        <f t="shared" si="36"/>
        <v/>
      </c>
      <c r="FU742" s="1359"/>
      <c r="FV742" s="1359"/>
      <c r="FW742" s="1359"/>
      <c r="FX742" s="1360"/>
      <c r="FY742" s="1358" t="str">
        <f t="shared" si="37"/>
        <v/>
      </c>
      <c r="FZ742" s="1359"/>
      <c r="GA742" s="1359"/>
      <c r="GB742" s="1359"/>
      <c r="GC742" s="1360"/>
    </row>
    <row r="743" spans="1:185" ht="13" customHeight="1">
      <c r="B743" s="1362"/>
      <c r="C743" s="1363"/>
      <c r="D743" s="1363"/>
      <c r="E743" s="1363"/>
      <c r="F743" s="1364"/>
      <c r="G743" s="1371"/>
      <c r="H743" s="1372"/>
      <c r="I743" s="1372"/>
      <c r="J743" s="1373"/>
      <c r="K743" s="1599"/>
      <c r="L743" s="1600"/>
      <c r="M743" s="1600"/>
      <c r="N743" s="1601"/>
      <c r="O743" s="1378"/>
      <c r="P743" s="1379"/>
      <c r="Q743" s="1379"/>
      <c r="R743" s="1379"/>
      <c r="S743" s="1380"/>
      <c r="T743" s="1378"/>
      <c r="U743" s="1379"/>
      <c r="V743" s="1379"/>
      <c r="W743" s="1380"/>
      <c r="X743" s="1365">
        <f t="shared" si="10"/>
        <v>0</v>
      </c>
      <c r="Y743" s="1366"/>
      <c r="Z743" s="1366"/>
      <c r="AA743" s="1366"/>
      <c r="AB743" s="1367"/>
      <c r="AC743" s="1375"/>
      <c r="AD743" s="1376"/>
      <c r="AE743" s="1376"/>
      <c r="AF743" s="1376"/>
      <c r="AG743" s="1377"/>
      <c r="AH743" s="1368" t="str">
        <f t="shared" si="38"/>
        <v/>
      </c>
      <c r="AI743" s="1369"/>
      <c r="AJ743" s="1370"/>
      <c r="AK743" s="1362" t="s">
        <v>590</v>
      </c>
      <c r="AL743" s="1363"/>
      <c r="AM743" s="1363"/>
      <c r="AN743" s="1363"/>
      <c r="AO743" s="1364"/>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358">
        <f t="shared" si="39"/>
        <v>0</v>
      </c>
      <c r="CH743" s="1360"/>
      <c r="CI743" s="1342">
        <f t="shared" si="40"/>
        <v>0</v>
      </c>
      <c r="CJ743" s="1344"/>
      <c r="CK743" s="1358">
        <f t="shared" si="18"/>
        <v>0</v>
      </c>
      <c r="CL743" s="1360"/>
      <c r="CM743" s="1342">
        <f t="shared" si="19"/>
        <v>0</v>
      </c>
      <c r="CN743" s="1344"/>
      <c r="CO743" s="3"/>
      <c r="CP743" s="1339">
        <f t="shared" si="20"/>
        <v>0</v>
      </c>
      <c r="CQ743" s="1340"/>
      <c r="CR743" s="1340"/>
      <c r="CS743" s="1340"/>
      <c r="CT743" s="1341"/>
      <c r="CU743" s="1361">
        <f t="shared" si="21"/>
        <v>0</v>
      </c>
      <c r="CV743" s="1361"/>
      <c r="CW743" s="1361"/>
      <c r="CX743" s="1361"/>
      <c r="CY743" s="1361"/>
      <c r="CZ743" s="1361">
        <f t="shared" si="22"/>
        <v>0</v>
      </c>
      <c r="DA743" s="1361"/>
      <c r="DB743" s="1361"/>
      <c r="DC743" s="1361"/>
      <c r="DD743" s="1361"/>
      <c r="DE743" s="1361">
        <f t="shared" si="23"/>
        <v>0</v>
      </c>
      <c r="DF743" s="1361"/>
      <c r="DG743" s="1361"/>
      <c r="DH743" s="1361"/>
      <c r="DI743" s="1361"/>
      <c r="DJ743" s="1361">
        <f t="shared" si="24"/>
        <v>0</v>
      </c>
      <c r="DK743" s="1361"/>
      <c r="DL743" s="1361"/>
      <c r="DM743" s="1361"/>
      <c r="DN743" s="1361"/>
      <c r="DO743" s="1361">
        <f t="shared" si="25"/>
        <v>0</v>
      </c>
      <c r="DP743" s="1361"/>
      <c r="DQ743" s="1361"/>
      <c r="DR743" s="1361"/>
      <c r="DS743" s="1361"/>
      <c r="DT743" s="6"/>
      <c r="DU743" s="1381">
        <f t="shared" si="26"/>
        <v>0</v>
      </c>
      <c r="DV743" s="1381"/>
      <c r="DW743" s="1381"/>
      <c r="DX743" s="1381"/>
      <c r="DY743" s="1381"/>
      <c r="DZ743" s="1381">
        <f t="shared" si="27"/>
        <v>0</v>
      </c>
      <c r="EA743" s="1381"/>
      <c r="EB743" s="1381"/>
      <c r="EC743" s="1381"/>
      <c r="ED743" s="1381"/>
      <c r="EE743" s="1381">
        <f t="shared" si="28"/>
        <v>0</v>
      </c>
      <c r="EF743" s="1381"/>
      <c r="EG743" s="1381"/>
      <c r="EH743" s="1381"/>
      <c r="EI743" s="1381"/>
      <c r="EJ743" s="1381">
        <f t="shared" si="29"/>
        <v>0</v>
      </c>
      <c r="EK743" s="1381"/>
      <c r="EL743" s="1381"/>
      <c r="EM743" s="1381"/>
      <c r="EN743" s="1381"/>
      <c r="EO743" s="1381">
        <f t="shared" si="30"/>
        <v>0</v>
      </c>
      <c r="EP743" s="1381"/>
      <c r="EQ743" s="1381"/>
      <c r="ER743" s="1381"/>
      <c r="ES743" s="1381"/>
      <c r="ET743" s="1381">
        <f t="shared" si="31"/>
        <v>0</v>
      </c>
      <c r="EU743" s="1381"/>
      <c r="EV743" s="1381"/>
      <c r="EW743" s="1381"/>
      <c r="EX743" s="1381"/>
      <c r="EZ743" s="1358" t="str">
        <f t="shared" si="32"/>
        <v/>
      </c>
      <c r="FA743" s="1359"/>
      <c r="FB743" s="1359"/>
      <c r="FC743" s="1359"/>
      <c r="FD743" s="1360"/>
      <c r="FE743" s="1358" t="str">
        <f t="shared" si="33"/>
        <v/>
      </c>
      <c r="FF743" s="1359"/>
      <c r="FG743" s="1359"/>
      <c r="FH743" s="1359"/>
      <c r="FI743" s="1360"/>
      <c r="FJ743" s="1358" t="str">
        <f t="shared" si="34"/>
        <v/>
      </c>
      <c r="FK743" s="1359"/>
      <c r="FL743" s="1359"/>
      <c r="FM743" s="1359"/>
      <c r="FN743" s="1360"/>
      <c r="FO743" s="1358" t="str">
        <f t="shared" si="35"/>
        <v/>
      </c>
      <c r="FP743" s="1359"/>
      <c r="FQ743" s="1359"/>
      <c r="FR743" s="1359"/>
      <c r="FS743" s="1360"/>
      <c r="FT743" s="1358" t="str">
        <f t="shared" si="36"/>
        <v/>
      </c>
      <c r="FU743" s="1359"/>
      <c r="FV743" s="1359"/>
      <c r="FW743" s="1359"/>
      <c r="FX743" s="1360"/>
      <c r="FY743" s="1358" t="str">
        <f t="shared" si="37"/>
        <v/>
      </c>
      <c r="FZ743" s="1359"/>
      <c r="GA743" s="1359"/>
      <c r="GB743" s="1359"/>
      <c r="GC743" s="1360"/>
    </row>
    <row r="744" spans="1:185" ht="13" customHeight="1">
      <c r="B744" s="1362"/>
      <c r="C744" s="1363"/>
      <c r="D744" s="1363"/>
      <c r="E744" s="1363"/>
      <c r="F744" s="1364"/>
      <c r="G744" s="1371"/>
      <c r="H744" s="1372"/>
      <c r="I744" s="1372"/>
      <c r="J744" s="1373"/>
      <c r="K744" s="1599"/>
      <c r="L744" s="1600"/>
      <c r="M744" s="1600"/>
      <c r="N744" s="1601"/>
      <c r="O744" s="1378"/>
      <c r="P744" s="1379"/>
      <c r="Q744" s="1379"/>
      <c r="R744" s="1379"/>
      <c r="S744" s="1380"/>
      <c r="T744" s="1378"/>
      <c r="U744" s="1379"/>
      <c r="V744" s="1379"/>
      <c r="W744" s="1380"/>
      <c r="X744" s="1365">
        <f t="shared" si="10"/>
        <v>0</v>
      </c>
      <c r="Y744" s="1366"/>
      <c r="Z744" s="1366"/>
      <c r="AA744" s="1366"/>
      <c r="AB744" s="1367"/>
      <c r="AC744" s="1375"/>
      <c r="AD744" s="1376"/>
      <c r="AE744" s="1376"/>
      <c r="AF744" s="1376"/>
      <c r="AG744" s="1377"/>
      <c r="AH744" s="1368" t="str">
        <f t="shared" si="38"/>
        <v/>
      </c>
      <c r="AI744" s="1369"/>
      <c r="AJ744" s="1370"/>
      <c r="AK744" s="1362" t="s">
        <v>590</v>
      </c>
      <c r="AL744" s="1363"/>
      <c r="AM744" s="1363"/>
      <c r="AN744" s="1363"/>
      <c r="AO744" s="1364"/>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358">
        <f t="shared" si="39"/>
        <v>0</v>
      </c>
      <c r="CH744" s="1360"/>
      <c r="CI744" s="1342">
        <f t="shared" si="40"/>
        <v>0</v>
      </c>
      <c r="CJ744" s="1344"/>
      <c r="CK744" s="1358">
        <f t="shared" si="18"/>
        <v>0</v>
      </c>
      <c r="CL744" s="1360"/>
      <c r="CM744" s="1342">
        <f t="shared" si="19"/>
        <v>0</v>
      </c>
      <c r="CN744" s="1344"/>
      <c r="CO744" s="3"/>
      <c r="CP744" s="1339">
        <f t="shared" si="20"/>
        <v>0</v>
      </c>
      <c r="CQ744" s="1340"/>
      <c r="CR744" s="1340"/>
      <c r="CS744" s="1340"/>
      <c r="CT744" s="1341"/>
      <c r="CU744" s="1361">
        <f t="shared" si="21"/>
        <v>0</v>
      </c>
      <c r="CV744" s="1361"/>
      <c r="CW744" s="1361"/>
      <c r="CX744" s="1361"/>
      <c r="CY744" s="1361"/>
      <c r="CZ744" s="1361">
        <f t="shared" si="22"/>
        <v>0</v>
      </c>
      <c r="DA744" s="1361"/>
      <c r="DB744" s="1361"/>
      <c r="DC744" s="1361"/>
      <c r="DD744" s="1361"/>
      <c r="DE744" s="1361">
        <f t="shared" si="23"/>
        <v>0</v>
      </c>
      <c r="DF744" s="1361"/>
      <c r="DG744" s="1361"/>
      <c r="DH744" s="1361"/>
      <c r="DI744" s="1361"/>
      <c r="DJ744" s="1361">
        <f t="shared" si="24"/>
        <v>0</v>
      </c>
      <c r="DK744" s="1361"/>
      <c r="DL744" s="1361"/>
      <c r="DM744" s="1361"/>
      <c r="DN744" s="1361"/>
      <c r="DO744" s="1361">
        <f t="shared" si="25"/>
        <v>0</v>
      </c>
      <c r="DP744" s="1361"/>
      <c r="DQ744" s="1361"/>
      <c r="DR744" s="1361"/>
      <c r="DS744" s="1361"/>
      <c r="DT744" s="6"/>
      <c r="DU744" s="1381">
        <f t="shared" si="26"/>
        <v>0</v>
      </c>
      <c r="DV744" s="1381"/>
      <c r="DW744" s="1381"/>
      <c r="DX744" s="1381"/>
      <c r="DY744" s="1381"/>
      <c r="DZ744" s="1381">
        <f t="shared" si="27"/>
        <v>0</v>
      </c>
      <c r="EA744" s="1381"/>
      <c r="EB744" s="1381"/>
      <c r="EC744" s="1381"/>
      <c r="ED744" s="1381"/>
      <c r="EE744" s="1381">
        <f t="shared" si="28"/>
        <v>0</v>
      </c>
      <c r="EF744" s="1381"/>
      <c r="EG744" s="1381"/>
      <c r="EH744" s="1381"/>
      <c r="EI744" s="1381"/>
      <c r="EJ744" s="1381">
        <f t="shared" si="29"/>
        <v>0</v>
      </c>
      <c r="EK744" s="1381"/>
      <c r="EL744" s="1381"/>
      <c r="EM744" s="1381"/>
      <c r="EN744" s="1381"/>
      <c r="EO744" s="1381">
        <f t="shared" si="30"/>
        <v>0</v>
      </c>
      <c r="EP744" s="1381"/>
      <c r="EQ744" s="1381"/>
      <c r="ER744" s="1381"/>
      <c r="ES744" s="1381"/>
      <c r="ET744" s="1381">
        <f t="shared" si="31"/>
        <v>0</v>
      </c>
      <c r="EU744" s="1381"/>
      <c r="EV744" s="1381"/>
      <c r="EW744" s="1381"/>
      <c r="EX744" s="1381"/>
      <c r="EZ744" s="1358" t="str">
        <f t="shared" si="32"/>
        <v/>
      </c>
      <c r="FA744" s="1359"/>
      <c r="FB744" s="1359"/>
      <c r="FC744" s="1359"/>
      <c r="FD744" s="1360"/>
      <c r="FE744" s="1358" t="str">
        <f t="shared" si="33"/>
        <v/>
      </c>
      <c r="FF744" s="1359"/>
      <c r="FG744" s="1359"/>
      <c r="FH744" s="1359"/>
      <c r="FI744" s="1360"/>
      <c r="FJ744" s="1358" t="str">
        <f t="shared" si="34"/>
        <v/>
      </c>
      <c r="FK744" s="1359"/>
      <c r="FL744" s="1359"/>
      <c r="FM744" s="1359"/>
      <c r="FN744" s="1360"/>
      <c r="FO744" s="1358" t="str">
        <f t="shared" si="35"/>
        <v/>
      </c>
      <c r="FP744" s="1359"/>
      <c r="FQ744" s="1359"/>
      <c r="FR744" s="1359"/>
      <c r="FS744" s="1360"/>
      <c r="FT744" s="1358" t="str">
        <f t="shared" si="36"/>
        <v/>
      </c>
      <c r="FU744" s="1359"/>
      <c r="FV744" s="1359"/>
      <c r="FW744" s="1359"/>
      <c r="FX744" s="1360"/>
      <c r="FY744" s="1358" t="str">
        <f t="shared" si="37"/>
        <v/>
      </c>
      <c r="FZ744" s="1359"/>
      <c r="GA744" s="1359"/>
      <c r="GB744" s="1359"/>
      <c r="GC744" s="1360"/>
    </row>
    <row r="745" spans="1:185" ht="13" customHeight="1">
      <c r="B745" s="1362"/>
      <c r="C745" s="1363"/>
      <c r="D745" s="1363"/>
      <c r="E745" s="1363"/>
      <c r="F745" s="1364"/>
      <c r="G745" s="1371"/>
      <c r="H745" s="1372"/>
      <c r="I745" s="1372"/>
      <c r="J745" s="1373"/>
      <c r="K745" s="1599"/>
      <c r="L745" s="1600"/>
      <c r="M745" s="1600"/>
      <c r="N745" s="1601"/>
      <c r="O745" s="1378"/>
      <c r="P745" s="1379"/>
      <c r="Q745" s="1379"/>
      <c r="R745" s="1379"/>
      <c r="S745" s="1380"/>
      <c r="T745" s="1378"/>
      <c r="U745" s="1379"/>
      <c r="V745" s="1379"/>
      <c r="W745" s="1380"/>
      <c r="X745" s="1365">
        <f t="shared" si="10"/>
        <v>0</v>
      </c>
      <c r="Y745" s="1366"/>
      <c r="Z745" s="1366"/>
      <c r="AA745" s="1366"/>
      <c r="AB745" s="1367"/>
      <c r="AC745" s="1375"/>
      <c r="AD745" s="1376"/>
      <c r="AE745" s="1376"/>
      <c r="AF745" s="1376"/>
      <c r="AG745" s="1377"/>
      <c r="AH745" s="1368" t="str">
        <f t="shared" si="38"/>
        <v/>
      </c>
      <c r="AI745" s="1369"/>
      <c r="AJ745" s="1370"/>
      <c r="AK745" s="1362" t="s">
        <v>590</v>
      </c>
      <c r="AL745" s="1363"/>
      <c r="AM745" s="1363"/>
      <c r="AN745" s="1363"/>
      <c r="AO745" s="1364"/>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358">
        <f t="shared" si="39"/>
        <v>0</v>
      </c>
      <c r="CH745" s="1360"/>
      <c r="CI745" s="1342">
        <f t="shared" si="40"/>
        <v>0</v>
      </c>
      <c r="CJ745" s="1344"/>
      <c r="CK745" s="1358">
        <f t="shared" si="18"/>
        <v>0</v>
      </c>
      <c r="CL745" s="1360"/>
      <c r="CM745" s="1342">
        <f t="shared" si="19"/>
        <v>0</v>
      </c>
      <c r="CN745" s="1344"/>
      <c r="CO745" s="3"/>
      <c r="CP745" s="1339">
        <f t="shared" si="20"/>
        <v>0</v>
      </c>
      <c r="CQ745" s="1340"/>
      <c r="CR745" s="1340"/>
      <c r="CS745" s="1340"/>
      <c r="CT745" s="1341"/>
      <c r="CU745" s="1361">
        <f t="shared" si="21"/>
        <v>0</v>
      </c>
      <c r="CV745" s="1361"/>
      <c r="CW745" s="1361"/>
      <c r="CX745" s="1361"/>
      <c r="CY745" s="1361"/>
      <c r="CZ745" s="1361">
        <f t="shared" si="22"/>
        <v>0</v>
      </c>
      <c r="DA745" s="1361"/>
      <c r="DB745" s="1361"/>
      <c r="DC745" s="1361"/>
      <c r="DD745" s="1361"/>
      <c r="DE745" s="1361">
        <f t="shared" si="23"/>
        <v>0</v>
      </c>
      <c r="DF745" s="1361"/>
      <c r="DG745" s="1361"/>
      <c r="DH745" s="1361"/>
      <c r="DI745" s="1361"/>
      <c r="DJ745" s="1361">
        <f t="shared" si="24"/>
        <v>0</v>
      </c>
      <c r="DK745" s="1361"/>
      <c r="DL745" s="1361"/>
      <c r="DM745" s="1361"/>
      <c r="DN745" s="1361"/>
      <c r="DO745" s="1361">
        <f t="shared" si="25"/>
        <v>0</v>
      </c>
      <c r="DP745" s="1361"/>
      <c r="DQ745" s="1361"/>
      <c r="DR745" s="1361"/>
      <c r="DS745" s="1361"/>
      <c r="DT745" s="6"/>
      <c r="DU745" s="1381">
        <f t="shared" si="26"/>
        <v>0</v>
      </c>
      <c r="DV745" s="1381"/>
      <c r="DW745" s="1381"/>
      <c r="DX745" s="1381"/>
      <c r="DY745" s="1381"/>
      <c r="DZ745" s="1381">
        <f t="shared" si="27"/>
        <v>0</v>
      </c>
      <c r="EA745" s="1381"/>
      <c r="EB745" s="1381"/>
      <c r="EC745" s="1381"/>
      <c r="ED745" s="1381"/>
      <c r="EE745" s="1381">
        <f t="shared" si="28"/>
        <v>0</v>
      </c>
      <c r="EF745" s="1381"/>
      <c r="EG745" s="1381"/>
      <c r="EH745" s="1381"/>
      <c r="EI745" s="1381"/>
      <c r="EJ745" s="1381">
        <f t="shared" si="29"/>
        <v>0</v>
      </c>
      <c r="EK745" s="1381"/>
      <c r="EL745" s="1381"/>
      <c r="EM745" s="1381"/>
      <c r="EN745" s="1381"/>
      <c r="EO745" s="1381">
        <f t="shared" si="30"/>
        <v>0</v>
      </c>
      <c r="EP745" s="1381"/>
      <c r="EQ745" s="1381"/>
      <c r="ER745" s="1381"/>
      <c r="ES745" s="1381"/>
      <c r="ET745" s="1381">
        <f t="shared" si="31"/>
        <v>0</v>
      </c>
      <c r="EU745" s="1381"/>
      <c r="EV745" s="1381"/>
      <c r="EW745" s="1381"/>
      <c r="EX745" s="1381"/>
      <c r="EZ745" s="1358" t="str">
        <f t="shared" si="32"/>
        <v/>
      </c>
      <c r="FA745" s="1359"/>
      <c r="FB745" s="1359"/>
      <c r="FC745" s="1359"/>
      <c r="FD745" s="1360"/>
      <c r="FE745" s="1358" t="str">
        <f t="shared" si="33"/>
        <v/>
      </c>
      <c r="FF745" s="1359"/>
      <c r="FG745" s="1359"/>
      <c r="FH745" s="1359"/>
      <c r="FI745" s="1360"/>
      <c r="FJ745" s="1358" t="str">
        <f t="shared" si="34"/>
        <v/>
      </c>
      <c r="FK745" s="1359"/>
      <c r="FL745" s="1359"/>
      <c r="FM745" s="1359"/>
      <c r="FN745" s="1360"/>
      <c r="FO745" s="1358" t="str">
        <f t="shared" si="35"/>
        <v/>
      </c>
      <c r="FP745" s="1359"/>
      <c r="FQ745" s="1359"/>
      <c r="FR745" s="1359"/>
      <c r="FS745" s="1360"/>
      <c r="FT745" s="1358" t="str">
        <f t="shared" si="36"/>
        <v/>
      </c>
      <c r="FU745" s="1359"/>
      <c r="FV745" s="1359"/>
      <c r="FW745" s="1359"/>
      <c r="FX745" s="1360"/>
      <c r="FY745" s="1358" t="str">
        <f t="shared" si="37"/>
        <v/>
      </c>
      <c r="FZ745" s="1359"/>
      <c r="GA745" s="1359"/>
      <c r="GB745" s="1359"/>
      <c r="GC745" s="1360"/>
    </row>
    <row r="746" spans="1:185" ht="13" customHeight="1">
      <c r="B746" s="1362"/>
      <c r="C746" s="1363"/>
      <c r="D746" s="1363"/>
      <c r="E746" s="1363"/>
      <c r="F746" s="1364"/>
      <c r="G746" s="1371"/>
      <c r="H746" s="1372"/>
      <c r="I746" s="1372"/>
      <c r="J746" s="1373"/>
      <c r="K746" s="1599"/>
      <c r="L746" s="1600"/>
      <c r="M746" s="1600"/>
      <c r="N746" s="1601"/>
      <c r="O746" s="1378"/>
      <c r="P746" s="1379"/>
      <c r="Q746" s="1379"/>
      <c r="R746" s="1379"/>
      <c r="S746" s="1380"/>
      <c r="T746" s="1378"/>
      <c r="U746" s="1379"/>
      <c r="V746" s="1379"/>
      <c r="W746" s="1380"/>
      <c r="X746" s="1365">
        <f t="shared" si="10"/>
        <v>0</v>
      </c>
      <c r="Y746" s="1366"/>
      <c r="Z746" s="1366"/>
      <c r="AA746" s="1366"/>
      <c r="AB746" s="1367"/>
      <c r="AC746" s="1375"/>
      <c r="AD746" s="1376"/>
      <c r="AE746" s="1376"/>
      <c r="AF746" s="1376"/>
      <c r="AG746" s="1377"/>
      <c r="AH746" s="1368" t="str">
        <f t="shared" si="38"/>
        <v/>
      </c>
      <c r="AI746" s="1369"/>
      <c r="AJ746" s="1370"/>
      <c r="AK746" s="1362" t="s">
        <v>590</v>
      </c>
      <c r="AL746" s="1363"/>
      <c r="AM746" s="1363"/>
      <c r="AN746" s="1363"/>
      <c r="AO746" s="1364"/>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358">
        <f t="shared" si="39"/>
        <v>0</v>
      </c>
      <c r="CH746" s="1360"/>
      <c r="CI746" s="1342">
        <f t="shared" si="40"/>
        <v>0</v>
      </c>
      <c r="CJ746" s="1344"/>
      <c r="CK746" s="1358">
        <f t="shared" si="18"/>
        <v>0</v>
      </c>
      <c r="CL746" s="1360"/>
      <c r="CM746" s="1342">
        <f t="shared" si="19"/>
        <v>0</v>
      </c>
      <c r="CN746" s="1344"/>
      <c r="CO746" s="3"/>
      <c r="CP746" s="1339">
        <f t="shared" si="20"/>
        <v>0</v>
      </c>
      <c r="CQ746" s="1340"/>
      <c r="CR746" s="1340"/>
      <c r="CS746" s="1340"/>
      <c r="CT746" s="1341"/>
      <c r="CU746" s="1361">
        <f t="shared" si="21"/>
        <v>0</v>
      </c>
      <c r="CV746" s="1361"/>
      <c r="CW746" s="1361"/>
      <c r="CX746" s="1361"/>
      <c r="CY746" s="1361"/>
      <c r="CZ746" s="1361">
        <f t="shared" si="22"/>
        <v>0</v>
      </c>
      <c r="DA746" s="1361"/>
      <c r="DB746" s="1361"/>
      <c r="DC746" s="1361"/>
      <c r="DD746" s="1361"/>
      <c r="DE746" s="1361">
        <f t="shared" si="23"/>
        <v>0</v>
      </c>
      <c r="DF746" s="1361"/>
      <c r="DG746" s="1361"/>
      <c r="DH746" s="1361"/>
      <c r="DI746" s="1361"/>
      <c r="DJ746" s="1361">
        <f t="shared" si="24"/>
        <v>0</v>
      </c>
      <c r="DK746" s="1361"/>
      <c r="DL746" s="1361"/>
      <c r="DM746" s="1361"/>
      <c r="DN746" s="1361"/>
      <c r="DO746" s="1361">
        <f t="shared" si="25"/>
        <v>0</v>
      </c>
      <c r="DP746" s="1361"/>
      <c r="DQ746" s="1361"/>
      <c r="DR746" s="1361"/>
      <c r="DS746" s="1361"/>
      <c r="DT746" s="6"/>
      <c r="DU746" s="1381">
        <f t="shared" si="26"/>
        <v>0</v>
      </c>
      <c r="DV746" s="1381"/>
      <c r="DW746" s="1381"/>
      <c r="DX746" s="1381"/>
      <c r="DY746" s="1381"/>
      <c r="DZ746" s="1381">
        <f t="shared" si="27"/>
        <v>0</v>
      </c>
      <c r="EA746" s="1381"/>
      <c r="EB746" s="1381"/>
      <c r="EC746" s="1381"/>
      <c r="ED746" s="1381"/>
      <c r="EE746" s="1381">
        <f t="shared" si="28"/>
        <v>0</v>
      </c>
      <c r="EF746" s="1381"/>
      <c r="EG746" s="1381"/>
      <c r="EH746" s="1381"/>
      <c r="EI746" s="1381"/>
      <c r="EJ746" s="1381">
        <f t="shared" si="29"/>
        <v>0</v>
      </c>
      <c r="EK746" s="1381"/>
      <c r="EL746" s="1381"/>
      <c r="EM746" s="1381"/>
      <c r="EN746" s="1381"/>
      <c r="EO746" s="1381">
        <f t="shared" si="30"/>
        <v>0</v>
      </c>
      <c r="EP746" s="1381"/>
      <c r="EQ746" s="1381"/>
      <c r="ER746" s="1381"/>
      <c r="ES746" s="1381"/>
      <c r="ET746" s="1381">
        <f t="shared" si="31"/>
        <v>0</v>
      </c>
      <c r="EU746" s="1381"/>
      <c r="EV746" s="1381"/>
      <c r="EW746" s="1381"/>
      <c r="EX746" s="1381"/>
      <c r="EZ746" s="1358" t="str">
        <f t="shared" si="32"/>
        <v/>
      </c>
      <c r="FA746" s="1359"/>
      <c r="FB746" s="1359"/>
      <c r="FC746" s="1359"/>
      <c r="FD746" s="1360"/>
      <c r="FE746" s="1358" t="str">
        <f t="shared" si="33"/>
        <v/>
      </c>
      <c r="FF746" s="1359"/>
      <c r="FG746" s="1359"/>
      <c r="FH746" s="1359"/>
      <c r="FI746" s="1360"/>
      <c r="FJ746" s="1358" t="str">
        <f t="shared" si="34"/>
        <v/>
      </c>
      <c r="FK746" s="1359"/>
      <c r="FL746" s="1359"/>
      <c r="FM746" s="1359"/>
      <c r="FN746" s="1360"/>
      <c r="FO746" s="1358" t="str">
        <f t="shared" si="35"/>
        <v/>
      </c>
      <c r="FP746" s="1359"/>
      <c r="FQ746" s="1359"/>
      <c r="FR746" s="1359"/>
      <c r="FS746" s="1360"/>
      <c r="FT746" s="1358" t="str">
        <f t="shared" si="36"/>
        <v/>
      </c>
      <c r="FU746" s="1359"/>
      <c r="FV746" s="1359"/>
      <c r="FW746" s="1359"/>
      <c r="FX746" s="1360"/>
      <c r="FY746" s="1358" t="str">
        <f t="shared" si="37"/>
        <v/>
      </c>
      <c r="FZ746" s="1359"/>
      <c r="GA746" s="1359"/>
      <c r="GB746" s="1359"/>
      <c r="GC746" s="1360"/>
    </row>
    <row r="747" spans="1:185" ht="13" customHeight="1">
      <c r="B747" s="1362"/>
      <c r="C747" s="1363"/>
      <c r="D747" s="1363"/>
      <c r="E747" s="1363"/>
      <c r="F747" s="1364"/>
      <c r="G747" s="1371"/>
      <c r="H747" s="1372"/>
      <c r="I747" s="1372"/>
      <c r="J747" s="1373"/>
      <c r="K747" s="1599"/>
      <c r="L747" s="1600"/>
      <c r="M747" s="1600"/>
      <c r="N747" s="1601"/>
      <c r="O747" s="1378"/>
      <c r="P747" s="1379"/>
      <c r="Q747" s="1379"/>
      <c r="R747" s="1379"/>
      <c r="S747" s="1380"/>
      <c r="T747" s="1378"/>
      <c r="U747" s="1379"/>
      <c r="V747" s="1379"/>
      <c r="W747" s="1380"/>
      <c r="X747" s="1365">
        <f t="shared" si="10"/>
        <v>0</v>
      </c>
      <c r="Y747" s="1366"/>
      <c r="Z747" s="1366"/>
      <c r="AA747" s="1366"/>
      <c r="AB747" s="1367"/>
      <c r="AC747" s="1375"/>
      <c r="AD747" s="1376"/>
      <c r="AE747" s="1376"/>
      <c r="AF747" s="1376"/>
      <c r="AG747" s="1377"/>
      <c r="AH747" s="1368" t="str">
        <f t="shared" si="38"/>
        <v/>
      </c>
      <c r="AI747" s="1369"/>
      <c r="AJ747" s="1370"/>
      <c r="AK747" s="1362" t="s">
        <v>590</v>
      </c>
      <c r="AL747" s="1363"/>
      <c r="AM747" s="1363"/>
      <c r="AN747" s="1363"/>
      <c r="AO747" s="1364"/>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358">
        <f t="shared" si="39"/>
        <v>0</v>
      </c>
      <c r="CH747" s="1360"/>
      <c r="CI747" s="1342">
        <f t="shared" si="40"/>
        <v>0</v>
      </c>
      <c r="CJ747" s="1344"/>
      <c r="CK747" s="1358">
        <f t="shared" si="18"/>
        <v>0</v>
      </c>
      <c r="CL747" s="1360"/>
      <c r="CM747" s="1342">
        <f t="shared" si="19"/>
        <v>0</v>
      </c>
      <c r="CN747" s="1344"/>
      <c r="CO747" s="3"/>
      <c r="CP747" s="1339">
        <f t="shared" si="20"/>
        <v>0</v>
      </c>
      <c r="CQ747" s="1340"/>
      <c r="CR747" s="1340"/>
      <c r="CS747" s="1340"/>
      <c r="CT747" s="1341"/>
      <c r="CU747" s="1361">
        <f t="shared" si="21"/>
        <v>0</v>
      </c>
      <c r="CV747" s="1361"/>
      <c r="CW747" s="1361"/>
      <c r="CX747" s="1361"/>
      <c r="CY747" s="1361"/>
      <c r="CZ747" s="1361">
        <f t="shared" si="22"/>
        <v>0</v>
      </c>
      <c r="DA747" s="1361"/>
      <c r="DB747" s="1361"/>
      <c r="DC747" s="1361"/>
      <c r="DD747" s="1361"/>
      <c r="DE747" s="1361">
        <f t="shared" si="23"/>
        <v>0</v>
      </c>
      <c r="DF747" s="1361"/>
      <c r="DG747" s="1361"/>
      <c r="DH747" s="1361"/>
      <c r="DI747" s="1361"/>
      <c r="DJ747" s="1361">
        <f t="shared" si="24"/>
        <v>0</v>
      </c>
      <c r="DK747" s="1361"/>
      <c r="DL747" s="1361"/>
      <c r="DM747" s="1361"/>
      <c r="DN747" s="1361"/>
      <c r="DO747" s="1361">
        <f t="shared" si="25"/>
        <v>0</v>
      </c>
      <c r="DP747" s="1361"/>
      <c r="DQ747" s="1361"/>
      <c r="DR747" s="1361"/>
      <c r="DS747" s="1361"/>
      <c r="DT747" s="6"/>
      <c r="DU747" s="1381">
        <f t="shared" si="26"/>
        <v>0</v>
      </c>
      <c r="DV747" s="1381"/>
      <c r="DW747" s="1381"/>
      <c r="DX747" s="1381"/>
      <c r="DY747" s="1381"/>
      <c r="DZ747" s="1381">
        <f t="shared" si="27"/>
        <v>0</v>
      </c>
      <c r="EA747" s="1381"/>
      <c r="EB747" s="1381"/>
      <c r="EC747" s="1381"/>
      <c r="ED747" s="1381"/>
      <c r="EE747" s="1381">
        <f t="shared" si="28"/>
        <v>0</v>
      </c>
      <c r="EF747" s="1381"/>
      <c r="EG747" s="1381"/>
      <c r="EH747" s="1381"/>
      <c r="EI747" s="1381"/>
      <c r="EJ747" s="1381">
        <f t="shared" si="29"/>
        <v>0</v>
      </c>
      <c r="EK747" s="1381"/>
      <c r="EL747" s="1381"/>
      <c r="EM747" s="1381"/>
      <c r="EN747" s="1381"/>
      <c r="EO747" s="1381">
        <f t="shared" si="30"/>
        <v>0</v>
      </c>
      <c r="EP747" s="1381"/>
      <c r="EQ747" s="1381"/>
      <c r="ER747" s="1381"/>
      <c r="ES747" s="1381"/>
      <c r="ET747" s="1381">
        <f t="shared" si="31"/>
        <v>0</v>
      </c>
      <c r="EU747" s="1381"/>
      <c r="EV747" s="1381"/>
      <c r="EW747" s="1381"/>
      <c r="EX747" s="1381"/>
      <c r="EZ747" s="1358" t="str">
        <f t="shared" si="32"/>
        <v/>
      </c>
      <c r="FA747" s="1359"/>
      <c r="FB747" s="1359"/>
      <c r="FC747" s="1359"/>
      <c r="FD747" s="1360"/>
      <c r="FE747" s="1358" t="str">
        <f t="shared" si="33"/>
        <v/>
      </c>
      <c r="FF747" s="1359"/>
      <c r="FG747" s="1359"/>
      <c r="FH747" s="1359"/>
      <c r="FI747" s="1360"/>
      <c r="FJ747" s="1358" t="str">
        <f t="shared" si="34"/>
        <v/>
      </c>
      <c r="FK747" s="1359"/>
      <c r="FL747" s="1359"/>
      <c r="FM747" s="1359"/>
      <c r="FN747" s="1360"/>
      <c r="FO747" s="1358" t="str">
        <f t="shared" si="35"/>
        <v/>
      </c>
      <c r="FP747" s="1359"/>
      <c r="FQ747" s="1359"/>
      <c r="FR747" s="1359"/>
      <c r="FS747" s="1360"/>
      <c r="FT747" s="1358" t="str">
        <f t="shared" si="36"/>
        <v/>
      </c>
      <c r="FU747" s="1359"/>
      <c r="FV747" s="1359"/>
      <c r="FW747" s="1359"/>
      <c r="FX747" s="1360"/>
      <c r="FY747" s="1358" t="str">
        <f t="shared" si="37"/>
        <v/>
      </c>
      <c r="FZ747" s="1359"/>
      <c r="GA747" s="1359"/>
      <c r="GB747" s="1359"/>
      <c r="GC747" s="1360"/>
    </row>
    <row r="748" spans="1:185" ht="13" customHeight="1">
      <c r="B748" s="1362"/>
      <c r="C748" s="1363"/>
      <c r="D748" s="1363"/>
      <c r="E748" s="1363"/>
      <c r="F748" s="1364"/>
      <c r="G748" s="1371"/>
      <c r="H748" s="1372"/>
      <c r="I748" s="1372"/>
      <c r="J748" s="1373"/>
      <c r="K748" s="1599"/>
      <c r="L748" s="1600"/>
      <c r="M748" s="1600"/>
      <c r="N748" s="1601"/>
      <c r="O748" s="1378"/>
      <c r="P748" s="1379"/>
      <c r="Q748" s="1379"/>
      <c r="R748" s="1379"/>
      <c r="S748" s="1380"/>
      <c r="T748" s="1378"/>
      <c r="U748" s="1379"/>
      <c r="V748" s="1379"/>
      <c r="W748" s="1380"/>
      <c r="X748" s="1365">
        <f t="shared" si="10"/>
        <v>0</v>
      </c>
      <c r="Y748" s="1366"/>
      <c r="Z748" s="1366"/>
      <c r="AA748" s="1366"/>
      <c r="AB748" s="1367"/>
      <c r="AC748" s="1375"/>
      <c r="AD748" s="1376"/>
      <c r="AE748" s="1376"/>
      <c r="AF748" s="1376"/>
      <c r="AG748" s="1377"/>
      <c r="AH748" s="1368" t="str">
        <f t="shared" si="38"/>
        <v/>
      </c>
      <c r="AI748" s="1369"/>
      <c r="AJ748" s="1370"/>
      <c r="AK748" s="1362" t="s">
        <v>590</v>
      </c>
      <c r="AL748" s="1363"/>
      <c r="AM748" s="1363"/>
      <c r="AN748" s="1363"/>
      <c r="AO748" s="1364"/>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358">
        <f t="shared" si="39"/>
        <v>0</v>
      </c>
      <c r="CH748" s="1360"/>
      <c r="CI748" s="1342">
        <f t="shared" si="40"/>
        <v>0</v>
      </c>
      <c r="CJ748" s="1344"/>
      <c r="CK748" s="1358">
        <f t="shared" si="18"/>
        <v>0</v>
      </c>
      <c r="CL748" s="1360"/>
      <c r="CM748" s="1342">
        <f t="shared" si="19"/>
        <v>0</v>
      </c>
      <c r="CN748" s="1344"/>
      <c r="CO748" s="3"/>
      <c r="CP748" s="1339">
        <f t="shared" si="20"/>
        <v>0</v>
      </c>
      <c r="CQ748" s="1340"/>
      <c r="CR748" s="1340"/>
      <c r="CS748" s="1340"/>
      <c r="CT748" s="1341"/>
      <c r="CU748" s="1361">
        <f t="shared" si="21"/>
        <v>0</v>
      </c>
      <c r="CV748" s="1361"/>
      <c r="CW748" s="1361"/>
      <c r="CX748" s="1361"/>
      <c r="CY748" s="1361"/>
      <c r="CZ748" s="1361">
        <f t="shared" si="22"/>
        <v>0</v>
      </c>
      <c r="DA748" s="1361"/>
      <c r="DB748" s="1361"/>
      <c r="DC748" s="1361"/>
      <c r="DD748" s="1361"/>
      <c r="DE748" s="1361">
        <f t="shared" si="23"/>
        <v>0</v>
      </c>
      <c r="DF748" s="1361"/>
      <c r="DG748" s="1361"/>
      <c r="DH748" s="1361"/>
      <c r="DI748" s="1361"/>
      <c r="DJ748" s="1361">
        <f t="shared" si="24"/>
        <v>0</v>
      </c>
      <c r="DK748" s="1361"/>
      <c r="DL748" s="1361"/>
      <c r="DM748" s="1361"/>
      <c r="DN748" s="1361"/>
      <c r="DO748" s="1361">
        <f t="shared" si="25"/>
        <v>0</v>
      </c>
      <c r="DP748" s="1361"/>
      <c r="DQ748" s="1361"/>
      <c r="DR748" s="1361"/>
      <c r="DS748" s="1361"/>
      <c r="DT748" s="6"/>
      <c r="DU748" s="1381">
        <f t="shared" si="26"/>
        <v>0</v>
      </c>
      <c r="DV748" s="1381"/>
      <c r="DW748" s="1381"/>
      <c r="DX748" s="1381"/>
      <c r="DY748" s="1381"/>
      <c r="DZ748" s="1381">
        <f t="shared" si="27"/>
        <v>0</v>
      </c>
      <c r="EA748" s="1381"/>
      <c r="EB748" s="1381"/>
      <c r="EC748" s="1381"/>
      <c r="ED748" s="1381"/>
      <c r="EE748" s="1381">
        <f t="shared" si="28"/>
        <v>0</v>
      </c>
      <c r="EF748" s="1381"/>
      <c r="EG748" s="1381"/>
      <c r="EH748" s="1381"/>
      <c r="EI748" s="1381"/>
      <c r="EJ748" s="1381">
        <f t="shared" si="29"/>
        <v>0</v>
      </c>
      <c r="EK748" s="1381"/>
      <c r="EL748" s="1381"/>
      <c r="EM748" s="1381"/>
      <c r="EN748" s="1381"/>
      <c r="EO748" s="1381">
        <f t="shared" si="30"/>
        <v>0</v>
      </c>
      <c r="EP748" s="1381"/>
      <c r="EQ748" s="1381"/>
      <c r="ER748" s="1381"/>
      <c r="ES748" s="1381"/>
      <c r="ET748" s="1381">
        <f t="shared" si="31"/>
        <v>0</v>
      </c>
      <c r="EU748" s="1381"/>
      <c r="EV748" s="1381"/>
      <c r="EW748" s="1381"/>
      <c r="EX748" s="1381"/>
      <c r="EZ748" s="1358" t="str">
        <f t="shared" si="32"/>
        <v/>
      </c>
      <c r="FA748" s="1359"/>
      <c r="FB748" s="1359"/>
      <c r="FC748" s="1359"/>
      <c r="FD748" s="1360"/>
      <c r="FE748" s="1358" t="str">
        <f t="shared" si="33"/>
        <v/>
      </c>
      <c r="FF748" s="1359"/>
      <c r="FG748" s="1359"/>
      <c r="FH748" s="1359"/>
      <c r="FI748" s="1360"/>
      <c r="FJ748" s="1358" t="str">
        <f t="shared" si="34"/>
        <v/>
      </c>
      <c r="FK748" s="1359"/>
      <c r="FL748" s="1359"/>
      <c r="FM748" s="1359"/>
      <c r="FN748" s="1360"/>
      <c r="FO748" s="1358" t="str">
        <f t="shared" si="35"/>
        <v/>
      </c>
      <c r="FP748" s="1359"/>
      <c r="FQ748" s="1359"/>
      <c r="FR748" s="1359"/>
      <c r="FS748" s="1360"/>
      <c r="FT748" s="1358" t="str">
        <f t="shared" si="36"/>
        <v/>
      </c>
      <c r="FU748" s="1359"/>
      <c r="FV748" s="1359"/>
      <c r="FW748" s="1359"/>
      <c r="FX748" s="1360"/>
      <c r="FY748" s="1358" t="str">
        <f t="shared" si="37"/>
        <v/>
      </c>
      <c r="FZ748" s="1359"/>
      <c r="GA748" s="1359"/>
      <c r="GB748" s="1359"/>
      <c r="GC748" s="1360"/>
    </row>
    <row r="749" spans="1:185" ht="13" customHeight="1">
      <c r="B749" s="1362"/>
      <c r="C749" s="1363"/>
      <c r="D749" s="1363"/>
      <c r="E749" s="1363"/>
      <c r="F749" s="1364"/>
      <c r="G749" s="1371"/>
      <c r="H749" s="1372"/>
      <c r="I749" s="1372"/>
      <c r="J749" s="1373"/>
      <c r="K749" s="1599"/>
      <c r="L749" s="1600"/>
      <c r="M749" s="1600"/>
      <c r="N749" s="1601"/>
      <c r="O749" s="1378"/>
      <c r="P749" s="1379"/>
      <c r="Q749" s="1379"/>
      <c r="R749" s="1379"/>
      <c r="S749" s="1380"/>
      <c r="T749" s="1378"/>
      <c r="U749" s="1379"/>
      <c r="V749" s="1379"/>
      <c r="W749" s="1380"/>
      <c r="X749" s="1365">
        <f t="shared" si="10"/>
        <v>0</v>
      </c>
      <c r="Y749" s="1366"/>
      <c r="Z749" s="1366"/>
      <c r="AA749" s="1366"/>
      <c r="AB749" s="1367"/>
      <c r="AC749" s="1375"/>
      <c r="AD749" s="1376"/>
      <c r="AE749" s="1376"/>
      <c r="AF749" s="1376"/>
      <c r="AG749" s="1377"/>
      <c r="AH749" s="1368" t="str">
        <f t="shared" si="38"/>
        <v/>
      </c>
      <c r="AI749" s="1369"/>
      <c r="AJ749" s="1370"/>
      <c r="AK749" s="1362" t="s">
        <v>590</v>
      </c>
      <c r="AL749" s="1363"/>
      <c r="AM749" s="1363"/>
      <c r="AN749" s="1363"/>
      <c r="AO749" s="1364"/>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358">
        <f t="shared" si="39"/>
        <v>0</v>
      </c>
      <c r="CH749" s="1360"/>
      <c r="CI749" s="1342">
        <f t="shared" si="40"/>
        <v>0</v>
      </c>
      <c r="CJ749" s="1344"/>
      <c r="CK749" s="1358">
        <f t="shared" si="18"/>
        <v>0</v>
      </c>
      <c r="CL749" s="1360"/>
      <c r="CM749" s="1342">
        <f t="shared" si="19"/>
        <v>0</v>
      </c>
      <c r="CN749" s="1344"/>
      <c r="CO749" s="3"/>
      <c r="CP749" s="1339">
        <f t="shared" si="20"/>
        <v>0</v>
      </c>
      <c r="CQ749" s="1340"/>
      <c r="CR749" s="1340"/>
      <c r="CS749" s="1340"/>
      <c r="CT749" s="1341"/>
      <c r="CU749" s="1361">
        <f t="shared" si="21"/>
        <v>0</v>
      </c>
      <c r="CV749" s="1361"/>
      <c r="CW749" s="1361"/>
      <c r="CX749" s="1361"/>
      <c r="CY749" s="1361"/>
      <c r="CZ749" s="1361">
        <f t="shared" si="22"/>
        <v>0</v>
      </c>
      <c r="DA749" s="1361"/>
      <c r="DB749" s="1361"/>
      <c r="DC749" s="1361"/>
      <c r="DD749" s="1361"/>
      <c r="DE749" s="1361">
        <f t="shared" si="23"/>
        <v>0</v>
      </c>
      <c r="DF749" s="1361"/>
      <c r="DG749" s="1361"/>
      <c r="DH749" s="1361"/>
      <c r="DI749" s="1361"/>
      <c r="DJ749" s="1361">
        <f t="shared" si="24"/>
        <v>0</v>
      </c>
      <c r="DK749" s="1361"/>
      <c r="DL749" s="1361"/>
      <c r="DM749" s="1361"/>
      <c r="DN749" s="1361"/>
      <c r="DO749" s="1361">
        <f t="shared" si="25"/>
        <v>0</v>
      </c>
      <c r="DP749" s="1361"/>
      <c r="DQ749" s="1361"/>
      <c r="DR749" s="1361"/>
      <c r="DS749" s="1361"/>
      <c r="DT749" s="6"/>
      <c r="DU749" s="1381">
        <f t="shared" si="26"/>
        <v>0</v>
      </c>
      <c r="DV749" s="1381"/>
      <c r="DW749" s="1381"/>
      <c r="DX749" s="1381"/>
      <c r="DY749" s="1381"/>
      <c r="DZ749" s="1381">
        <f t="shared" si="27"/>
        <v>0</v>
      </c>
      <c r="EA749" s="1381"/>
      <c r="EB749" s="1381"/>
      <c r="EC749" s="1381"/>
      <c r="ED749" s="1381"/>
      <c r="EE749" s="1381">
        <f t="shared" si="28"/>
        <v>0</v>
      </c>
      <c r="EF749" s="1381"/>
      <c r="EG749" s="1381"/>
      <c r="EH749" s="1381"/>
      <c r="EI749" s="1381"/>
      <c r="EJ749" s="1381">
        <f t="shared" si="29"/>
        <v>0</v>
      </c>
      <c r="EK749" s="1381"/>
      <c r="EL749" s="1381"/>
      <c r="EM749" s="1381"/>
      <c r="EN749" s="1381"/>
      <c r="EO749" s="1381">
        <f t="shared" si="30"/>
        <v>0</v>
      </c>
      <c r="EP749" s="1381"/>
      <c r="EQ749" s="1381"/>
      <c r="ER749" s="1381"/>
      <c r="ES749" s="1381"/>
      <c r="ET749" s="1381">
        <f t="shared" si="31"/>
        <v>0</v>
      </c>
      <c r="EU749" s="1381"/>
      <c r="EV749" s="1381"/>
      <c r="EW749" s="1381"/>
      <c r="EX749" s="1381"/>
      <c r="EZ749" s="1358" t="str">
        <f t="shared" si="32"/>
        <v/>
      </c>
      <c r="FA749" s="1359"/>
      <c r="FB749" s="1359"/>
      <c r="FC749" s="1359"/>
      <c r="FD749" s="1360"/>
      <c r="FE749" s="1358" t="str">
        <f t="shared" si="33"/>
        <v/>
      </c>
      <c r="FF749" s="1359"/>
      <c r="FG749" s="1359"/>
      <c r="FH749" s="1359"/>
      <c r="FI749" s="1360"/>
      <c r="FJ749" s="1358" t="str">
        <f t="shared" si="34"/>
        <v/>
      </c>
      <c r="FK749" s="1359"/>
      <c r="FL749" s="1359"/>
      <c r="FM749" s="1359"/>
      <c r="FN749" s="1360"/>
      <c r="FO749" s="1358" t="str">
        <f t="shared" si="35"/>
        <v/>
      </c>
      <c r="FP749" s="1359"/>
      <c r="FQ749" s="1359"/>
      <c r="FR749" s="1359"/>
      <c r="FS749" s="1360"/>
      <c r="FT749" s="1358" t="str">
        <f t="shared" si="36"/>
        <v/>
      </c>
      <c r="FU749" s="1359"/>
      <c r="FV749" s="1359"/>
      <c r="FW749" s="1359"/>
      <c r="FX749" s="1360"/>
      <c r="FY749" s="1358" t="str">
        <f t="shared" si="37"/>
        <v/>
      </c>
      <c r="FZ749" s="1359"/>
      <c r="GA749" s="1359"/>
      <c r="GB749" s="1359"/>
      <c r="GC749" s="1360"/>
    </row>
    <row r="750" spans="1:185" ht="13" customHeight="1">
      <c r="B750" s="1362"/>
      <c r="C750" s="1363"/>
      <c r="D750" s="1363"/>
      <c r="E750" s="1363"/>
      <c r="F750" s="1364"/>
      <c r="G750" s="1371"/>
      <c r="H750" s="1372"/>
      <c r="I750" s="1372"/>
      <c r="J750" s="1373"/>
      <c r="K750" s="1599"/>
      <c r="L750" s="1600"/>
      <c r="M750" s="1600"/>
      <c r="N750" s="1601"/>
      <c r="O750" s="1378"/>
      <c r="P750" s="1379"/>
      <c r="Q750" s="1379"/>
      <c r="R750" s="1379"/>
      <c r="S750" s="1380"/>
      <c r="T750" s="1378"/>
      <c r="U750" s="1379"/>
      <c r="V750" s="1379"/>
      <c r="W750" s="1380"/>
      <c r="X750" s="1365">
        <f t="shared" ref="X750:X759" si="41">O750+T750</f>
        <v>0</v>
      </c>
      <c r="Y750" s="1366"/>
      <c r="Z750" s="1366"/>
      <c r="AA750" s="1366"/>
      <c r="AB750" s="1367"/>
      <c r="AC750" s="1375"/>
      <c r="AD750" s="1376"/>
      <c r="AE750" s="1376"/>
      <c r="AF750" s="1376"/>
      <c r="AG750" s="1377"/>
      <c r="AH750" s="1368" t="str">
        <f t="shared" si="38"/>
        <v/>
      </c>
      <c r="AI750" s="1369"/>
      <c r="AJ750" s="1370"/>
      <c r="AK750" s="1362" t="s">
        <v>590</v>
      </c>
      <c r="AL750" s="1363"/>
      <c r="AM750" s="1363"/>
      <c r="AN750" s="1363"/>
      <c r="AO750" s="1364"/>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358">
        <f t="shared" si="39"/>
        <v>0</v>
      </c>
      <c r="CH750" s="1360"/>
      <c r="CI750" s="1342">
        <f t="shared" si="40"/>
        <v>0</v>
      </c>
      <c r="CJ750" s="1344"/>
      <c r="CK750" s="1358">
        <f t="shared" si="18"/>
        <v>0</v>
      </c>
      <c r="CL750" s="1360"/>
      <c r="CM750" s="1342">
        <f t="shared" si="19"/>
        <v>0</v>
      </c>
      <c r="CN750" s="1344"/>
      <c r="CO750" s="3"/>
      <c r="CP750" s="1339">
        <f t="shared" si="20"/>
        <v>0</v>
      </c>
      <c r="CQ750" s="1340"/>
      <c r="CR750" s="1340"/>
      <c r="CS750" s="1340"/>
      <c r="CT750" s="1341"/>
      <c r="CU750" s="1361">
        <f t="shared" si="21"/>
        <v>0</v>
      </c>
      <c r="CV750" s="1361"/>
      <c r="CW750" s="1361"/>
      <c r="CX750" s="1361"/>
      <c r="CY750" s="1361"/>
      <c r="CZ750" s="1361">
        <f t="shared" si="22"/>
        <v>0</v>
      </c>
      <c r="DA750" s="1361"/>
      <c r="DB750" s="1361"/>
      <c r="DC750" s="1361"/>
      <c r="DD750" s="1361"/>
      <c r="DE750" s="1361">
        <f t="shared" si="23"/>
        <v>0</v>
      </c>
      <c r="DF750" s="1361"/>
      <c r="DG750" s="1361"/>
      <c r="DH750" s="1361"/>
      <c r="DI750" s="1361"/>
      <c r="DJ750" s="1361">
        <f t="shared" si="24"/>
        <v>0</v>
      </c>
      <c r="DK750" s="1361"/>
      <c r="DL750" s="1361"/>
      <c r="DM750" s="1361"/>
      <c r="DN750" s="1361"/>
      <c r="DO750" s="1361">
        <f t="shared" si="25"/>
        <v>0</v>
      </c>
      <c r="DP750" s="1361"/>
      <c r="DQ750" s="1361"/>
      <c r="DR750" s="1361"/>
      <c r="DS750" s="1361"/>
      <c r="DT750" s="6"/>
      <c r="DU750" s="1381">
        <f t="shared" si="26"/>
        <v>0</v>
      </c>
      <c r="DV750" s="1381"/>
      <c r="DW750" s="1381"/>
      <c r="DX750" s="1381"/>
      <c r="DY750" s="1381"/>
      <c r="DZ750" s="1381">
        <f t="shared" si="27"/>
        <v>0</v>
      </c>
      <c r="EA750" s="1381"/>
      <c r="EB750" s="1381"/>
      <c r="EC750" s="1381"/>
      <c r="ED750" s="1381"/>
      <c r="EE750" s="1381">
        <f t="shared" si="28"/>
        <v>0</v>
      </c>
      <c r="EF750" s="1381"/>
      <c r="EG750" s="1381"/>
      <c r="EH750" s="1381"/>
      <c r="EI750" s="1381"/>
      <c r="EJ750" s="1381">
        <f t="shared" si="29"/>
        <v>0</v>
      </c>
      <c r="EK750" s="1381"/>
      <c r="EL750" s="1381"/>
      <c r="EM750" s="1381"/>
      <c r="EN750" s="1381"/>
      <c r="EO750" s="1381">
        <f t="shared" si="30"/>
        <v>0</v>
      </c>
      <c r="EP750" s="1381"/>
      <c r="EQ750" s="1381"/>
      <c r="ER750" s="1381"/>
      <c r="ES750" s="1381"/>
      <c r="ET750" s="1381">
        <f t="shared" si="31"/>
        <v>0</v>
      </c>
      <c r="EU750" s="1381"/>
      <c r="EV750" s="1381"/>
      <c r="EW750" s="1381"/>
      <c r="EX750" s="1381"/>
      <c r="EZ750" s="1358" t="str">
        <f t="shared" si="32"/>
        <v/>
      </c>
      <c r="FA750" s="1359"/>
      <c r="FB750" s="1359"/>
      <c r="FC750" s="1359"/>
      <c r="FD750" s="1360"/>
      <c r="FE750" s="1358" t="str">
        <f t="shared" si="33"/>
        <v/>
      </c>
      <c r="FF750" s="1359"/>
      <c r="FG750" s="1359"/>
      <c r="FH750" s="1359"/>
      <c r="FI750" s="1360"/>
      <c r="FJ750" s="1358" t="str">
        <f t="shared" si="34"/>
        <v/>
      </c>
      <c r="FK750" s="1359"/>
      <c r="FL750" s="1359"/>
      <c r="FM750" s="1359"/>
      <c r="FN750" s="1360"/>
      <c r="FO750" s="1358" t="str">
        <f t="shared" si="35"/>
        <v/>
      </c>
      <c r="FP750" s="1359"/>
      <c r="FQ750" s="1359"/>
      <c r="FR750" s="1359"/>
      <c r="FS750" s="1360"/>
      <c r="FT750" s="1358" t="str">
        <f t="shared" si="36"/>
        <v/>
      </c>
      <c r="FU750" s="1359"/>
      <c r="FV750" s="1359"/>
      <c r="FW750" s="1359"/>
      <c r="FX750" s="1360"/>
      <c r="FY750" s="1358" t="str">
        <f t="shared" si="37"/>
        <v/>
      </c>
      <c r="FZ750" s="1359"/>
      <c r="GA750" s="1359"/>
      <c r="GB750" s="1359"/>
      <c r="GC750" s="1360"/>
    </row>
    <row r="751" spans="1:185" s="3" customFormat="1" ht="13" customHeight="1">
      <c r="A751"/>
      <c r="B751" s="1362"/>
      <c r="C751" s="1363"/>
      <c r="D751" s="1363"/>
      <c r="E751" s="1363"/>
      <c r="F751" s="1364"/>
      <c r="G751" s="1371"/>
      <c r="H751" s="1372"/>
      <c r="I751" s="1372"/>
      <c r="J751" s="1373"/>
      <c r="K751" s="1599"/>
      <c r="L751" s="1600"/>
      <c r="M751" s="1600"/>
      <c r="N751" s="1601"/>
      <c r="O751" s="1378"/>
      <c r="P751" s="1379"/>
      <c r="Q751" s="1379"/>
      <c r="R751" s="1379"/>
      <c r="S751" s="1380"/>
      <c r="T751" s="1378"/>
      <c r="U751" s="1379"/>
      <c r="V751" s="1379"/>
      <c r="W751" s="1380"/>
      <c r="X751" s="1365">
        <f t="shared" si="41"/>
        <v>0</v>
      </c>
      <c r="Y751" s="1366"/>
      <c r="Z751" s="1366"/>
      <c r="AA751" s="1366"/>
      <c r="AB751" s="1367"/>
      <c r="AC751" s="1375"/>
      <c r="AD751" s="1376"/>
      <c r="AE751" s="1376"/>
      <c r="AF751" s="1376"/>
      <c r="AG751" s="1377"/>
      <c r="AH751" s="1368" t="str">
        <f t="shared" si="38"/>
        <v/>
      </c>
      <c r="AI751" s="1369"/>
      <c r="AJ751" s="1370"/>
      <c r="AK751" s="1362" t="s">
        <v>590</v>
      </c>
      <c r="AL751" s="1363"/>
      <c r="AM751" s="1363"/>
      <c r="AN751" s="1363"/>
      <c r="AO751" s="1364"/>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358">
        <f t="shared" si="39"/>
        <v>0</v>
      </c>
      <c r="CH751" s="1360"/>
      <c r="CI751" s="1342">
        <f t="shared" si="40"/>
        <v>0</v>
      </c>
      <c r="CJ751" s="1344"/>
      <c r="CK751" s="1358">
        <f t="shared" si="18"/>
        <v>0</v>
      </c>
      <c r="CL751" s="1360"/>
      <c r="CM751" s="1342">
        <f t="shared" si="19"/>
        <v>0</v>
      </c>
      <c r="CN751" s="1344"/>
      <c r="CP751" s="1339">
        <f t="shared" si="20"/>
        <v>0</v>
      </c>
      <c r="CQ751" s="1340"/>
      <c r="CR751" s="1340"/>
      <c r="CS751" s="1340"/>
      <c r="CT751" s="1341"/>
      <c r="CU751" s="1361">
        <f t="shared" si="21"/>
        <v>0</v>
      </c>
      <c r="CV751" s="1361"/>
      <c r="CW751" s="1361"/>
      <c r="CX751" s="1361"/>
      <c r="CY751" s="1361"/>
      <c r="CZ751" s="1361">
        <f t="shared" si="22"/>
        <v>0</v>
      </c>
      <c r="DA751" s="1361"/>
      <c r="DB751" s="1361"/>
      <c r="DC751" s="1361"/>
      <c r="DD751" s="1361"/>
      <c r="DE751" s="1361">
        <f t="shared" si="23"/>
        <v>0</v>
      </c>
      <c r="DF751" s="1361"/>
      <c r="DG751" s="1361"/>
      <c r="DH751" s="1361"/>
      <c r="DI751" s="1361"/>
      <c r="DJ751" s="1361">
        <f t="shared" si="24"/>
        <v>0</v>
      </c>
      <c r="DK751" s="1361"/>
      <c r="DL751" s="1361"/>
      <c r="DM751" s="1361"/>
      <c r="DN751" s="1361"/>
      <c r="DO751" s="1361">
        <f t="shared" si="25"/>
        <v>0</v>
      </c>
      <c r="DP751" s="1361"/>
      <c r="DQ751" s="1361"/>
      <c r="DR751" s="1361"/>
      <c r="DS751" s="1361"/>
      <c r="DT751" s="6"/>
      <c r="DU751" s="1381">
        <f t="shared" si="26"/>
        <v>0</v>
      </c>
      <c r="DV751" s="1381"/>
      <c r="DW751" s="1381"/>
      <c r="DX751" s="1381"/>
      <c r="DY751" s="1381"/>
      <c r="DZ751" s="1381">
        <f t="shared" si="27"/>
        <v>0</v>
      </c>
      <c r="EA751" s="1381"/>
      <c r="EB751" s="1381"/>
      <c r="EC751" s="1381"/>
      <c r="ED751" s="1381"/>
      <c r="EE751" s="1381">
        <f t="shared" si="28"/>
        <v>0</v>
      </c>
      <c r="EF751" s="1381"/>
      <c r="EG751" s="1381"/>
      <c r="EH751" s="1381"/>
      <c r="EI751" s="1381"/>
      <c r="EJ751" s="1381">
        <f t="shared" si="29"/>
        <v>0</v>
      </c>
      <c r="EK751" s="1381"/>
      <c r="EL751" s="1381"/>
      <c r="EM751" s="1381"/>
      <c r="EN751" s="1381"/>
      <c r="EO751" s="1381">
        <f t="shared" si="30"/>
        <v>0</v>
      </c>
      <c r="EP751" s="1381"/>
      <c r="EQ751" s="1381"/>
      <c r="ER751" s="1381"/>
      <c r="ES751" s="1381"/>
      <c r="ET751" s="1381">
        <f t="shared" si="31"/>
        <v>0</v>
      </c>
      <c r="EU751" s="1381"/>
      <c r="EV751" s="1381"/>
      <c r="EW751" s="1381"/>
      <c r="EX751" s="1381"/>
      <c r="EY751"/>
      <c r="EZ751" s="1358" t="str">
        <f t="shared" si="32"/>
        <v/>
      </c>
      <c r="FA751" s="1359"/>
      <c r="FB751" s="1359"/>
      <c r="FC751" s="1359"/>
      <c r="FD751" s="1360"/>
      <c r="FE751" s="1358" t="str">
        <f t="shared" si="33"/>
        <v/>
      </c>
      <c r="FF751" s="1359"/>
      <c r="FG751" s="1359"/>
      <c r="FH751" s="1359"/>
      <c r="FI751" s="1360"/>
      <c r="FJ751" s="1358" t="str">
        <f t="shared" si="34"/>
        <v/>
      </c>
      <c r="FK751" s="1359"/>
      <c r="FL751" s="1359"/>
      <c r="FM751" s="1359"/>
      <c r="FN751" s="1360"/>
      <c r="FO751" s="1358" t="str">
        <f t="shared" si="35"/>
        <v/>
      </c>
      <c r="FP751" s="1359"/>
      <c r="FQ751" s="1359"/>
      <c r="FR751" s="1359"/>
      <c r="FS751" s="1360"/>
      <c r="FT751" s="1358" t="str">
        <f t="shared" si="36"/>
        <v/>
      </c>
      <c r="FU751" s="1359"/>
      <c r="FV751" s="1359"/>
      <c r="FW751" s="1359"/>
      <c r="FX751" s="1360"/>
      <c r="FY751" s="1358" t="str">
        <f t="shared" si="37"/>
        <v/>
      </c>
      <c r="FZ751" s="1359"/>
      <c r="GA751" s="1359"/>
      <c r="GB751" s="1359"/>
      <c r="GC751" s="1360"/>
    </row>
    <row r="752" spans="1:185" ht="13" customHeight="1">
      <c r="B752" s="1362"/>
      <c r="C752" s="1363"/>
      <c r="D752" s="1363"/>
      <c r="E752" s="1363"/>
      <c r="F752" s="1364"/>
      <c r="G752" s="1371"/>
      <c r="H752" s="1372"/>
      <c r="I752" s="1372"/>
      <c r="J752" s="1373"/>
      <c r="K752" s="1599"/>
      <c r="L752" s="1600"/>
      <c r="M752" s="1600"/>
      <c r="N752" s="1601"/>
      <c r="O752" s="1378"/>
      <c r="P752" s="1379"/>
      <c r="Q752" s="1379"/>
      <c r="R752" s="1379"/>
      <c r="S752" s="1380"/>
      <c r="T752" s="1378"/>
      <c r="U752" s="1379"/>
      <c r="V752" s="1379"/>
      <c r="W752" s="1380"/>
      <c r="X752" s="1365">
        <f t="shared" si="41"/>
        <v>0</v>
      </c>
      <c r="Y752" s="1366"/>
      <c r="Z752" s="1366"/>
      <c r="AA752" s="1366"/>
      <c r="AB752" s="1367"/>
      <c r="AC752" s="1375"/>
      <c r="AD752" s="1376"/>
      <c r="AE752" s="1376"/>
      <c r="AF752" s="1376"/>
      <c r="AG752" s="1377"/>
      <c r="AH752" s="1368" t="str">
        <f t="shared" si="38"/>
        <v/>
      </c>
      <c r="AI752" s="1369"/>
      <c r="AJ752" s="1370"/>
      <c r="AK752" s="1362" t="s">
        <v>590</v>
      </c>
      <c r="AL752" s="1363"/>
      <c r="AM752" s="1363"/>
      <c r="AN752" s="1363"/>
      <c r="AO752" s="1364"/>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358">
        <f t="shared" si="39"/>
        <v>0</v>
      </c>
      <c r="CH752" s="1360"/>
      <c r="CI752" s="1342">
        <f t="shared" si="40"/>
        <v>0</v>
      </c>
      <c r="CJ752" s="1344"/>
      <c r="CK752" s="1358">
        <f t="shared" si="18"/>
        <v>0</v>
      </c>
      <c r="CL752" s="1360"/>
      <c r="CM752" s="1342">
        <f t="shared" si="19"/>
        <v>0</v>
      </c>
      <c r="CN752" s="1344"/>
      <c r="CO752" s="3"/>
      <c r="CP752" s="1339">
        <f t="shared" si="20"/>
        <v>0</v>
      </c>
      <c r="CQ752" s="1340"/>
      <c r="CR752" s="1340"/>
      <c r="CS752" s="1340"/>
      <c r="CT752" s="1341"/>
      <c r="CU752" s="1361">
        <f t="shared" si="21"/>
        <v>0</v>
      </c>
      <c r="CV752" s="1361"/>
      <c r="CW752" s="1361"/>
      <c r="CX752" s="1361"/>
      <c r="CY752" s="1361"/>
      <c r="CZ752" s="1361">
        <f t="shared" si="22"/>
        <v>0</v>
      </c>
      <c r="DA752" s="1361"/>
      <c r="DB752" s="1361"/>
      <c r="DC752" s="1361"/>
      <c r="DD752" s="1361"/>
      <c r="DE752" s="1361">
        <f t="shared" si="23"/>
        <v>0</v>
      </c>
      <c r="DF752" s="1361"/>
      <c r="DG752" s="1361"/>
      <c r="DH752" s="1361"/>
      <c r="DI752" s="1361"/>
      <c r="DJ752" s="1361">
        <f t="shared" si="24"/>
        <v>0</v>
      </c>
      <c r="DK752" s="1361"/>
      <c r="DL752" s="1361"/>
      <c r="DM752" s="1361"/>
      <c r="DN752" s="1361"/>
      <c r="DO752" s="1361">
        <f t="shared" si="25"/>
        <v>0</v>
      </c>
      <c r="DP752" s="1361"/>
      <c r="DQ752" s="1361"/>
      <c r="DR752" s="1361"/>
      <c r="DS752" s="1361"/>
      <c r="DT752" s="6"/>
      <c r="DU752" s="1381">
        <f t="shared" si="26"/>
        <v>0</v>
      </c>
      <c r="DV752" s="1381"/>
      <c r="DW752" s="1381"/>
      <c r="DX752" s="1381"/>
      <c r="DY752" s="1381"/>
      <c r="DZ752" s="1381">
        <f t="shared" si="27"/>
        <v>0</v>
      </c>
      <c r="EA752" s="1381"/>
      <c r="EB752" s="1381"/>
      <c r="EC752" s="1381"/>
      <c r="ED752" s="1381"/>
      <c r="EE752" s="1381">
        <f t="shared" si="28"/>
        <v>0</v>
      </c>
      <c r="EF752" s="1381"/>
      <c r="EG752" s="1381"/>
      <c r="EH752" s="1381"/>
      <c r="EI752" s="1381"/>
      <c r="EJ752" s="1381">
        <f t="shared" si="29"/>
        <v>0</v>
      </c>
      <c r="EK752" s="1381"/>
      <c r="EL752" s="1381"/>
      <c r="EM752" s="1381"/>
      <c r="EN752" s="1381"/>
      <c r="EO752" s="1381">
        <f t="shared" si="30"/>
        <v>0</v>
      </c>
      <c r="EP752" s="1381"/>
      <c r="EQ752" s="1381"/>
      <c r="ER752" s="1381"/>
      <c r="ES752" s="1381"/>
      <c r="ET752" s="1381">
        <f t="shared" si="31"/>
        <v>0</v>
      </c>
      <c r="EU752" s="1381"/>
      <c r="EV752" s="1381"/>
      <c r="EW752" s="1381"/>
      <c r="EX752" s="1381"/>
      <c r="EZ752" s="1358" t="str">
        <f t="shared" si="32"/>
        <v/>
      </c>
      <c r="FA752" s="1359"/>
      <c r="FB752" s="1359"/>
      <c r="FC752" s="1359"/>
      <c r="FD752" s="1360"/>
      <c r="FE752" s="1358" t="str">
        <f t="shared" si="33"/>
        <v/>
      </c>
      <c r="FF752" s="1359"/>
      <c r="FG752" s="1359"/>
      <c r="FH752" s="1359"/>
      <c r="FI752" s="1360"/>
      <c r="FJ752" s="1358" t="str">
        <f t="shared" si="34"/>
        <v/>
      </c>
      <c r="FK752" s="1359"/>
      <c r="FL752" s="1359"/>
      <c r="FM752" s="1359"/>
      <c r="FN752" s="1360"/>
      <c r="FO752" s="1358" t="str">
        <f t="shared" si="35"/>
        <v/>
      </c>
      <c r="FP752" s="1359"/>
      <c r="FQ752" s="1359"/>
      <c r="FR752" s="1359"/>
      <c r="FS752" s="1360"/>
      <c r="FT752" s="1358" t="str">
        <f t="shared" si="36"/>
        <v/>
      </c>
      <c r="FU752" s="1359"/>
      <c r="FV752" s="1359"/>
      <c r="FW752" s="1359"/>
      <c r="FX752" s="1360"/>
      <c r="FY752" s="1358" t="str">
        <f t="shared" si="37"/>
        <v/>
      </c>
      <c r="FZ752" s="1359"/>
      <c r="GA752" s="1359"/>
      <c r="GB752" s="1359"/>
      <c r="GC752" s="1360"/>
    </row>
    <row r="753" spans="1:185" ht="13" customHeight="1">
      <c r="B753" s="1362"/>
      <c r="C753" s="1363"/>
      <c r="D753" s="1363"/>
      <c r="E753" s="1363"/>
      <c r="F753" s="1364"/>
      <c r="G753" s="1371"/>
      <c r="H753" s="1372"/>
      <c r="I753" s="1372"/>
      <c r="J753" s="1373"/>
      <c r="K753" s="1599"/>
      <c r="L753" s="1600"/>
      <c r="M753" s="1600"/>
      <c r="N753" s="1601"/>
      <c r="O753" s="1378"/>
      <c r="P753" s="1379"/>
      <c r="Q753" s="1379"/>
      <c r="R753" s="1379"/>
      <c r="S753" s="1380"/>
      <c r="T753" s="1378"/>
      <c r="U753" s="1379"/>
      <c r="V753" s="1379"/>
      <c r="W753" s="1380"/>
      <c r="X753" s="1365">
        <f t="shared" si="41"/>
        <v>0</v>
      </c>
      <c r="Y753" s="1366"/>
      <c r="Z753" s="1366"/>
      <c r="AA753" s="1366"/>
      <c r="AB753" s="1367"/>
      <c r="AC753" s="1375"/>
      <c r="AD753" s="1376"/>
      <c r="AE753" s="1376"/>
      <c r="AF753" s="1376"/>
      <c r="AG753" s="1377"/>
      <c r="AH753" s="1368" t="str">
        <f t="shared" si="38"/>
        <v/>
      </c>
      <c r="AI753" s="1369"/>
      <c r="AJ753" s="1370"/>
      <c r="AK753" s="1362" t="s">
        <v>590</v>
      </c>
      <c r="AL753" s="1363"/>
      <c r="AM753" s="1363"/>
      <c r="AN753" s="1363"/>
      <c r="AO753" s="1364"/>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358">
        <f t="shared" si="39"/>
        <v>0</v>
      </c>
      <c r="CH753" s="1360"/>
      <c r="CI753" s="1342">
        <f t="shared" si="40"/>
        <v>0</v>
      </c>
      <c r="CJ753" s="1344"/>
      <c r="CK753" s="1358">
        <f t="shared" si="18"/>
        <v>0</v>
      </c>
      <c r="CL753" s="1360"/>
      <c r="CM753" s="1342">
        <f t="shared" si="19"/>
        <v>0</v>
      </c>
      <c r="CN753" s="1344"/>
      <c r="CO753" s="3"/>
      <c r="CP753" s="1339">
        <f t="shared" si="20"/>
        <v>0</v>
      </c>
      <c r="CQ753" s="1340"/>
      <c r="CR753" s="1340"/>
      <c r="CS753" s="1340"/>
      <c r="CT753" s="1341"/>
      <c r="CU753" s="1361">
        <f t="shared" si="21"/>
        <v>0</v>
      </c>
      <c r="CV753" s="1361"/>
      <c r="CW753" s="1361"/>
      <c r="CX753" s="1361"/>
      <c r="CY753" s="1361"/>
      <c r="CZ753" s="1361">
        <f t="shared" si="22"/>
        <v>0</v>
      </c>
      <c r="DA753" s="1361"/>
      <c r="DB753" s="1361"/>
      <c r="DC753" s="1361"/>
      <c r="DD753" s="1361"/>
      <c r="DE753" s="1361">
        <f t="shared" si="23"/>
        <v>0</v>
      </c>
      <c r="DF753" s="1361"/>
      <c r="DG753" s="1361"/>
      <c r="DH753" s="1361"/>
      <c r="DI753" s="1361"/>
      <c r="DJ753" s="1361">
        <f t="shared" si="24"/>
        <v>0</v>
      </c>
      <c r="DK753" s="1361"/>
      <c r="DL753" s="1361"/>
      <c r="DM753" s="1361"/>
      <c r="DN753" s="1361"/>
      <c r="DO753" s="1361">
        <f t="shared" si="25"/>
        <v>0</v>
      </c>
      <c r="DP753" s="1361"/>
      <c r="DQ753" s="1361"/>
      <c r="DR753" s="1361"/>
      <c r="DS753" s="1361"/>
      <c r="DT753" s="6"/>
      <c r="DU753" s="1381">
        <f t="shared" si="26"/>
        <v>0</v>
      </c>
      <c r="DV753" s="1381"/>
      <c r="DW753" s="1381"/>
      <c r="DX753" s="1381"/>
      <c r="DY753" s="1381"/>
      <c r="DZ753" s="1381">
        <f t="shared" si="27"/>
        <v>0</v>
      </c>
      <c r="EA753" s="1381"/>
      <c r="EB753" s="1381"/>
      <c r="EC753" s="1381"/>
      <c r="ED753" s="1381"/>
      <c r="EE753" s="1381">
        <f t="shared" si="28"/>
        <v>0</v>
      </c>
      <c r="EF753" s="1381"/>
      <c r="EG753" s="1381"/>
      <c r="EH753" s="1381"/>
      <c r="EI753" s="1381"/>
      <c r="EJ753" s="1381">
        <f t="shared" si="29"/>
        <v>0</v>
      </c>
      <c r="EK753" s="1381"/>
      <c r="EL753" s="1381"/>
      <c r="EM753" s="1381"/>
      <c r="EN753" s="1381"/>
      <c r="EO753" s="1381">
        <f t="shared" si="30"/>
        <v>0</v>
      </c>
      <c r="EP753" s="1381"/>
      <c r="EQ753" s="1381"/>
      <c r="ER753" s="1381"/>
      <c r="ES753" s="1381"/>
      <c r="ET753" s="1381">
        <f t="shared" si="31"/>
        <v>0</v>
      </c>
      <c r="EU753" s="1381"/>
      <c r="EV753" s="1381"/>
      <c r="EW753" s="1381"/>
      <c r="EX753" s="1381"/>
      <c r="EZ753" s="1358" t="str">
        <f t="shared" si="32"/>
        <v/>
      </c>
      <c r="FA753" s="1359"/>
      <c r="FB753" s="1359"/>
      <c r="FC753" s="1359"/>
      <c r="FD753" s="1360"/>
      <c r="FE753" s="1358" t="str">
        <f t="shared" si="33"/>
        <v/>
      </c>
      <c r="FF753" s="1359"/>
      <c r="FG753" s="1359"/>
      <c r="FH753" s="1359"/>
      <c r="FI753" s="1360"/>
      <c r="FJ753" s="1358" t="str">
        <f t="shared" si="34"/>
        <v/>
      </c>
      <c r="FK753" s="1359"/>
      <c r="FL753" s="1359"/>
      <c r="FM753" s="1359"/>
      <c r="FN753" s="1360"/>
      <c r="FO753" s="1358" t="str">
        <f t="shared" si="35"/>
        <v/>
      </c>
      <c r="FP753" s="1359"/>
      <c r="FQ753" s="1359"/>
      <c r="FR753" s="1359"/>
      <c r="FS753" s="1360"/>
      <c r="FT753" s="1358" t="str">
        <f t="shared" si="36"/>
        <v/>
      </c>
      <c r="FU753" s="1359"/>
      <c r="FV753" s="1359"/>
      <c r="FW753" s="1359"/>
      <c r="FX753" s="1360"/>
      <c r="FY753" s="1358" t="str">
        <f t="shared" si="37"/>
        <v/>
      </c>
      <c r="FZ753" s="1359"/>
      <c r="GA753" s="1359"/>
      <c r="GB753" s="1359"/>
      <c r="GC753" s="1360"/>
    </row>
    <row r="754" spans="1:185" ht="13" customHeight="1">
      <c r="B754" s="1362"/>
      <c r="C754" s="1363"/>
      <c r="D754" s="1363"/>
      <c r="E754" s="1363"/>
      <c r="F754" s="1364"/>
      <c r="G754" s="1371"/>
      <c r="H754" s="1372"/>
      <c r="I754" s="1372"/>
      <c r="J754" s="1373"/>
      <c r="K754" s="1599"/>
      <c r="L754" s="1600"/>
      <c r="M754" s="1600"/>
      <c r="N754" s="1601"/>
      <c r="O754" s="1378"/>
      <c r="P754" s="1379"/>
      <c r="Q754" s="1379"/>
      <c r="R754" s="1379"/>
      <c r="S754" s="1380"/>
      <c r="T754" s="1378"/>
      <c r="U754" s="1379"/>
      <c r="V754" s="1379"/>
      <c r="W754" s="1380"/>
      <c r="X754" s="1365">
        <f t="shared" si="41"/>
        <v>0</v>
      </c>
      <c r="Y754" s="1366"/>
      <c r="Z754" s="1366"/>
      <c r="AA754" s="1366"/>
      <c r="AB754" s="1367"/>
      <c r="AC754" s="1375"/>
      <c r="AD754" s="1376"/>
      <c r="AE754" s="1376"/>
      <c r="AF754" s="1376"/>
      <c r="AG754" s="1377"/>
      <c r="AH754" s="1368" t="str">
        <f t="shared" si="38"/>
        <v/>
      </c>
      <c r="AI754" s="1369"/>
      <c r="AJ754" s="1370"/>
      <c r="AK754" s="1362" t="s">
        <v>590</v>
      </c>
      <c r="AL754" s="1363"/>
      <c r="AM754" s="1363"/>
      <c r="AN754" s="1363"/>
      <c r="AO754" s="1364"/>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358">
        <f t="shared" si="39"/>
        <v>0</v>
      </c>
      <c r="CH754" s="1360"/>
      <c r="CI754" s="1342">
        <f t="shared" si="40"/>
        <v>0</v>
      </c>
      <c r="CJ754" s="1344"/>
      <c r="CK754" s="1358">
        <f t="shared" si="18"/>
        <v>0</v>
      </c>
      <c r="CL754" s="1360"/>
      <c r="CM754" s="1342">
        <f t="shared" si="19"/>
        <v>0</v>
      </c>
      <c r="CN754" s="1344"/>
      <c r="CO754" s="3"/>
      <c r="CP754" s="1339">
        <f t="shared" si="20"/>
        <v>0</v>
      </c>
      <c r="CQ754" s="1340"/>
      <c r="CR754" s="1340"/>
      <c r="CS754" s="1340"/>
      <c r="CT754" s="1341"/>
      <c r="CU754" s="1361">
        <f t="shared" si="21"/>
        <v>0</v>
      </c>
      <c r="CV754" s="1361"/>
      <c r="CW754" s="1361"/>
      <c r="CX754" s="1361"/>
      <c r="CY754" s="1361"/>
      <c r="CZ754" s="1361">
        <f t="shared" si="22"/>
        <v>0</v>
      </c>
      <c r="DA754" s="1361"/>
      <c r="DB754" s="1361"/>
      <c r="DC754" s="1361"/>
      <c r="DD754" s="1361"/>
      <c r="DE754" s="1361">
        <f t="shared" si="23"/>
        <v>0</v>
      </c>
      <c r="DF754" s="1361"/>
      <c r="DG754" s="1361"/>
      <c r="DH754" s="1361"/>
      <c r="DI754" s="1361"/>
      <c r="DJ754" s="1361">
        <f t="shared" si="24"/>
        <v>0</v>
      </c>
      <c r="DK754" s="1361"/>
      <c r="DL754" s="1361"/>
      <c r="DM754" s="1361"/>
      <c r="DN754" s="1361"/>
      <c r="DO754" s="1361">
        <f t="shared" si="25"/>
        <v>0</v>
      </c>
      <c r="DP754" s="1361"/>
      <c r="DQ754" s="1361"/>
      <c r="DR754" s="1361"/>
      <c r="DS754" s="1361"/>
      <c r="DT754" s="6"/>
      <c r="DU754" s="1381">
        <f t="shared" si="26"/>
        <v>0</v>
      </c>
      <c r="DV754" s="1381"/>
      <c r="DW754" s="1381"/>
      <c r="DX754" s="1381"/>
      <c r="DY754" s="1381"/>
      <c r="DZ754" s="1381">
        <f t="shared" si="27"/>
        <v>0</v>
      </c>
      <c r="EA754" s="1381"/>
      <c r="EB754" s="1381"/>
      <c r="EC754" s="1381"/>
      <c r="ED754" s="1381"/>
      <c r="EE754" s="1381">
        <f t="shared" si="28"/>
        <v>0</v>
      </c>
      <c r="EF754" s="1381"/>
      <c r="EG754" s="1381"/>
      <c r="EH754" s="1381"/>
      <c r="EI754" s="1381"/>
      <c r="EJ754" s="1381">
        <f t="shared" si="29"/>
        <v>0</v>
      </c>
      <c r="EK754" s="1381"/>
      <c r="EL754" s="1381"/>
      <c r="EM754" s="1381"/>
      <c r="EN754" s="1381"/>
      <c r="EO754" s="1381">
        <f t="shared" si="30"/>
        <v>0</v>
      </c>
      <c r="EP754" s="1381"/>
      <c r="EQ754" s="1381"/>
      <c r="ER754" s="1381"/>
      <c r="ES754" s="1381"/>
      <c r="ET754" s="1381">
        <f t="shared" si="31"/>
        <v>0</v>
      </c>
      <c r="EU754" s="1381"/>
      <c r="EV754" s="1381"/>
      <c r="EW754" s="1381"/>
      <c r="EX754" s="1381"/>
      <c r="EZ754" s="1358" t="str">
        <f t="shared" si="32"/>
        <v/>
      </c>
      <c r="FA754" s="1359"/>
      <c r="FB754" s="1359"/>
      <c r="FC754" s="1359"/>
      <c r="FD754" s="1360"/>
      <c r="FE754" s="1358" t="str">
        <f t="shared" si="33"/>
        <v/>
      </c>
      <c r="FF754" s="1359"/>
      <c r="FG754" s="1359"/>
      <c r="FH754" s="1359"/>
      <c r="FI754" s="1360"/>
      <c r="FJ754" s="1358" t="str">
        <f t="shared" si="34"/>
        <v/>
      </c>
      <c r="FK754" s="1359"/>
      <c r="FL754" s="1359"/>
      <c r="FM754" s="1359"/>
      <c r="FN754" s="1360"/>
      <c r="FO754" s="1358" t="str">
        <f t="shared" si="35"/>
        <v/>
      </c>
      <c r="FP754" s="1359"/>
      <c r="FQ754" s="1359"/>
      <c r="FR754" s="1359"/>
      <c r="FS754" s="1360"/>
      <c r="FT754" s="1358" t="str">
        <f t="shared" si="36"/>
        <v/>
      </c>
      <c r="FU754" s="1359"/>
      <c r="FV754" s="1359"/>
      <c r="FW754" s="1359"/>
      <c r="FX754" s="1360"/>
      <c r="FY754" s="1358" t="str">
        <f t="shared" si="37"/>
        <v/>
      </c>
      <c r="FZ754" s="1359"/>
      <c r="GA754" s="1359"/>
      <c r="GB754" s="1359"/>
      <c r="GC754" s="1360"/>
    </row>
    <row r="755" spans="1:185" ht="13" customHeight="1">
      <c r="B755" s="1362"/>
      <c r="C755" s="1363"/>
      <c r="D755" s="1363"/>
      <c r="E755" s="1363"/>
      <c r="F755" s="1364"/>
      <c r="G755" s="1371"/>
      <c r="H755" s="1372"/>
      <c r="I755" s="1372"/>
      <c r="J755" s="1373"/>
      <c r="K755" s="1599"/>
      <c r="L755" s="1600"/>
      <c r="M755" s="1600"/>
      <c r="N755" s="1601"/>
      <c r="O755" s="1378"/>
      <c r="P755" s="1379"/>
      <c r="Q755" s="1379"/>
      <c r="R755" s="1379"/>
      <c r="S755" s="1380"/>
      <c r="T755" s="1378"/>
      <c r="U755" s="1379"/>
      <c r="V755" s="1379"/>
      <c r="W755" s="1380"/>
      <c r="X755" s="1365">
        <f t="shared" si="41"/>
        <v>0</v>
      </c>
      <c r="Y755" s="1366"/>
      <c r="Z755" s="1366"/>
      <c r="AA755" s="1366"/>
      <c r="AB755" s="1367"/>
      <c r="AC755" s="1375"/>
      <c r="AD755" s="1376"/>
      <c r="AE755" s="1376"/>
      <c r="AF755" s="1376"/>
      <c r="AG755" s="1377"/>
      <c r="AH755" s="1368" t="str">
        <f t="shared" si="38"/>
        <v/>
      </c>
      <c r="AI755" s="1369"/>
      <c r="AJ755" s="1370"/>
      <c r="AK755" s="1362" t="s">
        <v>590</v>
      </c>
      <c r="AL755" s="1363"/>
      <c r="AM755" s="1363"/>
      <c r="AN755" s="1363"/>
      <c r="AO755" s="1364"/>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358">
        <f t="shared" si="39"/>
        <v>0</v>
      </c>
      <c r="CH755" s="1360"/>
      <c r="CI755" s="1342">
        <f t="shared" si="40"/>
        <v>0</v>
      </c>
      <c r="CJ755" s="1344"/>
      <c r="CK755" s="1358">
        <f t="shared" si="18"/>
        <v>0</v>
      </c>
      <c r="CL755" s="1360"/>
      <c r="CM755" s="1342">
        <f t="shared" si="19"/>
        <v>0</v>
      </c>
      <c r="CN755" s="1344"/>
      <c r="CO755" s="3"/>
      <c r="CP755" s="1339">
        <f t="shared" si="20"/>
        <v>0</v>
      </c>
      <c r="CQ755" s="1340"/>
      <c r="CR755" s="1340"/>
      <c r="CS755" s="1340"/>
      <c r="CT755" s="1341"/>
      <c r="CU755" s="1361">
        <f t="shared" si="21"/>
        <v>0</v>
      </c>
      <c r="CV755" s="1361"/>
      <c r="CW755" s="1361"/>
      <c r="CX755" s="1361"/>
      <c r="CY755" s="1361"/>
      <c r="CZ755" s="1361">
        <f t="shared" si="22"/>
        <v>0</v>
      </c>
      <c r="DA755" s="1361"/>
      <c r="DB755" s="1361"/>
      <c r="DC755" s="1361"/>
      <c r="DD755" s="1361"/>
      <c r="DE755" s="1361">
        <f t="shared" si="23"/>
        <v>0</v>
      </c>
      <c r="DF755" s="1361"/>
      <c r="DG755" s="1361"/>
      <c r="DH755" s="1361"/>
      <c r="DI755" s="1361"/>
      <c r="DJ755" s="1361">
        <f t="shared" si="24"/>
        <v>0</v>
      </c>
      <c r="DK755" s="1361"/>
      <c r="DL755" s="1361"/>
      <c r="DM755" s="1361"/>
      <c r="DN755" s="1361"/>
      <c r="DO755" s="1361">
        <f t="shared" si="25"/>
        <v>0</v>
      </c>
      <c r="DP755" s="1361"/>
      <c r="DQ755" s="1361"/>
      <c r="DR755" s="1361"/>
      <c r="DS755" s="1361"/>
      <c r="DT755" s="6"/>
      <c r="DU755" s="1381">
        <f t="shared" si="26"/>
        <v>0</v>
      </c>
      <c r="DV755" s="1381"/>
      <c r="DW755" s="1381"/>
      <c r="DX755" s="1381"/>
      <c r="DY755" s="1381"/>
      <c r="DZ755" s="1381">
        <f t="shared" si="27"/>
        <v>0</v>
      </c>
      <c r="EA755" s="1381"/>
      <c r="EB755" s="1381"/>
      <c r="EC755" s="1381"/>
      <c r="ED755" s="1381"/>
      <c r="EE755" s="1381">
        <f t="shared" si="28"/>
        <v>0</v>
      </c>
      <c r="EF755" s="1381"/>
      <c r="EG755" s="1381"/>
      <c r="EH755" s="1381"/>
      <c r="EI755" s="1381"/>
      <c r="EJ755" s="1381">
        <f t="shared" si="29"/>
        <v>0</v>
      </c>
      <c r="EK755" s="1381"/>
      <c r="EL755" s="1381"/>
      <c r="EM755" s="1381"/>
      <c r="EN755" s="1381"/>
      <c r="EO755" s="1381">
        <f t="shared" si="30"/>
        <v>0</v>
      </c>
      <c r="EP755" s="1381"/>
      <c r="EQ755" s="1381"/>
      <c r="ER755" s="1381"/>
      <c r="ES755" s="1381"/>
      <c r="ET755" s="1381">
        <f t="shared" si="31"/>
        <v>0</v>
      </c>
      <c r="EU755" s="1381"/>
      <c r="EV755" s="1381"/>
      <c r="EW755" s="1381"/>
      <c r="EX755" s="1381"/>
      <c r="EZ755" s="1358" t="str">
        <f t="shared" si="32"/>
        <v/>
      </c>
      <c r="FA755" s="1359"/>
      <c r="FB755" s="1359"/>
      <c r="FC755" s="1359"/>
      <c r="FD755" s="1360"/>
      <c r="FE755" s="1358" t="str">
        <f t="shared" si="33"/>
        <v/>
      </c>
      <c r="FF755" s="1359"/>
      <c r="FG755" s="1359"/>
      <c r="FH755" s="1359"/>
      <c r="FI755" s="1360"/>
      <c r="FJ755" s="1358" t="str">
        <f t="shared" si="34"/>
        <v/>
      </c>
      <c r="FK755" s="1359"/>
      <c r="FL755" s="1359"/>
      <c r="FM755" s="1359"/>
      <c r="FN755" s="1360"/>
      <c r="FO755" s="1358" t="str">
        <f t="shared" si="35"/>
        <v/>
      </c>
      <c r="FP755" s="1359"/>
      <c r="FQ755" s="1359"/>
      <c r="FR755" s="1359"/>
      <c r="FS755" s="1360"/>
      <c r="FT755" s="1358" t="str">
        <f t="shared" si="36"/>
        <v/>
      </c>
      <c r="FU755" s="1359"/>
      <c r="FV755" s="1359"/>
      <c r="FW755" s="1359"/>
      <c r="FX755" s="1360"/>
      <c r="FY755" s="1358" t="str">
        <f t="shared" si="37"/>
        <v/>
      </c>
      <c r="FZ755" s="1359"/>
      <c r="GA755" s="1359"/>
      <c r="GB755" s="1359"/>
      <c r="GC755" s="1360"/>
    </row>
    <row r="756" spans="1:185" s="3" customFormat="1" ht="13" customHeight="1">
      <c r="A756"/>
      <c r="B756" s="1362"/>
      <c r="C756" s="1363"/>
      <c r="D756" s="1363"/>
      <c r="E756" s="1363"/>
      <c r="F756" s="1364"/>
      <c r="G756" s="1371"/>
      <c r="H756" s="1372"/>
      <c r="I756" s="1372"/>
      <c r="J756" s="1373"/>
      <c r="K756" s="1599"/>
      <c r="L756" s="1600"/>
      <c r="M756" s="1600"/>
      <c r="N756" s="1601"/>
      <c r="O756" s="1378"/>
      <c r="P756" s="1379"/>
      <c r="Q756" s="1379"/>
      <c r="R756" s="1379"/>
      <c r="S756" s="1380"/>
      <c r="T756" s="1378"/>
      <c r="U756" s="1379"/>
      <c r="V756" s="1379"/>
      <c r="W756" s="1380"/>
      <c r="X756" s="1365">
        <f t="shared" si="41"/>
        <v>0</v>
      </c>
      <c r="Y756" s="1366"/>
      <c r="Z756" s="1366"/>
      <c r="AA756" s="1366"/>
      <c r="AB756" s="1367"/>
      <c r="AC756" s="1375"/>
      <c r="AD756" s="1376"/>
      <c r="AE756" s="1376"/>
      <c r="AF756" s="1376"/>
      <c r="AG756" s="1377"/>
      <c r="AH756" s="1368" t="str">
        <f t="shared" si="38"/>
        <v/>
      </c>
      <c r="AI756" s="1369"/>
      <c r="AJ756" s="1370"/>
      <c r="AK756" s="1362" t="s">
        <v>590</v>
      </c>
      <c r="AL756" s="1363"/>
      <c r="AM756" s="1363"/>
      <c r="AN756" s="1363"/>
      <c r="AO756" s="1364"/>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358">
        <f t="shared" si="39"/>
        <v>0</v>
      </c>
      <c r="CH756" s="1360"/>
      <c r="CI756" s="1342">
        <f t="shared" si="40"/>
        <v>0</v>
      </c>
      <c r="CJ756" s="1344"/>
      <c r="CK756" s="1358">
        <f t="shared" si="18"/>
        <v>0</v>
      </c>
      <c r="CL756" s="1360"/>
      <c r="CM756" s="1342">
        <f t="shared" si="19"/>
        <v>0</v>
      </c>
      <c r="CN756" s="1344"/>
      <c r="CP756" s="1339">
        <f t="shared" si="20"/>
        <v>0</v>
      </c>
      <c r="CQ756" s="1340"/>
      <c r="CR756" s="1340"/>
      <c r="CS756" s="1340"/>
      <c r="CT756" s="1341"/>
      <c r="CU756" s="1361">
        <f t="shared" si="21"/>
        <v>0</v>
      </c>
      <c r="CV756" s="1361"/>
      <c r="CW756" s="1361"/>
      <c r="CX756" s="1361"/>
      <c r="CY756" s="1361"/>
      <c r="CZ756" s="1361">
        <f t="shared" si="22"/>
        <v>0</v>
      </c>
      <c r="DA756" s="1361"/>
      <c r="DB756" s="1361"/>
      <c r="DC756" s="1361"/>
      <c r="DD756" s="1361"/>
      <c r="DE756" s="1361">
        <f t="shared" si="23"/>
        <v>0</v>
      </c>
      <c r="DF756" s="1361"/>
      <c r="DG756" s="1361"/>
      <c r="DH756" s="1361"/>
      <c r="DI756" s="1361"/>
      <c r="DJ756" s="1361">
        <f t="shared" si="24"/>
        <v>0</v>
      </c>
      <c r="DK756" s="1361"/>
      <c r="DL756" s="1361"/>
      <c r="DM756" s="1361"/>
      <c r="DN756" s="1361"/>
      <c r="DO756" s="1361">
        <f t="shared" si="25"/>
        <v>0</v>
      </c>
      <c r="DP756" s="1361"/>
      <c r="DQ756" s="1361"/>
      <c r="DR756" s="1361"/>
      <c r="DS756" s="1361"/>
      <c r="DT756" s="6"/>
      <c r="DU756" s="1381">
        <f t="shared" si="26"/>
        <v>0</v>
      </c>
      <c r="DV756" s="1381"/>
      <c r="DW756" s="1381"/>
      <c r="DX756" s="1381"/>
      <c r="DY756" s="1381"/>
      <c r="DZ756" s="1381">
        <f t="shared" si="27"/>
        <v>0</v>
      </c>
      <c r="EA756" s="1381"/>
      <c r="EB756" s="1381"/>
      <c r="EC756" s="1381"/>
      <c r="ED756" s="1381"/>
      <c r="EE756" s="1381">
        <f t="shared" si="28"/>
        <v>0</v>
      </c>
      <c r="EF756" s="1381"/>
      <c r="EG756" s="1381"/>
      <c r="EH756" s="1381"/>
      <c r="EI756" s="1381"/>
      <c r="EJ756" s="1381">
        <f t="shared" si="29"/>
        <v>0</v>
      </c>
      <c r="EK756" s="1381"/>
      <c r="EL756" s="1381"/>
      <c r="EM756" s="1381"/>
      <c r="EN756" s="1381"/>
      <c r="EO756" s="1381">
        <f t="shared" si="30"/>
        <v>0</v>
      </c>
      <c r="EP756" s="1381"/>
      <c r="EQ756" s="1381"/>
      <c r="ER756" s="1381"/>
      <c r="ES756" s="1381"/>
      <c r="ET756" s="1381">
        <f t="shared" si="31"/>
        <v>0</v>
      </c>
      <c r="EU756" s="1381"/>
      <c r="EV756" s="1381"/>
      <c r="EW756" s="1381"/>
      <c r="EX756" s="1381"/>
      <c r="EY756"/>
      <c r="EZ756" s="1358" t="str">
        <f t="shared" si="32"/>
        <v/>
      </c>
      <c r="FA756" s="1359"/>
      <c r="FB756" s="1359"/>
      <c r="FC756" s="1359"/>
      <c r="FD756" s="1360"/>
      <c r="FE756" s="1358" t="str">
        <f t="shared" si="33"/>
        <v/>
      </c>
      <c r="FF756" s="1359"/>
      <c r="FG756" s="1359"/>
      <c r="FH756" s="1359"/>
      <c r="FI756" s="1360"/>
      <c r="FJ756" s="1358" t="str">
        <f t="shared" si="34"/>
        <v/>
      </c>
      <c r="FK756" s="1359"/>
      <c r="FL756" s="1359"/>
      <c r="FM756" s="1359"/>
      <c r="FN756" s="1360"/>
      <c r="FO756" s="1358" t="str">
        <f t="shared" si="35"/>
        <v/>
      </c>
      <c r="FP756" s="1359"/>
      <c r="FQ756" s="1359"/>
      <c r="FR756" s="1359"/>
      <c r="FS756" s="1360"/>
      <c r="FT756" s="1358" t="str">
        <f t="shared" si="36"/>
        <v/>
      </c>
      <c r="FU756" s="1359"/>
      <c r="FV756" s="1359"/>
      <c r="FW756" s="1359"/>
      <c r="FX756" s="1360"/>
      <c r="FY756" s="1358" t="str">
        <f t="shared" si="37"/>
        <v/>
      </c>
      <c r="FZ756" s="1359"/>
      <c r="GA756" s="1359"/>
      <c r="GB756" s="1359"/>
      <c r="GC756" s="1360"/>
    </row>
    <row r="757" spans="1:185" s="3" customFormat="1" ht="13" customHeight="1">
      <c r="A757"/>
      <c r="B757" s="1362"/>
      <c r="C757" s="1363"/>
      <c r="D757" s="1363"/>
      <c r="E757" s="1363"/>
      <c r="F757" s="1364"/>
      <c r="G757" s="1371"/>
      <c r="H757" s="1372"/>
      <c r="I757" s="1372"/>
      <c r="J757" s="1373"/>
      <c r="K757" s="1599"/>
      <c r="L757" s="1600"/>
      <c r="M757" s="1600"/>
      <c r="N757" s="1601"/>
      <c r="O757" s="1378"/>
      <c r="P757" s="1379"/>
      <c r="Q757" s="1379"/>
      <c r="R757" s="1379"/>
      <c r="S757" s="1380"/>
      <c r="T757" s="1378"/>
      <c r="U757" s="1379"/>
      <c r="V757" s="1379"/>
      <c r="W757" s="1380"/>
      <c r="X757" s="1365">
        <f t="shared" si="41"/>
        <v>0</v>
      </c>
      <c r="Y757" s="1366"/>
      <c r="Z757" s="1366"/>
      <c r="AA757" s="1366"/>
      <c r="AB757" s="1367"/>
      <c r="AC757" s="1375"/>
      <c r="AD757" s="1376"/>
      <c r="AE757" s="1376"/>
      <c r="AF757" s="1376"/>
      <c r="AG757" s="1377"/>
      <c r="AH757" s="1368" t="str">
        <f t="shared" si="38"/>
        <v/>
      </c>
      <c r="AI757" s="1369"/>
      <c r="AJ757" s="1370"/>
      <c r="AK757" s="1362" t="s">
        <v>590</v>
      </c>
      <c r="AL757" s="1363"/>
      <c r="AM757" s="1363"/>
      <c r="AN757" s="1363"/>
      <c r="AO757" s="1364"/>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358">
        <f t="shared" si="39"/>
        <v>0</v>
      </c>
      <c r="CH757" s="1360"/>
      <c r="CI757" s="1342">
        <f t="shared" si="40"/>
        <v>0</v>
      </c>
      <c r="CJ757" s="1344"/>
      <c r="CK757" s="1358">
        <f t="shared" si="18"/>
        <v>0</v>
      </c>
      <c r="CL757" s="1360"/>
      <c r="CM757" s="1342">
        <f t="shared" si="19"/>
        <v>0</v>
      </c>
      <c r="CN757" s="1344"/>
      <c r="CP757" s="1339">
        <f t="shared" si="20"/>
        <v>0</v>
      </c>
      <c r="CQ757" s="1340"/>
      <c r="CR757" s="1340"/>
      <c r="CS757" s="1340"/>
      <c r="CT757" s="1341"/>
      <c r="CU757" s="1361">
        <f t="shared" si="21"/>
        <v>0</v>
      </c>
      <c r="CV757" s="1361"/>
      <c r="CW757" s="1361"/>
      <c r="CX757" s="1361"/>
      <c r="CY757" s="1361"/>
      <c r="CZ757" s="1361">
        <f t="shared" si="22"/>
        <v>0</v>
      </c>
      <c r="DA757" s="1361"/>
      <c r="DB757" s="1361"/>
      <c r="DC757" s="1361"/>
      <c r="DD757" s="1361"/>
      <c r="DE757" s="1361">
        <f t="shared" si="23"/>
        <v>0</v>
      </c>
      <c r="DF757" s="1361"/>
      <c r="DG757" s="1361"/>
      <c r="DH757" s="1361"/>
      <c r="DI757" s="1361"/>
      <c r="DJ757" s="1361">
        <f t="shared" si="24"/>
        <v>0</v>
      </c>
      <c r="DK757" s="1361"/>
      <c r="DL757" s="1361"/>
      <c r="DM757" s="1361"/>
      <c r="DN757" s="1361"/>
      <c r="DO757" s="1361">
        <f t="shared" si="25"/>
        <v>0</v>
      </c>
      <c r="DP757" s="1361"/>
      <c r="DQ757" s="1361"/>
      <c r="DR757" s="1361"/>
      <c r="DS757" s="1361"/>
      <c r="DT757" s="6"/>
      <c r="DU757" s="1381">
        <f t="shared" si="26"/>
        <v>0</v>
      </c>
      <c r="DV757" s="1381"/>
      <c r="DW757" s="1381"/>
      <c r="DX757" s="1381"/>
      <c r="DY757" s="1381"/>
      <c r="DZ757" s="1381">
        <f t="shared" si="27"/>
        <v>0</v>
      </c>
      <c r="EA757" s="1381"/>
      <c r="EB757" s="1381"/>
      <c r="EC757" s="1381"/>
      <c r="ED757" s="1381"/>
      <c r="EE757" s="1381">
        <f t="shared" si="28"/>
        <v>0</v>
      </c>
      <c r="EF757" s="1381"/>
      <c r="EG757" s="1381"/>
      <c r="EH757" s="1381"/>
      <c r="EI757" s="1381"/>
      <c r="EJ757" s="1381">
        <f t="shared" si="29"/>
        <v>0</v>
      </c>
      <c r="EK757" s="1381"/>
      <c r="EL757" s="1381"/>
      <c r="EM757" s="1381"/>
      <c r="EN757" s="1381"/>
      <c r="EO757" s="1381">
        <f t="shared" si="30"/>
        <v>0</v>
      </c>
      <c r="EP757" s="1381"/>
      <c r="EQ757" s="1381"/>
      <c r="ER757" s="1381"/>
      <c r="ES757" s="1381"/>
      <c r="ET757" s="1381">
        <f t="shared" si="31"/>
        <v>0</v>
      </c>
      <c r="EU757" s="1381"/>
      <c r="EV757" s="1381"/>
      <c r="EW757" s="1381"/>
      <c r="EX757" s="1381"/>
      <c r="EY757"/>
      <c r="EZ757" s="1358" t="str">
        <f t="shared" si="32"/>
        <v/>
      </c>
      <c r="FA757" s="1359"/>
      <c r="FB757" s="1359"/>
      <c r="FC757" s="1359"/>
      <c r="FD757" s="1360"/>
      <c r="FE757" s="1358" t="str">
        <f t="shared" si="33"/>
        <v/>
      </c>
      <c r="FF757" s="1359"/>
      <c r="FG757" s="1359"/>
      <c r="FH757" s="1359"/>
      <c r="FI757" s="1360"/>
      <c r="FJ757" s="1358" t="str">
        <f t="shared" si="34"/>
        <v/>
      </c>
      <c r="FK757" s="1359"/>
      <c r="FL757" s="1359"/>
      <c r="FM757" s="1359"/>
      <c r="FN757" s="1360"/>
      <c r="FO757" s="1358" t="str">
        <f t="shared" si="35"/>
        <v/>
      </c>
      <c r="FP757" s="1359"/>
      <c r="FQ757" s="1359"/>
      <c r="FR757" s="1359"/>
      <c r="FS757" s="1360"/>
      <c r="FT757" s="1358" t="str">
        <f t="shared" si="36"/>
        <v/>
      </c>
      <c r="FU757" s="1359"/>
      <c r="FV757" s="1359"/>
      <c r="FW757" s="1359"/>
      <c r="FX757" s="1360"/>
      <c r="FY757" s="1358" t="str">
        <f t="shared" si="37"/>
        <v/>
      </c>
      <c r="FZ757" s="1359"/>
      <c r="GA757" s="1359"/>
      <c r="GB757" s="1359"/>
      <c r="GC757" s="1360"/>
    </row>
    <row r="758" spans="1:185" s="3" customFormat="1" ht="13" customHeight="1">
      <c r="A758"/>
      <c r="B758" s="1362"/>
      <c r="C758" s="1363"/>
      <c r="D758" s="1363"/>
      <c r="E758" s="1363"/>
      <c r="F758" s="1364"/>
      <c r="G758" s="1371"/>
      <c r="H758" s="1372"/>
      <c r="I758" s="1372"/>
      <c r="J758" s="1373"/>
      <c r="K758" s="1599"/>
      <c r="L758" s="1600"/>
      <c r="M758" s="1600"/>
      <c r="N758" s="1601"/>
      <c r="O758" s="1378"/>
      <c r="P758" s="1379"/>
      <c r="Q758" s="1379"/>
      <c r="R758" s="1379"/>
      <c r="S758" s="1380"/>
      <c r="T758" s="1378"/>
      <c r="U758" s="1379"/>
      <c r="V758" s="1379"/>
      <c r="W758" s="1380"/>
      <c r="X758" s="1365">
        <f t="shared" si="41"/>
        <v>0</v>
      </c>
      <c r="Y758" s="1366"/>
      <c r="Z758" s="1366"/>
      <c r="AA758" s="1366"/>
      <c r="AB758" s="1367"/>
      <c r="AC758" s="1375"/>
      <c r="AD758" s="1376"/>
      <c r="AE758" s="1376"/>
      <c r="AF758" s="1376"/>
      <c r="AG758" s="1377"/>
      <c r="AH758" s="1368" t="str">
        <f t="shared" si="38"/>
        <v/>
      </c>
      <c r="AI758" s="1369"/>
      <c r="AJ758" s="1370"/>
      <c r="AK758" s="1362" t="s">
        <v>590</v>
      </c>
      <c r="AL758" s="1363"/>
      <c r="AM758" s="1363"/>
      <c r="AN758" s="1363"/>
      <c r="AO758" s="1364"/>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358">
        <f t="shared" si="39"/>
        <v>0</v>
      </c>
      <c r="CH758" s="1360"/>
      <c r="CI758" s="1342">
        <f t="shared" si="40"/>
        <v>0</v>
      </c>
      <c r="CJ758" s="1344"/>
      <c r="CK758" s="1358">
        <f t="shared" si="18"/>
        <v>0</v>
      </c>
      <c r="CL758" s="1360"/>
      <c r="CM758" s="1342">
        <f t="shared" si="19"/>
        <v>0</v>
      </c>
      <c r="CN758" s="1344"/>
      <c r="CP758" s="1339">
        <f t="shared" si="20"/>
        <v>0</v>
      </c>
      <c r="CQ758" s="1340"/>
      <c r="CR758" s="1340"/>
      <c r="CS758" s="1340"/>
      <c r="CT758" s="1341"/>
      <c r="CU758" s="1361">
        <f t="shared" si="21"/>
        <v>0</v>
      </c>
      <c r="CV758" s="1361"/>
      <c r="CW758" s="1361"/>
      <c r="CX758" s="1361"/>
      <c r="CY758" s="1361"/>
      <c r="CZ758" s="1361">
        <f t="shared" si="22"/>
        <v>0</v>
      </c>
      <c r="DA758" s="1361"/>
      <c r="DB758" s="1361"/>
      <c r="DC758" s="1361"/>
      <c r="DD758" s="1361"/>
      <c r="DE758" s="1361">
        <f t="shared" si="23"/>
        <v>0</v>
      </c>
      <c r="DF758" s="1361"/>
      <c r="DG758" s="1361"/>
      <c r="DH758" s="1361"/>
      <c r="DI758" s="1361"/>
      <c r="DJ758" s="1361">
        <f t="shared" si="24"/>
        <v>0</v>
      </c>
      <c r="DK758" s="1361"/>
      <c r="DL758" s="1361"/>
      <c r="DM758" s="1361"/>
      <c r="DN758" s="1361"/>
      <c r="DO758" s="1361">
        <f t="shared" si="25"/>
        <v>0</v>
      </c>
      <c r="DP758" s="1361"/>
      <c r="DQ758" s="1361"/>
      <c r="DR758" s="1361"/>
      <c r="DS758" s="1361"/>
      <c r="DT758" s="6"/>
      <c r="DU758" s="1381">
        <f t="shared" si="26"/>
        <v>0</v>
      </c>
      <c r="DV758" s="1381"/>
      <c r="DW758" s="1381"/>
      <c r="DX758" s="1381"/>
      <c r="DY758" s="1381"/>
      <c r="DZ758" s="1381">
        <f t="shared" si="27"/>
        <v>0</v>
      </c>
      <c r="EA758" s="1381"/>
      <c r="EB758" s="1381"/>
      <c r="EC758" s="1381"/>
      <c r="ED758" s="1381"/>
      <c r="EE758" s="1381">
        <f t="shared" si="28"/>
        <v>0</v>
      </c>
      <c r="EF758" s="1381"/>
      <c r="EG758" s="1381"/>
      <c r="EH758" s="1381"/>
      <c r="EI758" s="1381"/>
      <c r="EJ758" s="1381">
        <f t="shared" si="29"/>
        <v>0</v>
      </c>
      <c r="EK758" s="1381"/>
      <c r="EL758" s="1381"/>
      <c r="EM758" s="1381"/>
      <c r="EN758" s="1381"/>
      <c r="EO758" s="1381">
        <f t="shared" si="30"/>
        <v>0</v>
      </c>
      <c r="EP758" s="1381"/>
      <c r="EQ758" s="1381"/>
      <c r="ER758" s="1381"/>
      <c r="ES758" s="1381"/>
      <c r="ET758" s="1381">
        <f t="shared" si="31"/>
        <v>0</v>
      </c>
      <c r="EU758" s="1381"/>
      <c r="EV758" s="1381"/>
      <c r="EW758" s="1381"/>
      <c r="EX758" s="1381"/>
      <c r="EY758"/>
      <c r="EZ758" s="1358" t="str">
        <f t="shared" si="32"/>
        <v/>
      </c>
      <c r="FA758" s="1359"/>
      <c r="FB758" s="1359"/>
      <c r="FC758" s="1359"/>
      <c r="FD758" s="1360"/>
      <c r="FE758" s="1358" t="str">
        <f t="shared" si="33"/>
        <v/>
      </c>
      <c r="FF758" s="1359"/>
      <c r="FG758" s="1359"/>
      <c r="FH758" s="1359"/>
      <c r="FI758" s="1360"/>
      <c r="FJ758" s="1358" t="str">
        <f t="shared" si="34"/>
        <v/>
      </c>
      <c r="FK758" s="1359"/>
      <c r="FL758" s="1359"/>
      <c r="FM758" s="1359"/>
      <c r="FN758" s="1360"/>
      <c r="FO758" s="1358" t="str">
        <f t="shared" si="35"/>
        <v/>
      </c>
      <c r="FP758" s="1359"/>
      <c r="FQ758" s="1359"/>
      <c r="FR758" s="1359"/>
      <c r="FS758" s="1360"/>
      <c r="FT758" s="1358" t="str">
        <f t="shared" si="36"/>
        <v/>
      </c>
      <c r="FU758" s="1359"/>
      <c r="FV758" s="1359"/>
      <c r="FW758" s="1359"/>
      <c r="FX758" s="1360"/>
      <c r="FY758" s="1358" t="str">
        <f t="shared" si="37"/>
        <v/>
      </c>
      <c r="FZ758" s="1359"/>
      <c r="GA758" s="1359"/>
      <c r="GB758" s="1359"/>
      <c r="GC758" s="1360"/>
    </row>
    <row r="759" spans="1:185" s="3" customFormat="1" ht="13" customHeight="1">
      <c r="A759"/>
      <c r="B759" s="1362"/>
      <c r="C759" s="1363"/>
      <c r="D759" s="1363"/>
      <c r="E759" s="1363"/>
      <c r="F759" s="1364"/>
      <c r="G759" s="1371"/>
      <c r="H759" s="1372"/>
      <c r="I759" s="1372"/>
      <c r="J759" s="1373"/>
      <c r="K759" s="1599"/>
      <c r="L759" s="1600"/>
      <c r="M759" s="1600"/>
      <c r="N759" s="1601"/>
      <c r="O759" s="1378"/>
      <c r="P759" s="1379"/>
      <c r="Q759" s="1379"/>
      <c r="R759" s="1379"/>
      <c r="S759" s="1380"/>
      <c r="T759" s="1378"/>
      <c r="U759" s="1379"/>
      <c r="V759" s="1379"/>
      <c r="W759" s="1380"/>
      <c r="X759" s="1365">
        <f t="shared" si="41"/>
        <v>0</v>
      </c>
      <c r="Y759" s="1366"/>
      <c r="Z759" s="1366"/>
      <c r="AA759" s="1366"/>
      <c r="AB759" s="1367"/>
      <c r="AC759" s="1375"/>
      <c r="AD759" s="1376"/>
      <c r="AE759" s="1376"/>
      <c r="AF759" s="1376"/>
      <c r="AG759" s="1377"/>
      <c r="AH759" s="1368" t="str">
        <f t="shared" si="38"/>
        <v/>
      </c>
      <c r="AI759" s="1369"/>
      <c r="AJ759" s="1370"/>
      <c r="AK759" s="1362" t="s">
        <v>590</v>
      </c>
      <c r="AL759" s="1363"/>
      <c r="AM759" s="1363"/>
      <c r="AN759" s="1363"/>
      <c r="AO759" s="1364"/>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358">
        <f t="shared" si="39"/>
        <v>0</v>
      </c>
      <c r="CH759" s="1360"/>
      <c r="CI759" s="1342">
        <f t="shared" si="40"/>
        <v>0</v>
      </c>
      <c r="CJ759" s="1344"/>
      <c r="CK759" s="1358">
        <f t="shared" si="18"/>
        <v>0</v>
      </c>
      <c r="CL759" s="1360"/>
      <c r="CM759" s="1342">
        <f t="shared" si="19"/>
        <v>0</v>
      </c>
      <c r="CN759" s="1344"/>
      <c r="CP759" s="1339">
        <f t="shared" si="20"/>
        <v>0</v>
      </c>
      <c r="CQ759" s="1340"/>
      <c r="CR759" s="1340"/>
      <c r="CS759" s="1340"/>
      <c r="CT759" s="1341"/>
      <c r="CU759" s="1361">
        <f t="shared" si="21"/>
        <v>0</v>
      </c>
      <c r="CV759" s="1361"/>
      <c r="CW759" s="1361"/>
      <c r="CX759" s="1361"/>
      <c r="CY759" s="1361"/>
      <c r="CZ759" s="1361">
        <f t="shared" si="22"/>
        <v>0</v>
      </c>
      <c r="DA759" s="1361"/>
      <c r="DB759" s="1361"/>
      <c r="DC759" s="1361"/>
      <c r="DD759" s="1361"/>
      <c r="DE759" s="1361">
        <f t="shared" si="23"/>
        <v>0</v>
      </c>
      <c r="DF759" s="1361"/>
      <c r="DG759" s="1361"/>
      <c r="DH759" s="1361"/>
      <c r="DI759" s="1361"/>
      <c r="DJ759" s="1361">
        <f t="shared" si="24"/>
        <v>0</v>
      </c>
      <c r="DK759" s="1361"/>
      <c r="DL759" s="1361"/>
      <c r="DM759" s="1361"/>
      <c r="DN759" s="1361"/>
      <c r="DO759" s="1361">
        <f t="shared" si="25"/>
        <v>0</v>
      </c>
      <c r="DP759" s="1361"/>
      <c r="DQ759" s="1361"/>
      <c r="DR759" s="1361"/>
      <c r="DS759" s="1361"/>
      <c r="DT759" s="6"/>
      <c r="DU759" s="1381">
        <f t="shared" si="26"/>
        <v>0</v>
      </c>
      <c r="DV759" s="1381"/>
      <c r="DW759" s="1381"/>
      <c r="DX759" s="1381"/>
      <c r="DY759" s="1381"/>
      <c r="DZ759" s="1381">
        <f t="shared" si="27"/>
        <v>0</v>
      </c>
      <c r="EA759" s="1381"/>
      <c r="EB759" s="1381"/>
      <c r="EC759" s="1381"/>
      <c r="ED759" s="1381"/>
      <c r="EE759" s="1381">
        <f t="shared" si="28"/>
        <v>0</v>
      </c>
      <c r="EF759" s="1381"/>
      <c r="EG759" s="1381"/>
      <c r="EH759" s="1381"/>
      <c r="EI759" s="1381"/>
      <c r="EJ759" s="1381">
        <f t="shared" si="29"/>
        <v>0</v>
      </c>
      <c r="EK759" s="1381"/>
      <c r="EL759" s="1381"/>
      <c r="EM759" s="1381"/>
      <c r="EN759" s="1381"/>
      <c r="EO759" s="1381">
        <f t="shared" si="30"/>
        <v>0</v>
      </c>
      <c r="EP759" s="1381"/>
      <c r="EQ759" s="1381"/>
      <c r="ER759" s="1381"/>
      <c r="ES759" s="1381"/>
      <c r="ET759" s="1381">
        <f t="shared" si="31"/>
        <v>0</v>
      </c>
      <c r="EU759" s="1381"/>
      <c r="EV759" s="1381"/>
      <c r="EW759" s="1381"/>
      <c r="EX759" s="1381"/>
      <c r="EY759"/>
      <c r="EZ759" s="1358" t="str">
        <f t="shared" si="32"/>
        <v/>
      </c>
      <c r="FA759" s="1359"/>
      <c r="FB759" s="1359"/>
      <c r="FC759" s="1359"/>
      <c r="FD759" s="1360"/>
      <c r="FE759" s="1358" t="str">
        <f t="shared" si="33"/>
        <v/>
      </c>
      <c r="FF759" s="1359"/>
      <c r="FG759" s="1359"/>
      <c r="FH759" s="1359"/>
      <c r="FI759" s="1360"/>
      <c r="FJ759" s="1358" t="str">
        <f t="shared" si="34"/>
        <v/>
      </c>
      <c r="FK759" s="1359"/>
      <c r="FL759" s="1359"/>
      <c r="FM759" s="1359"/>
      <c r="FN759" s="1360"/>
      <c r="FO759" s="1358" t="str">
        <f t="shared" si="35"/>
        <v/>
      </c>
      <c r="FP759" s="1359"/>
      <c r="FQ759" s="1359"/>
      <c r="FR759" s="1359"/>
      <c r="FS759" s="1360"/>
      <c r="FT759" s="1358" t="str">
        <f t="shared" si="36"/>
        <v/>
      </c>
      <c r="FU759" s="1359"/>
      <c r="FV759" s="1359"/>
      <c r="FW759" s="1359"/>
      <c r="FX759" s="1360"/>
      <c r="FY759" s="1358" t="str">
        <f t="shared" si="37"/>
        <v/>
      </c>
      <c r="FZ759" s="1359"/>
      <c r="GA759" s="1359"/>
      <c r="GB759" s="1359"/>
      <c r="GC759" s="1360"/>
    </row>
    <row r="760" spans="1:185" s="3" customFormat="1" ht="13" customHeight="1">
      <c r="A760"/>
      <c r="B760" s="1362"/>
      <c r="C760" s="1363"/>
      <c r="D760" s="1363"/>
      <c r="E760" s="1363"/>
      <c r="F760" s="1364"/>
      <c r="G760" s="1371"/>
      <c r="H760" s="1372"/>
      <c r="I760" s="1372"/>
      <c r="J760" s="1373"/>
      <c r="K760" s="1599"/>
      <c r="L760" s="1600"/>
      <c r="M760" s="1600"/>
      <c r="N760" s="1601"/>
      <c r="O760" s="1378"/>
      <c r="P760" s="1379"/>
      <c r="Q760" s="1379"/>
      <c r="R760" s="1379"/>
      <c r="S760" s="1380"/>
      <c r="T760" s="1378"/>
      <c r="U760" s="1379"/>
      <c r="V760" s="1379"/>
      <c r="W760" s="1380"/>
      <c r="X760" s="1365">
        <f>O760+T760</f>
        <v>0</v>
      </c>
      <c r="Y760" s="1366"/>
      <c r="Z760" s="1366"/>
      <c r="AA760" s="1366"/>
      <c r="AB760" s="1367"/>
      <c r="AC760" s="1375"/>
      <c r="AD760" s="1376"/>
      <c r="AE760" s="1376"/>
      <c r="AF760" s="1376"/>
      <c r="AG760" s="1377"/>
      <c r="AH760" s="1368" t="str">
        <f t="shared" si="38"/>
        <v/>
      </c>
      <c r="AI760" s="1369"/>
      <c r="AJ760" s="1370"/>
      <c r="AK760" s="1362" t="s">
        <v>590</v>
      </c>
      <c r="AL760" s="1363"/>
      <c r="AM760" s="1363"/>
      <c r="AN760" s="1363"/>
      <c r="AO760" s="1364"/>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358">
        <f t="shared" si="39"/>
        <v>0</v>
      </c>
      <c r="CH760" s="1360"/>
      <c r="CI760" s="1342">
        <f t="shared" si="40"/>
        <v>0</v>
      </c>
      <c r="CJ760" s="1344"/>
      <c r="CK760" s="1358">
        <f t="shared" si="18"/>
        <v>0</v>
      </c>
      <c r="CL760" s="1360"/>
      <c r="CM760" s="1342">
        <f t="shared" si="19"/>
        <v>0</v>
      </c>
      <c r="CN760" s="1344"/>
      <c r="CP760" s="1339">
        <f t="shared" si="20"/>
        <v>0</v>
      </c>
      <c r="CQ760" s="1340"/>
      <c r="CR760" s="1340"/>
      <c r="CS760" s="1340"/>
      <c r="CT760" s="1341"/>
      <c r="CU760" s="1361">
        <f t="shared" si="21"/>
        <v>0</v>
      </c>
      <c r="CV760" s="1361"/>
      <c r="CW760" s="1361"/>
      <c r="CX760" s="1361"/>
      <c r="CY760" s="1361"/>
      <c r="CZ760" s="1361">
        <f t="shared" si="22"/>
        <v>0</v>
      </c>
      <c r="DA760" s="1361"/>
      <c r="DB760" s="1361"/>
      <c r="DC760" s="1361"/>
      <c r="DD760" s="1361"/>
      <c r="DE760" s="1361">
        <f t="shared" si="23"/>
        <v>0</v>
      </c>
      <c r="DF760" s="1361"/>
      <c r="DG760" s="1361"/>
      <c r="DH760" s="1361"/>
      <c r="DI760" s="1361"/>
      <c r="DJ760" s="1361">
        <f t="shared" si="24"/>
        <v>0</v>
      </c>
      <c r="DK760" s="1361"/>
      <c r="DL760" s="1361"/>
      <c r="DM760" s="1361"/>
      <c r="DN760" s="1361"/>
      <c r="DO760" s="1361">
        <f t="shared" si="25"/>
        <v>0</v>
      </c>
      <c r="DP760" s="1361"/>
      <c r="DQ760" s="1361"/>
      <c r="DR760" s="1361"/>
      <c r="DS760" s="1361"/>
      <c r="DT760" s="6"/>
      <c r="DU760" s="1381">
        <f t="shared" si="26"/>
        <v>0</v>
      </c>
      <c r="DV760" s="1381"/>
      <c r="DW760" s="1381"/>
      <c r="DX760" s="1381"/>
      <c r="DY760" s="1381"/>
      <c r="DZ760" s="1381">
        <f t="shared" si="27"/>
        <v>0</v>
      </c>
      <c r="EA760" s="1381"/>
      <c r="EB760" s="1381"/>
      <c r="EC760" s="1381"/>
      <c r="ED760" s="1381"/>
      <c r="EE760" s="1381">
        <f t="shared" si="28"/>
        <v>0</v>
      </c>
      <c r="EF760" s="1381"/>
      <c r="EG760" s="1381"/>
      <c r="EH760" s="1381"/>
      <c r="EI760" s="1381"/>
      <c r="EJ760" s="1381">
        <f t="shared" si="29"/>
        <v>0</v>
      </c>
      <c r="EK760" s="1381"/>
      <c r="EL760" s="1381"/>
      <c r="EM760" s="1381"/>
      <c r="EN760" s="1381"/>
      <c r="EO760" s="1381">
        <f t="shared" si="30"/>
        <v>0</v>
      </c>
      <c r="EP760" s="1381"/>
      <c r="EQ760" s="1381"/>
      <c r="ER760" s="1381"/>
      <c r="ES760" s="1381"/>
      <c r="ET760" s="1381">
        <f t="shared" si="31"/>
        <v>0</v>
      </c>
      <c r="EU760" s="1381"/>
      <c r="EV760" s="1381"/>
      <c r="EW760" s="1381"/>
      <c r="EX760" s="1381"/>
      <c r="EY760"/>
      <c r="EZ760" s="1358" t="str">
        <f t="shared" si="32"/>
        <v/>
      </c>
      <c r="FA760" s="1359"/>
      <c r="FB760" s="1359"/>
      <c r="FC760" s="1359"/>
      <c r="FD760" s="1360"/>
      <c r="FE760" s="1358" t="str">
        <f t="shared" si="33"/>
        <v/>
      </c>
      <c r="FF760" s="1359"/>
      <c r="FG760" s="1359"/>
      <c r="FH760" s="1359"/>
      <c r="FI760" s="1360"/>
      <c r="FJ760" s="1358" t="str">
        <f t="shared" si="34"/>
        <v/>
      </c>
      <c r="FK760" s="1359"/>
      <c r="FL760" s="1359"/>
      <c r="FM760" s="1359"/>
      <c r="FN760" s="1360"/>
      <c r="FO760" s="1358" t="str">
        <f t="shared" si="35"/>
        <v/>
      </c>
      <c r="FP760" s="1359"/>
      <c r="FQ760" s="1359"/>
      <c r="FR760" s="1359"/>
      <c r="FS760" s="1360"/>
      <c r="FT760" s="1358" t="str">
        <f t="shared" si="36"/>
        <v/>
      </c>
      <c r="FU760" s="1359"/>
      <c r="FV760" s="1359"/>
      <c r="FW760" s="1359"/>
      <c r="FX760" s="1360"/>
      <c r="FY760" s="1358" t="str">
        <f t="shared" si="37"/>
        <v/>
      </c>
      <c r="FZ760" s="1359"/>
      <c r="GA760" s="1359"/>
      <c r="GB760" s="1359"/>
      <c r="GC760" s="1360"/>
    </row>
    <row r="761" spans="1:185" s="3" customFormat="1" ht="13" customHeight="1">
      <c r="A761"/>
      <c r="B761" s="1402" t="s">
        <v>125</v>
      </c>
      <c r="C761" s="1403"/>
      <c r="D761" s="1403"/>
      <c r="E761" s="1403"/>
      <c r="F761" s="1405"/>
      <c r="G761" s="1710">
        <f>SUM(G726:G760)</f>
        <v>130</v>
      </c>
      <c r="H761" s="1711"/>
      <c r="I761" s="1711"/>
      <c r="J761" s="1712"/>
      <c r="K761" s="898" t="s">
        <v>124</v>
      </c>
      <c r="L761" s="5"/>
      <c r="M761" s="5"/>
      <c r="N761" s="46"/>
      <c r="O761" s="1365">
        <f>SUMPRODUCT(G726:G760,O726:O760)</f>
        <v>264110</v>
      </c>
      <c r="P761" s="1366"/>
      <c r="Q761" s="1366"/>
      <c r="R761" s="1366"/>
      <c r="S761" s="1367"/>
      <c r="T761"/>
      <c r="U761"/>
      <c r="V761"/>
      <c r="W761"/>
      <c r="X761" s="900" t="s">
        <v>899</v>
      </c>
      <c r="Y761" s="899"/>
      <c r="Z761" s="899"/>
      <c r="AA761" s="899"/>
      <c r="AB761" s="901"/>
      <c r="AC761" s="1605">
        <f>BH761</f>
        <v>0.596923076923077</v>
      </c>
      <c r="AD761" s="1606"/>
      <c r="AE761" s="1606"/>
      <c r="AF761" s="1606"/>
      <c r="AG761" s="1607"/>
      <c r="AH761" s="1605">
        <f>IFERROR(BU761,"")</f>
        <v>0.58678378944477605</v>
      </c>
      <c r="AI761" s="1606"/>
      <c r="AJ761" s="1607"/>
      <c r="AK761"/>
      <c r="AL761"/>
      <c r="AM761"/>
      <c r="AN761"/>
      <c r="AO761"/>
      <c r="AP761" s="205"/>
      <c r="AQ761" s="205"/>
      <c r="AR761" s="205"/>
      <c r="AS761" s="205"/>
      <c r="AT761"/>
      <c r="AU761"/>
      <c r="AV761"/>
      <c r="AW761"/>
      <c r="AX761"/>
      <c r="AY761"/>
      <c r="AZ761" s="34"/>
      <c r="BA761" s="34"/>
      <c r="BB761" s="34"/>
      <c r="BC761" s="34"/>
      <c r="BE761" s="290" t="s">
        <v>898</v>
      </c>
      <c r="BF761" s="299">
        <f>SUM(BF726:BF760)</f>
        <v>130</v>
      </c>
      <c r="BG761" s="300">
        <f>SUM(BG726:BG760)</f>
        <v>0.99999999999999989</v>
      </c>
      <c r="BH761" s="300">
        <f>SUM(BH726:BH760)</f>
        <v>0.596923076923077</v>
      </c>
      <c r="BI761"/>
      <c r="BJ761"/>
      <c r="BK761"/>
      <c r="BL761"/>
      <c r="BO761"/>
      <c r="BP761"/>
      <c r="BQ761"/>
      <c r="BR761"/>
      <c r="BS761" s="855">
        <f>SUM(BS726:BS760)</f>
        <v>130</v>
      </c>
      <c r="BT761" s="300">
        <f>SUM(BT726:BT760)</f>
        <v>0.99999999999999989</v>
      </c>
      <c r="BU761" s="300">
        <f>SUM(BU726:BU760)</f>
        <v>0.58678378944477605</v>
      </c>
      <c r="CI761" s="1358">
        <f>SUM(CI726:CJ760)</f>
        <v>27</v>
      </c>
      <c r="CJ761" s="1360"/>
      <c r="CM761" s="1358">
        <f>SUM(CM726:CN760)</f>
        <v>23</v>
      </c>
      <c r="CN761" s="1360"/>
      <c r="CP761" s="1358">
        <f>SUM(CP726:CT760)</f>
        <v>0</v>
      </c>
      <c r="CQ761" s="1359"/>
      <c r="CR761" s="1359"/>
      <c r="CS761" s="1359"/>
      <c r="CT761" s="1360"/>
      <c r="CU761" s="1382">
        <f>SUM(CU726:CY760)</f>
        <v>46</v>
      </c>
      <c r="CV761" s="1382"/>
      <c r="CW761" s="1382"/>
      <c r="CX761" s="1382"/>
      <c r="CY761" s="1382"/>
      <c r="CZ761" s="1382">
        <f>SUM(CZ726:DD760)</f>
        <v>42</v>
      </c>
      <c r="DA761" s="1382"/>
      <c r="DB761" s="1382"/>
      <c r="DC761" s="1382"/>
      <c r="DD761" s="1382"/>
      <c r="DE761" s="1382">
        <f>SUM(DE726:DI760)</f>
        <v>42</v>
      </c>
      <c r="DF761" s="1382"/>
      <c r="DG761" s="1382"/>
      <c r="DH761" s="1382"/>
      <c r="DI761" s="1382"/>
      <c r="DJ761" s="1382">
        <f>SUM(DJ726:DN760)</f>
        <v>0</v>
      </c>
      <c r="DK761" s="1382"/>
      <c r="DL761" s="1382"/>
      <c r="DM761" s="1382"/>
      <c r="DN761" s="1382"/>
      <c r="DO761" s="1382">
        <f>SUM(DO726:DS760)</f>
        <v>0</v>
      </c>
      <c r="DP761" s="1382"/>
      <c r="DQ761" s="1382"/>
      <c r="DR761" s="1382"/>
      <c r="DS761" s="1382"/>
      <c r="DT761" s="354"/>
      <c r="DU761" s="1382">
        <f>SUM(DU726:DY760)</f>
        <v>0</v>
      </c>
      <c r="DV761" s="1382"/>
      <c r="DW761" s="1382"/>
      <c r="DX761" s="1382"/>
      <c r="DY761" s="1382"/>
      <c r="DZ761" s="1382">
        <f>SUM(DZ726:ED760)</f>
        <v>5</v>
      </c>
      <c r="EA761" s="1382"/>
      <c r="EB761" s="1382"/>
      <c r="EC761" s="1382"/>
      <c r="ED761" s="1382"/>
      <c r="EE761" s="1382">
        <f>SUM(EE726:EI760)</f>
        <v>7</v>
      </c>
      <c r="EF761" s="1382"/>
      <c r="EG761" s="1382"/>
      <c r="EH761" s="1382"/>
      <c r="EI761" s="1382"/>
      <c r="EJ761" s="1382">
        <f>SUM(EJ726:EN760)</f>
        <v>11</v>
      </c>
      <c r="EK761" s="1382"/>
      <c r="EL761" s="1382"/>
      <c r="EM761" s="1382"/>
      <c r="EN761" s="1382"/>
      <c r="EO761" s="1382">
        <f>SUM(EO726:ES760)</f>
        <v>0</v>
      </c>
      <c r="EP761" s="1382"/>
      <c r="EQ761" s="1382"/>
      <c r="ER761" s="1382"/>
      <c r="ES761" s="1382"/>
      <c r="ET761" s="1382">
        <f>SUM(ET726:EX760)</f>
        <v>0</v>
      </c>
      <c r="EU761" s="1382"/>
      <c r="EV761" s="1382"/>
      <c r="EW761" s="1382"/>
      <c r="EX761" s="1382"/>
      <c r="EY761"/>
      <c r="EZ761" s="1382">
        <f>SUM(EZ726:FD760)</f>
        <v>0</v>
      </c>
      <c r="FA761" s="1382"/>
      <c r="FB761" s="1382"/>
      <c r="FC761" s="1382"/>
      <c r="FD761" s="1382"/>
      <c r="FE761" s="1382">
        <f>SUM(FE726:FI760)</f>
        <v>6433</v>
      </c>
      <c r="FF761" s="1382"/>
      <c r="FG761" s="1382"/>
      <c r="FH761" s="1382"/>
      <c r="FI761" s="1382"/>
      <c r="FJ761" s="1382">
        <f>SUM(FJ726:FN760)</f>
        <v>7546</v>
      </c>
      <c r="FK761" s="1382"/>
      <c r="FL761" s="1382"/>
      <c r="FM761" s="1382"/>
      <c r="FN761" s="1382"/>
      <c r="FO761" s="1382">
        <f>SUM(FO726:FS760)</f>
        <v>8780</v>
      </c>
      <c r="FP761" s="1382"/>
      <c r="FQ761" s="1382"/>
      <c r="FR761" s="1382"/>
      <c r="FS761" s="1382"/>
      <c r="FT761" s="1382">
        <f>SUM(FT726:FX760)</f>
        <v>0</v>
      </c>
      <c r="FU761" s="1382"/>
      <c r="FV761" s="1382"/>
      <c r="FW761" s="1382"/>
      <c r="FX761" s="1382"/>
      <c r="FY761" s="1382">
        <f>SUM(FY726:GC760)</f>
        <v>0</v>
      </c>
      <c r="FZ761" s="1382"/>
      <c r="GA761" s="1382"/>
      <c r="GB761" s="1382"/>
      <c r="GC761" s="1382"/>
    </row>
    <row r="762" spans="1:185" s="3" customFormat="1" ht="13" customHeight="1">
      <c r="A762"/>
      <c r="B762" s="1820" t="s">
        <v>1865</v>
      </c>
      <c r="C762" s="1820"/>
      <c r="D762" s="1820"/>
      <c r="E762" s="1820"/>
      <c r="F762" s="1820"/>
      <c r="G762" s="1820"/>
      <c r="H762" s="1820"/>
      <c r="I762" s="1820"/>
      <c r="J762" s="1820"/>
      <c r="K762" s="1820"/>
      <c r="L762" s="1820"/>
      <c r="M762" s="1820"/>
      <c r="N762" s="1820"/>
      <c r="O762" s="1820"/>
      <c r="P762" s="1820"/>
      <c r="Q762" s="1820"/>
      <c r="R762" s="1820"/>
      <c r="S762" s="1820"/>
      <c r="T762" s="1820"/>
      <c r="U762" s="1820"/>
      <c r="V762" s="1820"/>
      <c r="W762" s="1820"/>
      <c r="X762" s="1820"/>
      <c r="Y762" s="1820"/>
      <c r="Z762" s="1820"/>
      <c r="AA762" s="1820"/>
      <c r="AB762" s="1820"/>
      <c r="AC762" s="1820"/>
      <c r="AD762" s="1820"/>
      <c r="AE762" s="1820"/>
      <c r="AF762" s="1820"/>
      <c r="AG762" s="1820"/>
      <c r="AH762" s="1820"/>
      <c r="AI762"/>
      <c r="AJ762"/>
      <c r="AK762"/>
      <c r="AT762"/>
      <c r="AU762"/>
      <c r="AV762"/>
      <c r="AW762"/>
      <c r="AX762"/>
      <c r="AY762"/>
      <c r="CD762"/>
      <c r="DN762" s="56" t="s">
        <v>1833</v>
      </c>
      <c r="DO762" s="1358">
        <f>CP761+CU761+CZ761+DE761+DJ761+DO761</f>
        <v>130</v>
      </c>
      <c r="DP762" s="1359"/>
      <c r="DQ762" s="1359"/>
      <c r="DR762" s="1359"/>
      <c r="DS762" s="1360"/>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1820"/>
      <c r="C763" s="1820"/>
      <c r="D763" s="1820"/>
      <c r="E763" s="1820"/>
      <c r="F763" s="1820"/>
      <c r="G763" s="1820"/>
      <c r="H763" s="1820"/>
      <c r="I763" s="1820"/>
      <c r="J763" s="1820"/>
      <c r="K763" s="1820"/>
      <c r="L763" s="1820"/>
      <c r="M763" s="1820"/>
      <c r="N763" s="1820"/>
      <c r="O763" s="1820"/>
      <c r="P763" s="1820"/>
      <c r="Q763" s="1820"/>
      <c r="R763" s="1820"/>
      <c r="S763" s="1820"/>
      <c r="T763" s="1820"/>
      <c r="U763" s="1820"/>
      <c r="V763" s="1820"/>
      <c r="W763" s="1820"/>
      <c r="X763" s="1820"/>
      <c r="Y763" s="1820"/>
      <c r="Z763" s="1820"/>
      <c r="AA763" s="1820"/>
      <c r="AB763" s="1820"/>
      <c r="AC763" s="1820"/>
      <c r="AD763" s="1820"/>
      <c r="AE763" s="1820"/>
      <c r="AF763" s="1820"/>
      <c r="AG763" s="1820"/>
      <c r="AH763" s="1820"/>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46</v>
      </c>
      <c r="CZ763" s="3"/>
      <c r="DA763" s="3"/>
      <c r="DB763" s="3"/>
      <c r="DC763" s="3"/>
      <c r="DD763" s="857">
        <f>CZ761*2</f>
        <v>84</v>
      </c>
      <c r="DE763" s="3"/>
      <c r="DF763" s="3"/>
      <c r="DG763" s="3"/>
      <c r="DH763" s="3"/>
      <c r="DI763" s="857">
        <f>DE761*3</f>
        <v>126</v>
      </c>
      <c r="DJ763" s="3"/>
      <c r="DK763" s="3"/>
      <c r="DL763" s="3"/>
      <c r="DM763" s="3"/>
      <c r="DN763" s="857">
        <f>DJ761*4</f>
        <v>0</v>
      </c>
      <c r="DO763" s="3"/>
      <c r="DP763" s="3"/>
      <c r="DQ763" s="3"/>
      <c r="DR763" s="3"/>
      <c r="DS763" s="857">
        <f>DO761*5</f>
        <v>0</v>
      </c>
      <c r="DU763" s="857">
        <f>CT763+CY763+DD763+DI763+DN763+DS763</f>
        <v>256</v>
      </c>
      <c r="DV763" s="57" t="s">
        <v>1835</v>
      </c>
      <c r="DW763" s="3"/>
      <c r="DX763" s="3"/>
      <c r="DY763" s="3"/>
      <c r="DZ763" s="3"/>
      <c r="EA763" s="3"/>
      <c r="EB763" s="3"/>
      <c r="EC763" s="3"/>
      <c r="ED763" s="3"/>
      <c r="EE763" s="3"/>
      <c r="EF763" s="3"/>
      <c r="EG763" s="3"/>
      <c r="EH763" s="3"/>
    </row>
    <row r="764" spans="1:185" ht="13" customHeight="1">
      <c r="A764" s="3"/>
      <c r="B764" s="3"/>
      <c r="C764" s="118" t="s">
        <v>1863</v>
      </c>
      <c r="D764" s="1027"/>
      <c r="E764" s="1027"/>
      <c r="F764" s="1027"/>
      <c r="G764" s="1028"/>
      <c r="H764" s="1028"/>
      <c r="I764" s="1028"/>
      <c r="J764" s="1028"/>
      <c r="K764" s="1027"/>
      <c r="L764" s="1027"/>
      <c r="M764" s="1027"/>
      <c r="N764" s="1027"/>
      <c r="O764" s="1382">
        <f>DU763</f>
        <v>256</v>
      </c>
      <c r="P764" s="1382"/>
      <c r="Q764" s="1382"/>
      <c r="R764" s="1382"/>
      <c r="S764" s="965"/>
      <c r="T764" s="965"/>
      <c r="U764" s="118" t="s">
        <v>1864</v>
      </c>
      <c r="V764" s="1027"/>
      <c r="W764" s="1027"/>
      <c r="X764" s="1027"/>
      <c r="Y764" s="1028"/>
      <c r="Z764" s="1028"/>
      <c r="AA764" s="1028"/>
      <c r="AB764" s="1028"/>
      <c r="AC764" s="1027"/>
      <c r="AD764" s="1027"/>
      <c r="AE764" s="1027"/>
      <c r="AF764" s="1027"/>
      <c r="AG764" s="1842"/>
      <c r="AH764" s="1842"/>
      <c r="AI764" s="1842"/>
      <c r="AJ764" s="1842"/>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3" customHeight="1">
      <c r="B765" s="57"/>
      <c r="C765" s="1860" t="str">
        <f>IF(G761&lt;&gt;AG449,"! Total Low-Income Units in the Unit Mix Table above does not match the number of Total Low-Income Units on row #"&amp;TEXT(ROW(D449),"#"),"")</f>
        <v/>
      </c>
      <c r="D765" s="1860"/>
      <c r="E765" s="1860"/>
      <c r="F765" s="1860"/>
      <c r="G765" s="1860"/>
      <c r="H765" s="1860"/>
      <c r="I765" s="1860"/>
      <c r="J765" s="1860"/>
      <c r="K765" s="1860"/>
      <c r="L765" s="1860"/>
      <c r="M765" s="1860"/>
      <c r="N765" s="1860"/>
      <c r="O765" s="1860"/>
      <c r="P765" s="1860"/>
      <c r="Q765" s="1860"/>
      <c r="R765" s="1860"/>
      <c r="S765" s="1860"/>
      <c r="T765" s="1860"/>
      <c r="U765" s="1860"/>
      <c r="V765" s="1860"/>
      <c r="W765" s="1860"/>
      <c r="X765" s="1860"/>
      <c r="Y765" s="1860"/>
      <c r="Z765" s="1860"/>
      <c r="AA765" s="1860"/>
      <c r="AB765" s="1860"/>
      <c r="AC765" s="1860"/>
      <c r="AD765" s="1860"/>
      <c r="AE765" s="1860"/>
      <c r="AF765" s="1860"/>
      <c r="AG765" s="1860"/>
      <c r="AH765" s="1860"/>
      <c r="AI765" s="1860"/>
      <c r="AJ765" s="1860"/>
      <c r="AK765" s="1860"/>
      <c r="AL765" s="1860"/>
      <c r="AM765" s="1860"/>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 customHeight="1">
      <c r="B766" s="57"/>
      <c r="C766" s="1860"/>
      <c r="D766" s="1860"/>
      <c r="E766" s="1860"/>
      <c r="F766" s="1860"/>
      <c r="G766" s="1860"/>
      <c r="H766" s="1860"/>
      <c r="I766" s="1860"/>
      <c r="J766" s="1860"/>
      <c r="K766" s="1860"/>
      <c r="L766" s="1860"/>
      <c r="M766" s="1860"/>
      <c r="N766" s="1860"/>
      <c r="O766" s="1860"/>
      <c r="P766" s="1860"/>
      <c r="Q766" s="1860"/>
      <c r="R766" s="1860"/>
      <c r="S766" s="1860"/>
      <c r="T766" s="1860"/>
      <c r="U766" s="1860"/>
      <c r="V766" s="1860"/>
      <c r="W766" s="1860"/>
      <c r="X766" s="1860"/>
      <c r="Y766" s="1860"/>
      <c r="Z766" s="1860"/>
      <c r="AA766" s="1860"/>
      <c r="AB766" s="1860"/>
      <c r="AC766" s="1860"/>
      <c r="AD766" s="1860"/>
      <c r="AE766" s="1860"/>
      <c r="AF766" s="1860"/>
      <c r="AG766" s="1860"/>
      <c r="AH766" s="1860"/>
      <c r="AI766" s="1860"/>
      <c r="AJ766" s="1860"/>
      <c r="AK766" s="1860"/>
      <c r="AL766" s="1860"/>
      <c r="AM766" s="1860"/>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 customHeight="1">
      <c r="B767" s="3"/>
      <c r="C767" s="118" t="s">
        <v>1862</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713" t="s">
        <v>590</v>
      </c>
      <c r="AE767" s="1713"/>
      <c r="AF767" s="1713"/>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 customHeight="1">
      <c r="C768" s="1030" t="s">
        <v>2042</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 customHeight="1">
      <c r="A769" s="2" t="s">
        <v>575</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 customHeight="1">
      <c r="A770" s="3"/>
      <c r="B770" s="1027"/>
      <c r="C770" s="118" t="s">
        <v>176</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 customHeight="1">
      <c r="A771" s="3"/>
      <c r="B771" s="1027"/>
      <c r="C771" s="1272" t="s">
        <v>2043</v>
      </c>
      <c r="D771" s="1272"/>
      <c r="E771" s="1272"/>
      <c r="F771" s="1272"/>
      <c r="G771" s="1272"/>
      <c r="H771" s="1272"/>
      <c r="I771" s="1272"/>
      <c r="J771" s="1272"/>
      <c r="K771" s="1272"/>
      <c r="L771" s="1272"/>
      <c r="M771" s="1272"/>
      <c r="N771" s="1272"/>
      <c r="O771" s="1272"/>
      <c r="P771" s="1272"/>
      <c r="Q771" s="1272"/>
      <c r="R771" s="1272"/>
      <c r="S771" s="1272"/>
      <c r="T771" s="1272"/>
      <c r="U771" s="1272"/>
      <c r="V771" s="1272"/>
      <c r="W771" s="1272"/>
      <c r="X771" s="1272"/>
      <c r="Y771" s="1272"/>
      <c r="Z771" s="1272"/>
      <c r="AA771" s="1272"/>
      <c r="AB771" s="1272"/>
      <c r="AC771" s="1272"/>
      <c r="AD771" s="1272"/>
      <c r="AE771" s="1272"/>
      <c r="AF771" s="1272"/>
      <c r="AG771" s="1272"/>
      <c r="AH771" s="1272"/>
      <c r="AI771" s="1272"/>
      <c r="AJ771" s="1272"/>
      <c r="AK771" s="1272"/>
      <c r="AL771" s="1272"/>
      <c r="AM771" s="1272"/>
      <c r="AN771" s="1272"/>
      <c r="AO771" s="1272"/>
      <c r="AP771" s="1272"/>
      <c r="AQ771" s="1272"/>
      <c r="AR771" s="1272"/>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 customHeight="1">
      <c r="A772" s="3"/>
      <c r="B772" s="1027"/>
      <c r="C772" s="1272"/>
      <c r="D772" s="1272"/>
      <c r="E772" s="1272"/>
      <c r="F772" s="1272"/>
      <c r="G772" s="1272"/>
      <c r="H772" s="1272"/>
      <c r="I772" s="1272"/>
      <c r="J772" s="1272"/>
      <c r="K772" s="1272"/>
      <c r="L772" s="1272"/>
      <c r="M772" s="1272"/>
      <c r="N772" s="1272"/>
      <c r="O772" s="1272"/>
      <c r="P772" s="1272"/>
      <c r="Q772" s="1272"/>
      <c r="R772" s="1272"/>
      <c r="S772" s="1272"/>
      <c r="T772" s="1272"/>
      <c r="U772" s="1272"/>
      <c r="V772" s="1272"/>
      <c r="W772" s="1272"/>
      <c r="X772" s="1272"/>
      <c r="Y772" s="1272"/>
      <c r="Z772" s="1272"/>
      <c r="AA772" s="1272"/>
      <c r="AB772" s="1272"/>
      <c r="AC772" s="1272"/>
      <c r="AD772" s="1272"/>
      <c r="AE772" s="1272"/>
      <c r="AF772" s="1272"/>
      <c r="AG772" s="1272"/>
      <c r="AH772" s="1272"/>
      <c r="AI772" s="1272"/>
      <c r="AJ772" s="1272"/>
      <c r="AK772" s="1272"/>
      <c r="AL772" s="1272"/>
      <c r="AM772" s="1272"/>
      <c r="AN772" s="1272"/>
      <c r="AO772" s="1272"/>
      <c r="AP772" s="1272"/>
      <c r="AQ772" s="1272"/>
      <c r="AR772" s="1272"/>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 customHeight="1">
      <c r="A773" s="3"/>
      <c r="B773" s="1027"/>
      <c r="C773" s="1272"/>
      <c r="D773" s="1272"/>
      <c r="E773" s="1272"/>
      <c r="F773" s="1272"/>
      <c r="G773" s="1272"/>
      <c r="H773" s="1272"/>
      <c r="I773" s="1272"/>
      <c r="J773" s="1272"/>
      <c r="K773" s="1272"/>
      <c r="L773" s="1272"/>
      <c r="M773" s="1272"/>
      <c r="N773" s="1272"/>
      <c r="O773" s="1272"/>
      <c r="P773" s="1272"/>
      <c r="Q773" s="1272"/>
      <c r="R773" s="1272"/>
      <c r="S773" s="1272"/>
      <c r="T773" s="1272"/>
      <c r="U773" s="1272"/>
      <c r="V773" s="1272"/>
      <c r="W773" s="1272"/>
      <c r="X773" s="1272"/>
      <c r="Y773" s="1272"/>
      <c r="Z773" s="1272"/>
      <c r="AA773" s="1272"/>
      <c r="AB773" s="1272"/>
      <c r="AC773" s="1272"/>
      <c r="AD773" s="1272"/>
      <c r="AE773" s="1272"/>
      <c r="AF773" s="1272"/>
      <c r="AG773" s="1272"/>
      <c r="AH773" s="1272"/>
      <c r="AI773" s="1272"/>
      <c r="AJ773" s="1272"/>
      <c r="AK773" s="1272"/>
      <c r="AL773" s="1272"/>
      <c r="AM773" s="1272"/>
      <c r="AN773" s="1272"/>
      <c r="AO773" s="1272"/>
      <c r="AP773" s="1272"/>
      <c r="AQ773" s="1272"/>
      <c r="AR773" s="1272"/>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 customHeight="1">
      <c r="A774" s="3"/>
      <c r="B774" s="1027"/>
      <c r="C774" s="1272" t="s">
        <v>2044</v>
      </c>
      <c r="D774" s="1272"/>
      <c r="E774" s="1272"/>
      <c r="F774" s="1272"/>
      <c r="G774" s="1272"/>
      <c r="H774" s="1272"/>
      <c r="I774" s="1272"/>
      <c r="J774" s="1272"/>
      <c r="K774" s="1272"/>
      <c r="L774" s="1272"/>
      <c r="M774" s="1272"/>
      <c r="N774" s="1272"/>
      <c r="O774" s="1272"/>
      <c r="P774" s="1272"/>
      <c r="Q774" s="1272"/>
      <c r="R774" s="1272"/>
      <c r="S774" s="1272"/>
      <c r="T774" s="1272"/>
      <c r="U774" s="1272"/>
      <c r="V774" s="1272"/>
      <c r="W774" s="1272"/>
      <c r="X774" s="1272"/>
      <c r="Y774" s="1272"/>
      <c r="Z774" s="1272"/>
      <c r="AA774" s="1272"/>
      <c r="AB774" s="1272"/>
      <c r="AC774" s="1272"/>
      <c r="AD774" s="1272"/>
      <c r="AE774" s="1272"/>
      <c r="AF774" s="1272"/>
      <c r="AG774" s="1272"/>
      <c r="AH774" s="1272"/>
      <c r="AI774" s="1272"/>
      <c r="AJ774" s="1272"/>
      <c r="AK774" s="1272"/>
      <c r="AL774" s="1272"/>
      <c r="AM774" s="1272"/>
      <c r="AN774" s="1272"/>
      <c r="AO774" s="1272"/>
      <c r="AP774" s="1272"/>
      <c r="AQ774" s="1272"/>
      <c r="AR774" s="1272"/>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3" customHeight="1">
      <c r="A775" s="3"/>
      <c r="B775" s="1027"/>
      <c r="C775" s="1272"/>
      <c r="D775" s="1272"/>
      <c r="E775" s="1272"/>
      <c r="F775" s="1272"/>
      <c r="G775" s="1272"/>
      <c r="H775" s="1272"/>
      <c r="I775" s="1272"/>
      <c r="J775" s="1272"/>
      <c r="K775" s="1272"/>
      <c r="L775" s="1272"/>
      <c r="M775" s="1272"/>
      <c r="N775" s="1272"/>
      <c r="O775" s="1272"/>
      <c r="P775" s="1272"/>
      <c r="Q775" s="1272"/>
      <c r="R775" s="1272"/>
      <c r="S775" s="1272"/>
      <c r="T775" s="1272"/>
      <c r="U775" s="1272"/>
      <c r="V775" s="1272"/>
      <c r="W775" s="1272"/>
      <c r="X775" s="1272"/>
      <c r="Y775" s="1272"/>
      <c r="Z775" s="1272"/>
      <c r="AA775" s="1272"/>
      <c r="AB775" s="1272"/>
      <c r="AC775" s="1272"/>
      <c r="AD775" s="1272"/>
      <c r="AE775" s="1272"/>
      <c r="AF775" s="1272"/>
      <c r="AG775" s="1272"/>
      <c r="AH775" s="1272"/>
      <c r="AI775" s="1272"/>
      <c r="AJ775" s="1272"/>
      <c r="AK775" s="1272"/>
      <c r="AL775" s="1272"/>
      <c r="AM775" s="1272"/>
      <c r="AN775" s="1272"/>
      <c r="AO775" s="1272"/>
      <c r="AP775" s="1272"/>
      <c r="AQ775" s="1272"/>
      <c r="AR775" s="1272"/>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 customHeight="1">
      <c r="A776" s="3"/>
      <c r="B776" s="1027"/>
      <c r="C776" s="1272"/>
      <c r="D776" s="1272"/>
      <c r="E776" s="1272"/>
      <c r="F776" s="1272"/>
      <c r="G776" s="1272"/>
      <c r="H776" s="1272"/>
      <c r="I776" s="1272"/>
      <c r="J776" s="1272"/>
      <c r="K776" s="1272"/>
      <c r="L776" s="1272"/>
      <c r="M776" s="1272"/>
      <c r="N776" s="1272"/>
      <c r="O776" s="1272"/>
      <c r="P776" s="1272"/>
      <c r="Q776" s="1272"/>
      <c r="R776" s="1272"/>
      <c r="S776" s="1272"/>
      <c r="T776" s="1272"/>
      <c r="U776" s="1272"/>
      <c r="V776" s="1272"/>
      <c r="W776" s="1272"/>
      <c r="X776" s="1272"/>
      <c r="Y776" s="1272"/>
      <c r="Z776" s="1272"/>
      <c r="AA776" s="1272"/>
      <c r="AB776" s="1272"/>
      <c r="AC776" s="1272"/>
      <c r="AD776" s="1272"/>
      <c r="AE776" s="1272"/>
      <c r="AF776" s="1272"/>
      <c r="AG776" s="1272"/>
      <c r="AH776" s="1272"/>
      <c r="AI776" s="1272"/>
      <c r="AJ776" s="1272"/>
      <c r="AK776" s="1272"/>
      <c r="AL776" s="1272"/>
      <c r="AM776" s="1272"/>
      <c r="AN776" s="1272"/>
      <c r="AO776" s="1272"/>
      <c r="AP776" s="1272"/>
      <c r="AQ776" s="1272"/>
      <c r="AR776" s="1272"/>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 customHeight="1">
      <c r="J777" s="1598" t="s">
        <v>388</v>
      </c>
      <c r="K777" s="1499"/>
      <c r="L777" s="1499"/>
      <c r="M777" s="1499"/>
      <c r="N777" s="1500"/>
      <c r="O777" s="1609" t="s">
        <v>284</v>
      </c>
      <c r="P777" s="1609"/>
      <c r="Q777" s="1609"/>
      <c r="R777" s="1609"/>
      <c r="S777" s="1609"/>
      <c r="T777" s="1513" t="s">
        <v>1666</v>
      </c>
      <c r="U777" s="1514"/>
      <c r="V777" s="1514"/>
      <c r="W777" s="1515"/>
      <c r="X777" s="1598" t="s">
        <v>446</v>
      </c>
      <c r="Y777" s="1499"/>
      <c r="Z777" s="1499"/>
      <c r="AA777" s="1499"/>
      <c r="AB777" s="1500"/>
      <c r="AC777" s="1598" t="s">
        <v>285</v>
      </c>
      <c r="AD777" s="1499"/>
      <c r="AE777" s="1499"/>
      <c r="AF777" s="1499"/>
      <c r="AG777" s="1500"/>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 customHeight="1">
      <c r="J778" s="1501"/>
      <c r="K778" s="1502"/>
      <c r="L778" s="1502"/>
      <c r="M778" s="1502"/>
      <c r="N778" s="1503"/>
      <c r="O778" s="1609"/>
      <c r="P778" s="1609"/>
      <c r="Q778" s="1609"/>
      <c r="R778" s="1609"/>
      <c r="S778" s="1609"/>
      <c r="T778" s="1516"/>
      <c r="U778" s="1517"/>
      <c r="V778" s="1517"/>
      <c r="W778" s="1518"/>
      <c r="X778" s="1501"/>
      <c r="Y778" s="1502"/>
      <c r="Z778" s="1502"/>
      <c r="AA778" s="1502"/>
      <c r="AB778" s="1503"/>
      <c r="AC778" s="1501"/>
      <c r="AD778" s="1502"/>
      <c r="AE778" s="1502"/>
      <c r="AF778" s="1502"/>
      <c r="AG778" s="1503"/>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 customHeight="1">
      <c r="J779" s="1501"/>
      <c r="K779" s="1502"/>
      <c r="L779" s="1502"/>
      <c r="M779" s="1502"/>
      <c r="N779" s="1503"/>
      <c r="O779" s="1609"/>
      <c r="P779" s="1609"/>
      <c r="Q779" s="1609"/>
      <c r="R779" s="1609"/>
      <c r="S779" s="1609"/>
      <c r="T779" s="1516"/>
      <c r="U779" s="1517"/>
      <c r="V779" s="1517"/>
      <c r="W779" s="1518"/>
      <c r="X779" s="1501"/>
      <c r="Y779" s="1502"/>
      <c r="Z779" s="1502"/>
      <c r="AA779" s="1502"/>
      <c r="AB779" s="1503"/>
      <c r="AC779" s="1501"/>
      <c r="AD779" s="1502"/>
      <c r="AE779" s="1502"/>
      <c r="AF779" s="1502"/>
      <c r="AG779" s="1503"/>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 customHeight="1">
      <c r="J780" s="1504"/>
      <c r="K780" s="1505"/>
      <c r="L780" s="1505"/>
      <c r="M780" s="1505"/>
      <c r="N780" s="1506"/>
      <c r="O780" s="1609"/>
      <c r="P780" s="1609"/>
      <c r="Q780" s="1609"/>
      <c r="R780" s="1609"/>
      <c r="S780" s="1609"/>
      <c r="T780" s="1614"/>
      <c r="U780" s="1615"/>
      <c r="V780" s="1615"/>
      <c r="W780" s="1616"/>
      <c r="X780" s="1504"/>
      <c r="Y780" s="1505"/>
      <c r="Z780" s="1505"/>
      <c r="AA780" s="1505"/>
      <c r="AB780" s="1506"/>
      <c r="AC780" s="1504"/>
      <c r="AD780" s="1505"/>
      <c r="AE780" s="1505"/>
      <c r="AF780" s="1505"/>
      <c r="AG780" s="1506"/>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3" customHeight="1">
      <c r="J781" s="1362" t="s">
        <v>164</v>
      </c>
      <c r="K781" s="1363"/>
      <c r="L781" s="1363"/>
      <c r="M781" s="1363"/>
      <c r="N781" s="1364"/>
      <c r="O781" s="1484">
        <v>1</v>
      </c>
      <c r="P781" s="1484"/>
      <c r="Q781" s="1484"/>
      <c r="R781" s="1484"/>
      <c r="S781" s="1484"/>
      <c r="T781" s="1599">
        <v>1070</v>
      </c>
      <c r="U781" s="1600"/>
      <c r="V781" s="1600"/>
      <c r="W781" s="1601"/>
      <c r="X781" s="1378"/>
      <c r="Y781" s="1379"/>
      <c r="Z781" s="1379"/>
      <c r="AA781" s="1379"/>
      <c r="AB781" s="1380"/>
      <c r="AC781" s="1365">
        <f>X781*O781</f>
        <v>0</v>
      </c>
      <c r="AD781" s="1366"/>
      <c r="AE781" s="1366"/>
      <c r="AF781" s="1366"/>
      <c r="AG781" s="1367"/>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39">
        <f>IF(J781="SRO/Studio",O781,0)</f>
        <v>0</v>
      </c>
      <c r="CQ781" s="1340"/>
      <c r="CR781" s="1340"/>
      <c r="CS781" s="1340"/>
      <c r="CT781" s="1341"/>
      <c r="CU781" s="1361">
        <f>IF(J781="1 Bedroom",O781,0)</f>
        <v>0</v>
      </c>
      <c r="CV781" s="1361"/>
      <c r="CW781" s="1361"/>
      <c r="CX781" s="1361"/>
      <c r="CY781" s="1361"/>
      <c r="CZ781" s="1361">
        <f>IF(J781="2 Bedrooms",O781,0)</f>
        <v>0</v>
      </c>
      <c r="DA781" s="1361"/>
      <c r="DB781" s="1361"/>
      <c r="DC781" s="1361"/>
      <c r="DD781" s="1361"/>
      <c r="DE781" s="1361">
        <f>IF(J781="3 Bedrooms",O781,0)</f>
        <v>1</v>
      </c>
      <c r="DF781" s="1361"/>
      <c r="DG781" s="1361"/>
      <c r="DH781" s="1361"/>
      <c r="DI781" s="1361"/>
      <c r="DJ781" s="1361">
        <f>IF(J781="4 Bedrooms",O781,0)</f>
        <v>0</v>
      </c>
      <c r="DK781" s="1361"/>
      <c r="DL781" s="1361"/>
      <c r="DM781" s="1361"/>
      <c r="DN781" s="1361"/>
      <c r="DO781" s="1361">
        <f>IF(J781="5 Bedrooms",O781,0)</f>
        <v>0</v>
      </c>
      <c r="DP781" s="1361"/>
      <c r="DQ781" s="1361"/>
      <c r="DR781" s="1361"/>
      <c r="DS781" s="1361"/>
      <c r="DT781" s="6"/>
      <c r="DU781" s="3"/>
      <c r="DV781" s="3"/>
    </row>
    <row r="782" spans="1:159" ht="13" customHeight="1">
      <c r="J782" s="1362"/>
      <c r="K782" s="1363"/>
      <c r="L782" s="1363"/>
      <c r="M782" s="1363"/>
      <c r="N782" s="1364"/>
      <c r="O782" s="1484"/>
      <c r="P782" s="1484"/>
      <c r="Q782" s="1484"/>
      <c r="R782" s="1484"/>
      <c r="S782" s="1484"/>
      <c r="T782" s="1599"/>
      <c r="U782" s="1600"/>
      <c r="V782" s="1600"/>
      <c r="W782" s="1601"/>
      <c r="X782" s="1378"/>
      <c r="Y782" s="1379"/>
      <c r="Z782" s="1379"/>
      <c r="AA782" s="1379"/>
      <c r="AB782" s="1380"/>
      <c r="AC782" s="1365">
        <f>X782*O782</f>
        <v>0</v>
      </c>
      <c r="AD782" s="1366"/>
      <c r="AE782" s="1366"/>
      <c r="AF782" s="1366"/>
      <c r="AG782" s="1367"/>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39">
        <f>IF(J782="SRO/Studio",O782,0)</f>
        <v>0</v>
      </c>
      <c r="CQ782" s="1340"/>
      <c r="CR782" s="1340"/>
      <c r="CS782" s="1340"/>
      <c r="CT782" s="1341"/>
      <c r="CU782" s="1361">
        <f>IF(J782="1 Bedroom",O782,0)</f>
        <v>0</v>
      </c>
      <c r="CV782" s="1361"/>
      <c r="CW782" s="1361"/>
      <c r="CX782" s="1361"/>
      <c r="CY782" s="1361"/>
      <c r="CZ782" s="1361">
        <f>IF(J782="2 Bedrooms",O782,0)</f>
        <v>0</v>
      </c>
      <c r="DA782" s="1361"/>
      <c r="DB782" s="1361"/>
      <c r="DC782" s="1361"/>
      <c r="DD782" s="1361"/>
      <c r="DE782" s="1361">
        <f>IF(J782="3 Bedrooms",O782,0)</f>
        <v>0</v>
      </c>
      <c r="DF782" s="1361"/>
      <c r="DG782" s="1361"/>
      <c r="DH782" s="1361"/>
      <c r="DI782" s="1361"/>
      <c r="DJ782" s="1361">
        <f>IF(J782="4 Bedrooms",O782,0)</f>
        <v>0</v>
      </c>
      <c r="DK782" s="1361"/>
      <c r="DL782" s="1361"/>
      <c r="DM782" s="1361"/>
      <c r="DN782" s="1361"/>
      <c r="DO782" s="1361">
        <f>IF(J782="5 Bedrooms",O782,0)</f>
        <v>0</v>
      </c>
      <c r="DP782" s="1361"/>
      <c r="DQ782" s="1361"/>
      <c r="DR782" s="1361"/>
      <c r="DS782" s="1361"/>
      <c r="DT782" s="6"/>
      <c r="DU782" s="3"/>
      <c r="DV782" s="3"/>
    </row>
    <row r="783" spans="1:159" ht="13" customHeight="1">
      <c r="J783" s="1362"/>
      <c r="K783" s="1363"/>
      <c r="L783" s="1363"/>
      <c r="M783" s="1363"/>
      <c r="N783" s="1364"/>
      <c r="O783" s="1484"/>
      <c r="P783" s="1484"/>
      <c r="Q783" s="1484"/>
      <c r="R783" s="1484"/>
      <c r="S783" s="1484"/>
      <c r="T783" s="1599"/>
      <c r="U783" s="1600"/>
      <c r="V783" s="1600"/>
      <c r="W783" s="1601"/>
      <c r="X783" s="1378"/>
      <c r="Y783" s="1379"/>
      <c r="Z783" s="1379"/>
      <c r="AA783" s="1379"/>
      <c r="AB783" s="1380"/>
      <c r="AC783" s="1365">
        <f>X783*O783</f>
        <v>0</v>
      </c>
      <c r="AD783" s="1366"/>
      <c r="AE783" s="1366"/>
      <c r="AF783" s="1366"/>
      <c r="AG783" s="1367"/>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39">
        <f>IF(J783="SRO/Studio",O783,0)</f>
        <v>0</v>
      </c>
      <c r="CQ783" s="1340"/>
      <c r="CR783" s="1340"/>
      <c r="CS783" s="1340"/>
      <c r="CT783" s="1341"/>
      <c r="CU783" s="1361">
        <f>IF(J783="1 Bedroom",O783,0)</f>
        <v>0</v>
      </c>
      <c r="CV783" s="1361"/>
      <c r="CW783" s="1361"/>
      <c r="CX783" s="1361"/>
      <c r="CY783" s="1361"/>
      <c r="CZ783" s="1361">
        <f>IF(J783="2 Bedrooms",O783,0)</f>
        <v>0</v>
      </c>
      <c r="DA783" s="1361"/>
      <c r="DB783" s="1361"/>
      <c r="DC783" s="1361"/>
      <c r="DD783" s="1361"/>
      <c r="DE783" s="1361">
        <f>IF(J783="3 Bedrooms",O783,0)</f>
        <v>0</v>
      </c>
      <c r="DF783" s="1361"/>
      <c r="DG783" s="1361"/>
      <c r="DH783" s="1361"/>
      <c r="DI783" s="1361"/>
      <c r="DJ783" s="1361">
        <f>IF(J783="4 Bedrooms",O783,0)</f>
        <v>0</v>
      </c>
      <c r="DK783" s="1361"/>
      <c r="DL783" s="1361"/>
      <c r="DM783" s="1361"/>
      <c r="DN783" s="1361"/>
      <c r="DO783" s="1361">
        <f>IF(J783="5 Bedrooms",O783,0)</f>
        <v>0</v>
      </c>
      <c r="DP783" s="1361"/>
      <c r="DQ783" s="1361"/>
      <c r="DR783" s="1361"/>
      <c r="DS783" s="1361"/>
      <c r="DT783" s="1007"/>
    </row>
    <row r="784" spans="1:159" ht="13" customHeight="1">
      <c r="J784" s="1362"/>
      <c r="K784" s="1363"/>
      <c r="L784" s="1363"/>
      <c r="M784" s="1363"/>
      <c r="N784" s="1364"/>
      <c r="O784" s="1484"/>
      <c r="P784" s="1484"/>
      <c r="Q784" s="1484"/>
      <c r="R784" s="1484"/>
      <c r="S784" s="1484"/>
      <c r="T784" s="1599"/>
      <c r="U784" s="1600"/>
      <c r="V784" s="1600"/>
      <c r="W784" s="1601"/>
      <c r="X784" s="1378"/>
      <c r="Y784" s="1379"/>
      <c r="Z784" s="1379"/>
      <c r="AA784" s="1379"/>
      <c r="AB784" s="1380"/>
      <c r="AC784" s="1365">
        <f>X784*O784</f>
        <v>0</v>
      </c>
      <c r="AD784" s="1366"/>
      <c r="AE784" s="1366"/>
      <c r="AF784" s="1366"/>
      <c r="AG784" s="1367"/>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39">
        <f>IF(J784="SRO/Studio",O784,0)</f>
        <v>0</v>
      </c>
      <c r="CQ784" s="1340"/>
      <c r="CR784" s="1340"/>
      <c r="CS784" s="1340"/>
      <c r="CT784" s="1341"/>
      <c r="CU784" s="1361">
        <f>IF(J784="1 Bedroom",O784,0)</f>
        <v>0</v>
      </c>
      <c r="CV784" s="1361"/>
      <c r="CW784" s="1361"/>
      <c r="CX784" s="1361"/>
      <c r="CY784" s="1361"/>
      <c r="CZ784" s="1361">
        <f>IF(J784="2 Bedrooms",O784,0)</f>
        <v>0</v>
      </c>
      <c r="DA784" s="1361"/>
      <c r="DB784" s="1361"/>
      <c r="DC784" s="1361"/>
      <c r="DD784" s="1361"/>
      <c r="DE784" s="1361">
        <f>IF(J784="3 Bedrooms",O784,0)</f>
        <v>0</v>
      </c>
      <c r="DF784" s="1361"/>
      <c r="DG784" s="1361"/>
      <c r="DH784" s="1361"/>
      <c r="DI784" s="1361"/>
      <c r="DJ784" s="1361">
        <f>IF(J784="4 Bedrooms",O784,0)</f>
        <v>0</v>
      </c>
      <c r="DK784" s="1361"/>
      <c r="DL784" s="1361"/>
      <c r="DM784" s="1361"/>
      <c r="DN784" s="1361"/>
      <c r="DO784" s="1361">
        <f>IF(J784="5 Bedrooms",O784,0)</f>
        <v>0</v>
      </c>
      <c r="DP784" s="1361"/>
      <c r="DQ784" s="1361"/>
      <c r="DR784" s="1361"/>
      <c r="DS784" s="1361"/>
    </row>
    <row r="785" spans="1:154" ht="13" customHeight="1">
      <c r="J785" s="1402" t="s">
        <v>125</v>
      </c>
      <c r="K785" s="1403"/>
      <c r="L785" s="1403"/>
      <c r="M785" s="1403"/>
      <c r="N785" s="1405"/>
      <c r="O785" s="1342">
        <f>SUM(O781:S784)</f>
        <v>1</v>
      </c>
      <c r="P785" s="1343"/>
      <c r="Q785" s="1343"/>
      <c r="R785" s="1343"/>
      <c r="S785" s="1344"/>
      <c r="X785" s="1402" t="s">
        <v>124</v>
      </c>
      <c r="Y785" s="1403"/>
      <c r="Z785" s="1403"/>
      <c r="AA785" s="1403"/>
      <c r="AB785" s="1405"/>
      <c r="AC785" s="1365">
        <f>SUM(AC781:AG784)</f>
        <v>0</v>
      </c>
      <c r="AD785" s="1366"/>
      <c r="AE785" s="1366"/>
      <c r="AF785" s="1366"/>
      <c r="AG785" s="1367"/>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42">
        <f>SUM(CP781:CT784)</f>
        <v>0</v>
      </c>
      <c r="CQ785" s="1343"/>
      <c r="CR785" s="1343"/>
      <c r="CS785" s="1343"/>
      <c r="CT785" s="1344"/>
      <c r="CU785" s="1355">
        <f>SUM(CU781:CY784)</f>
        <v>0</v>
      </c>
      <c r="CV785" s="1356"/>
      <c r="CW785" s="1356"/>
      <c r="CX785" s="1356"/>
      <c r="CY785" s="1357"/>
      <c r="CZ785" s="1355">
        <f>SUM(CZ781:DD784)</f>
        <v>0</v>
      </c>
      <c r="DA785" s="1356"/>
      <c r="DB785" s="1356"/>
      <c r="DC785" s="1356"/>
      <c r="DD785" s="1357"/>
      <c r="DE785" s="1355">
        <f>SUM(DE781:DI784)</f>
        <v>1</v>
      </c>
      <c r="DF785" s="1356"/>
      <c r="DG785" s="1356"/>
      <c r="DH785" s="1356"/>
      <c r="DI785" s="1357"/>
      <c r="DJ785" s="1355">
        <f>SUM(DJ781:DN784)</f>
        <v>0</v>
      </c>
      <c r="DK785" s="1356"/>
      <c r="DL785" s="1356"/>
      <c r="DM785" s="1356"/>
      <c r="DN785" s="1357"/>
      <c r="DO785" s="1355">
        <f>SUM(DO781:DS784)</f>
        <v>0</v>
      </c>
      <c r="DP785" s="1356"/>
      <c r="DQ785" s="1356"/>
      <c r="DR785" s="1356"/>
      <c r="DS785" s="1357"/>
      <c r="DU785" s="857">
        <f>CP785+CU785+CZ785+DE785+DJ785+DO785</f>
        <v>1</v>
      </c>
      <c r="DV785" s="57" t="s">
        <v>1832</v>
      </c>
    </row>
    <row r="786" spans="1:154" ht="13"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0</v>
      </c>
      <c r="DE786" s="3"/>
      <c r="DF786" s="3"/>
      <c r="DG786" s="3"/>
      <c r="DH786" s="3"/>
      <c r="DI786" s="857">
        <f>DE785*3</f>
        <v>3</v>
      </c>
      <c r="DJ786" s="3"/>
      <c r="DK786" s="3"/>
      <c r="DL786" s="3"/>
      <c r="DM786" s="3"/>
      <c r="DN786" s="857">
        <f>DJ785*4</f>
        <v>0</v>
      </c>
      <c r="DO786" s="3"/>
      <c r="DP786" s="3"/>
      <c r="DQ786" s="3"/>
      <c r="DR786" s="3"/>
      <c r="DS786" s="857">
        <f>DO785*5</f>
        <v>0</v>
      </c>
      <c r="DU786" s="857">
        <f>CT786+CY786+DD786+DI786+DN786+DS786</f>
        <v>3</v>
      </c>
      <c r="DV786" s="57" t="s">
        <v>1834</v>
      </c>
    </row>
    <row r="787" spans="1:154" ht="13" customHeight="1">
      <c r="B787" s="56"/>
      <c r="C787" s="56"/>
      <c r="D787" s="56"/>
      <c r="E787" s="56"/>
      <c r="F787" s="56"/>
      <c r="G787" s="6"/>
      <c r="H787" s="6"/>
      <c r="I787" s="6"/>
      <c r="J787" s="1374" t="s">
        <v>668</v>
      </c>
      <c r="K787" s="1374"/>
      <c r="L787" s="56"/>
      <c r="M787" s="35" t="s">
        <v>975</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 customHeight="1">
      <c r="B788" s="56"/>
      <c r="C788" s="56"/>
      <c r="D788" s="56"/>
      <c r="E788" s="56"/>
      <c r="F788" s="56"/>
      <c r="G788" s="6"/>
      <c r="H788" s="6"/>
      <c r="I788" s="6"/>
      <c r="J788" s="6"/>
      <c r="K788" s="6"/>
      <c r="L788" s="56"/>
      <c r="M788" s="35" t="s">
        <v>2045</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 customHeight="1">
      <c r="A789" s="2" t="s">
        <v>585</v>
      </c>
      <c r="B789" s="57"/>
      <c r="C789" s="57" t="s">
        <v>286</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 customHeight="1">
      <c r="J791" s="1598" t="s">
        <v>388</v>
      </c>
      <c r="K791" s="1499"/>
      <c r="L791" s="1499"/>
      <c r="M791" s="1499"/>
      <c r="N791" s="1500"/>
      <c r="O791" s="1609" t="s">
        <v>284</v>
      </c>
      <c r="P791" s="1609"/>
      <c r="Q791" s="1609"/>
      <c r="R791" s="1609"/>
      <c r="S791" s="1609"/>
      <c r="T791" s="1513" t="s">
        <v>1666</v>
      </c>
      <c r="U791" s="1514"/>
      <c r="V791" s="1514"/>
      <c r="W791" s="1515"/>
      <c r="X791" s="1598" t="s">
        <v>446</v>
      </c>
      <c r="Y791" s="1499"/>
      <c r="Z791" s="1499"/>
      <c r="AA791" s="1499"/>
      <c r="AB791" s="1500"/>
      <c r="AC791" s="1598" t="s">
        <v>285</v>
      </c>
      <c r="AD791" s="1499"/>
      <c r="AE791" s="1499"/>
      <c r="AF791" s="1499"/>
      <c r="AG791" s="1500"/>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 customHeight="1">
      <c r="J792" s="1501"/>
      <c r="K792" s="1502"/>
      <c r="L792" s="1502"/>
      <c r="M792" s="1502"/>
      <c r="N792" s="1503"/>
      <c r="O792" s="1609"/>
      <c r="P792" s="1609"/>
      <c r="Q792" s="1609"/>
      <c r="R792" s="1609"/>
      <c r="S792" s="1609"/>
      <c r="T792" s="1516"/>
      <c r="U792" s="1517"/>
      <c r="V792" s="1517"/>
      <c r="W792" s="1518"/>
      <c r="X792" s="1501"/>
      <c r="Y792" s="1502"/>
      <c r="Z792" s="1502"/>
      <c r="AA792" s="1502"/>
      <c r="AB792" s="1503"/>
      <c r="AC792" s="1501"/>
      <c r="AD792" s="1502"/>
      <c r="AE792" s="1502"/>
      <c r="AF792" s="1502"/>
      <c r="AG792" s="150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 customHeight="1">
      <c r="J793" s="1501"/>
      <c r="K793" s="1502"/>
      <c r="L793" s="1502"/>
      <c r="M793" s="1502"/>
      <c r="N793" s="1503"/>
      <c r="O793" s="1609"/>
      <c r="P793" s="1609"/>
      <c r="Q793" s="1609"/>
      <c r="R793" s="1609"/>
      <c r="S793" s="1609"/>
      <c r="T793" s="1516"/>
      <c r="U793" s="1517"/>
      <c r="V793" s="1517"/>
      <c r="W793" s="1518"/>
      <c r="X793" s="1501"/>
      <c r="Y793" s="1502"/>
      <c r="Z793" s="1502"/>
      <c r="AA793" s="1502"/>
      <c r="AB793" s="1503"/>
      <c r="AC793" s="1501"/>
      <c r="AD793" s="1502"/>
      <c r="AE793" s="1502"/>
      <c r="AF793" s="1502"/>
      <c r="AG793" s="150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 customHeight="1">
      <c r="J794" s="1504"/>
      <c r="K794" s="1505"/>
      <c r="L794" s="1505"/>
      <c r="M794" s="1505"/>
      <c r="N794" s="1506"/>
      <c r="O794" s="1609"/>
      <c r="P794" s="1609"/>
      <c r="Q794" s="1609"/>
      <c r="R794" s="1609"/>
      <c r="S794" s="1609"/>
      <c r="T794" s="1614"/>
      <c r="U794" s="1615"/>
      <c r="V794" s="1615"/>
      <c r="W794" s="1616"/>
      <c r="X794" s="1504"/>
      <c r="Y794" s="1505"/>
      <c r="Z794" s="1505"/>
      <c r="AA794" s="1505"/>
      <c r="AB794" s="1506"/>
      <c r="AC794" s="1504"/>
      <c r="AD794" s="1505"/>
      <c r="AE794" s="1505"/>
      <c r="AF794" s="1505"/>
      <c r="AG794" s="1506"/>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1839</v>
      </c>
      <c r="DV794" s="3"/>
      <c r="DW794" s="3"/>
      <c r="DX794" s="3"/>
      <c r="DY794" s="3"/>
      <c r="DZ794" s="3"/>
      <c r="EA794" s="3"/>
      <c r="EB794" s="3"/>
      <c r="EC794" s="3"/>
      <c r="ED794" s="3"/>
      <c r="EE794" s="3"/>
      <c r="EF794" s="3"/>
      <c r="EG794" s="3"/>
      <c r="EH794" s="3"/>
    </row>
    <row r="795" spans="1:154" ht="13" customHeight="1">
      <c r="J795" s="1362"/>
      <c r="K795" s="1363"/>
      <c r="L795" s="1363"/>
      <c r="M795" s="1363"/>
      <c r="N795" s="1364"/>
      <c r="O795" s="1484"/>
      <c r="P795" s="1484"/>
      <c r="Q795" s="1484"/>
      <c r="R795" s="1484"/>
      <c r="S795" s="1484"/>
      <c r="T795" s="1599"/>
      <c r="U795" s="1600"/>
      <c r="V795" s="1600"/>
      <c r="W795" s="1601"/>
      <c r="X795" s="1378"/>
      <c r="Y795" s="1379"/>
      <c r="Z795" s="1379"/>
      <c r="AA795" s="1379"/>
      <c r="AB795" s="1380"/>
      <c r="AC795" s="1365">
        <f t="shared" ref="AC795:AC804" si="42">X795*O795</f>
        <v>0</v>
      </c>
      <c r="AD795" s="1366"/>
      <c r="AE795" s="1366"/>
      <c r="AF795" s="1366"/>
      <c r="AG795" s="1367"/>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9">
        <f t="shared" ref="CP795:CP804" si="43">IF(J795="SRO/Studio",O795,0)</f>
        <v>0</v>
      </c>
      <c r="CQ795" s="1340"/>
      <c r="CR795" s="1340"/>
      <c r="CS795" s="1340"/>
      <c r="CT795" s="1341"/>
      <c r="CU795" s="1339">
        <f t="shared" ref="CU795:CU804" si="44">IF(J795="1 Bedroom",O795,0)</f>
        <v>0</v>
      </c>
      <c r="CV795" s="1340"/>
      <c r="CW795" s="1340"/>
      <c r="CX795" s="1340"/>
      <c r="CY795" s="1341"/>
      <c r="CZ795" s="1339">
        <f t="shared" ref="CZ795:CZ804" si="45">IF(J795="2 Bedrooms",O795,0)</f>
        <v>0</v>
      </c>
      <c r="DA795" s="1340"/>
      <c r="DB795" s="1340"/>
      <c r="DC795" s="1340"/>
      <c r="DD795" s="1341"/>
      <c r="DE795" s="1339">
        <f t="shared" ref="DE795:DE804" si="46">IF(J795="3 Bedrooms",O795,0)</f>
        <v>0</v>
      </c>
      <c r="DF795" s="1340"/>
      <c r="DG795" s="1340"/>
      <c r="DH795" s="1340"/>
      <c r="DI795" s="1341"/>
      <c r="DJ795" s="1339">
        <f t="shared" ref="DJ795:DJ804" si="47">IF(J795="4 Bedrooms",O795,0)</f>
        <v>0</v>
      </c>
      <c r="DK795" s="1340"/>
      <c r="DL795" s="1340"/>
      <c r="DM795" s="1340"/>
      <c r="DN795" s="1341"/>
      <c r="DO795" s="1339">
        <f t="shared" ref="DO795:DO804" si="48">IF(J795="5 Bedrooms",O795,0)</f>
        <v>0</v>
      </c>
      <c r="DP795" s="1340"/>
      <c r="DQ795" s="1340"/>
      <c r="DR795" s="1340"/>
      <c r="DS795" s="1341"/>
      <c r="DT795" s="6"/>
      <c r="DU795" s="1339">
        <f t="shared" ref="DU795:DU804" si="49">IF(AND(CP795&gt;=1,AH795&gt;=0.1,AH795&lt;=1),O795,0)</f>
        <v>0</v>
      </c>
      <c r="DV795" s="1340"/>
      <c r="DW795" s="1340"/>
      <c r="DX795" s="1340"/>
      <c r="DY795" s="1341"/>
      <c r="DZ795" s="1339">
        <f t="shared" ref="DZ795:DZ804" si="50">IF(AND(CU795&gt;=1,AH795&gt;=0.1,AH795&lt;=1),O795,0)</f>
        <v>0</v>
      </c>
      <c r="EA795" s="1340"/>
      <c r="EB795" s="1340"/>
      <c r="EC795" s="1340"/>
      <c r="ED795" s="1341"/>
      <c r="EE795" s="1339">
        <f t="shared" ref="EE795:EE804" si="51">IF(AND(CZ795&gt;=1,AH795&gt;=0.1,AH795&lt;=1),O795,0)</f>
        <v>0</v>
      </c>
      <c r="EF795" s="1340"/>
      <c r="EG795" s="1340"/>
      <c r="EH795" s="1340"/>
      <c r="EI795" s="1341"/>
      <c r="EJ795" s="1339">
        <f t="shared" ref="EJ795:EJ804" si="52">IF(AND(DE795&gt;=1,AH795&gt;=0.1,AH795&lt;=1),O795,0)</f>
        <v>0</v>
      </c>
      <c r="EK795" s="1340"/>
      <c r="EL795" s="1340"/>
      <c r="EM795" s="1340"/>
      <c r="EN795" s="1341"/>
      <c r="EO795" s="1339">
        <f t="shared" ref="EO795:EO804" si="53">IF(AND(DJ795&gt;=1,AH795&gt;=0.1,AH795&lt;=1),O795,0)</f>
        <v>0</v>
      </c>
      <c r="EP795" s="1340"/>
      <c r="EQ795" s="1340"/>
      <c r="ER795" s="1340"/>
      <c r="ES795" s="1341"/>
      <c r="ET795" s="1339">
        <f t="shared" ref="ET795:ET804" si="54">IF(AND(DO795&gt;=1,AH795&gt;=0.1,AH795&lt;=1),O795,0)</f>
        <v>0</v>
      </c>
      <c r="EU795" s="1340"/>
      <c r="EV795" s="1340"/>
      <c r="EW795" s="1340"/>
      <c r="EX795" s="1341"/>
    </row>
    <row r="796" spans="1:154" s="14" customFormat="1" ht="13" customHeight="1">
      <c r="A796"/>
      <c r="B796"/>
      <c r="C796"/>
      <c r="D796"/>
      <c r="E796"/>
      <c r="F796"/>
      <c r="G796"/>
      <c r="H796"/>
      <c r="I796"/>
      <c r="J796" s="1362"/>
      <c r="K796" s="1363"/>
      <c r="L796" s="1363"/>
      <c r="M796" s="1363"/>
      <c r="N796" s="1364"/>
      <c r="O796" s="1484"/>
      <c r="P796" s="1484"/>
      <c r="Q796" s="1484"/>
      <c r="R796" s="1484"/>
      <c r="S796" s="1484"/>
      <c r="T796" s="1599"/>
      <c r="U796" s="1600"/>
      <c r="V796" s="1600"/>
      <c r="W796" s="1601"/>
      <c r="X796" s="1378"/>
      <c r="Y796" s="1379"/>
      <c r="Z796" s="1379"/>
      <c r="AA796" s="1379"/>
      <c r="AB796" s="1380"/>
      <c r="AC796" s="1365">
        <f t="shared" si="42"/>
        <v>0</v>
      </c>
      <c r="AD796" s="1366"/>
      <c r="AE796" s="1366"/>
      <c r="AF796" s="1366"/>
      <c r="AG796" s="1367"/>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39">
        <f t="shared" si="43"/>
        <v>0</v>
      </c>
      <c r="CQ796" s="1340"/>
      <c r="CR796" s="1340"/>
      <c r="CS796" s="1340"/>
      <c r="CT796" s="1341"/>
      <c r="CU796" s="1339">
        <f t="shared" si="44"/>
        <v>0</v>
      </c>
      <c r="CV796" s="1340"/>
      <c r="CW796" s="1340"/>
      <c r="CX796" s="1340"/>
      <c r="CY796" s="1341"/>
      <c r="CZ796" s="1339">
        <f t="shared" si="45"/>
        <v>0</v>
      </c>
      <c r="DA796" s="1340"/>
      <c r="DB796" s="1340"/>
      <c r="DC796" s="1340"/>
      <c r="DD796" s="1341"/>
      <c r="DE796" s="1339">
        <f t="shared" si="46"/>
        <v>0</v>
      </c>
      <c r="DF796" s="1340"/>
      <c r="DG796" s="1340"/>
      <c r="DH796" s="1340"/>
      <c r="DI796" s="1341"/>
      <c r="DJ796" s="1339">
        <f t="shared" si="47"/>
        <v>0</v>
      </c>
      <c r="DK796" s="1340"/>
      <c r="DL796" s="1340"/>
      <c r="DM796" s="1340"/>
      <c r="DN796" s="1341"/>
      <c r="DO796" s="1339">
        <f t="shared" si="48"/>
        <v>0</v>
      </c>
      <c r="DP796" s="1340"/>
      <c r="DQ796" s="1340"/>
      <c r="DR796" s="1340"/>
      <c r="DS796" s="1341"/>
      <c r="DT796" s="6"/>
      <c r="DU796" s="1339">
        <f t="shared" si="49"/>
        <v>0</v>
      </c>
      <c r="DV796" s="1340"/>
      <c r="DW796" s="1340"/>
      <c r="DX796" s="1340"/>
      <c r="DY796" s="1341"/>
      <c r="DZ796" s="1339">
        <f t="shared" si="50"/>
        <v>0</v>
      </c>
      <c r="EA796" s="1340"/>
      <c r="EB796" s="1340"/>
      <c r="EC796" s="1340"/>
      <c r="ED796" s="1341"/>
      <c r="EE796" s="1339">
        <f t="shared" si="51"/>
        <v>0</v>
      </c>
      <c r="EF796" s="1340"/>
      <c r="EG796" s="1340"/>
      <c r="EH796" s="1340"/>
      <c r="EI796" s="1341"/>
      <c r="EJ796" s="1339">
        <f t="shared" si="52"/>
        <v>0</v>
      </c>
      <c r="EK796" s="1340"/>
      <c r="EL796" s="1340"/>
      <c r="EM796" s="1340"/>
      <c r="EN796" s="1341"/>
      <c r="EO796" s="1339">
        <f t="shared" si="53"/>
        <v>0</v>
      </c>
      <c r="EP796" s="1340"/>
      <c r="EQ796" s="1340"/>
      <c r="ER796" s="1340"/>
      <c r="ES796" s="1341"/>
      <c r="ET796" s="1339">
        <f t="shared" si="54"/>
        <v>0</v>
      </c>
      <c r="EU796" s="1340"/>
      <c r="EV796" s="1340"/>
      <c r="EW796" s="1340"/>
      <c r="EX796" s="1341"/>
    </row>
    <row r="797" spans="1:154" s="14" customFormat="1" ht="13" customHeight="1">
      <c r="A797"/>
      <c r="B797"/>
      <c r="C797"/>
      <c r="D797"/>
      <c r="E797"/>
      <c r="F797"/>
      <c r="G797"/>
      <c r="H797"/>
      <c r="I797"/>
      <c r="J797" s="1362"/>
      <c r="K797" s="1363"/>
      <c r="L797" s="1363"/>
      <c r="M797" s="1363"/>
      <c r="N797" s="1364"/>
      <c r="O797" s="1484"/>
      <c r="P797" s="1484"/>
      <c r="Q797" s="1484"/>
      <c r="R797" s="1484"/>
      <c r="S797" s="1484"/>
      <c r="T797" s="1599"/>
      <c r="U797" s="1600"/>
      <c r="V797" s="1600"/>
      <c r="W797" s="1601"/>
      <c r="X797" s="1378"/>
      <c r="Y797" s="1379"/>
      <c r="Z797" s="1379"/>
      <c r="AA797" s="1379"/>
      <c r="AB797" s="1380"/>
      <c r="AC797" s="1365">
        <f t="shared" si="42"/>
        <v>0</v>
      </c>
      <c r="AD797" s="1366"/>
      <c r="AE797" s="1366"/>
      <c r="AF797" s="1366"/>
      <c r="AG797" s="1367"/>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39">
        <f t="shared" si="43"/>
        <v>0</v>
      </c>
      <c r="CQ797" s="1340"/>
      <c r="CR797" s="1340"/>
      <c r="CS797" s="1340"/>
      <c r="CT797" s="1341"/>
      <c r="CU797" s="1339">
        <f t="shared" si="44"/>
        <v>0</v>
      </c>
      <c r="CV797" s="1340"/>
      <c r="CW797" s="1340"/>
      <c r="CX797" s="1340"/>
      <c r="CY797" s="1341"/>
      <c r="CZ797" s="1339">
        <f t="shared" si="45"/>
        <v>0</v>
      </c>
      <c r="DA797" s="1340"/>
      <c r="DB797" s="1340"/>
      <c r="DC797" s="1340"/>
      <c r="DD797" s="1341"/>
      <c r="DE797" s="1339">
        <f t="shared" si="46"/>
        <v>0</v>
      </c>
      <c r="DF797" s="1340"/>
      <c r="DG797" s="1340"/>
      <c r="DH797" s="1340"/>
      <c r="DI797" s="1341"/>
      <c r="DJ797" s="1339">
        <f t="shared" si="47"/>
        <v>0</v>
      </c>
      <c r="DK797" s="1340"/>
      <c r="DL797" s="1340"/>
      <c r="DM797" s="1340"/>
      <c r="DN797" s="1341"/>
      <c r="DO797" s="1339">
        <f t="shared" si="48"/>
        <v>0</v>
      </c>
      <c r="DP797" s="1340"/>
      <c r="DQ797" s="1340"/>
      <c r="DR797" s="1340"/>
      <c r="DS797" s="1341"/>
      <c r="DT797" s="6"/>
      <c r="DU797" s="1339">
        <f t="shared" si="49"/>
        <v>0</v>
      </c>
      <c r="DV797" s="1340"/>
      <c r="DW797" s="1340"/>
      <c r="DX797" s="1340"/>
      <c r="DY797" s="1341"/>
      <c r="DZ797" s="1339">
        <f t="shared" si="50"/>
        <v>0</v>
      </c>
      <c r="EA797" s="1340"/>
      <c r="EB797" s="1340"/>
      <c r="EC797" s="1340"/>
      <c r="ED797" s="1341"/>
      <c r="EE797" s="1339">
        <f t="shared" si="51"/>
        <v>0</v>
      </c>
      <c r="EF797" s="1340"/>
      <c r="EG797" s="1340"/>
      <c r="EH797" s="1340"/>
      <c r="EI797" s="1341"/>
      <c r="EJ797" s="1339">
        <f t="shared" si="52"/>
        <v>0</v>
      </c>
      <c r="EK797" s="1340"/>
      <c r="EL797" s="1340"/>
      <c r="EM797" s="1340"/>
      <c r="EN797" s="1341"/>
      <c r="EO797" s="1339">
        <f t="shared" si="53"/>
        <v>0</v>
      </c>
      <c r="EP797" s="1340"/>
      <c r="EQ797" s="1340"/>
      <c r="ER797" s="1340"/>
      <c r="ES797" s="1341"/>
      <c r="ET797" s="1339">
        <f t="shared" si="54"/>
        <v>0</v>
      </c>
      <c r="EU797" s="1340"/>
      <c r="EV797" s="1340"/>
      <c r="EW797" s="1340"/>
      <c r="EX797" s="1341"/>
    </row>
    <row r="798" spans="1:154" s="14" customFormat="1" ht="13" customHeight="1">
      <c r="A798"/>
      <c r="B798"/>
      <c r="C798"/>
      <c r="D798"/>
      <c r="E798"/>
      <c r="F798"/>
      <c r="G798"/>
      <c r="H798"/>
      <c r="I798"/>
      <c r="J798" s="1362"/>
      <c r="K798" s="1363"/>
      <c r="L798" s="1363"/>
      <c r="M798" s="1363"/>
      <c r="N798" s="1364"/>
      <c r="O798" s="1484"/>
      <c r="P798" s="1484"/>
      <c r="Q798" s="1484"/>
      <c r="R798" s="1484"/>
      <c r="S798" s="1484"/>
      <c r="T798" s="1599"/>
      <c r="U798" s="1600"/>
      <c r="V798" s="1600"/>
      <c r="W798" s="1601"/>
      <c r="X798" s="1378"/>
      <c r="Y798" s="1379"/>
      <c r="Z798" s="1379"/>
      <c r="AA798" s="1379"/>
      <c r="AB798" s="1380"/>
      <c r="AC798" s="1365">
        <f t="shared" si="42"/>
        <v>0</v>
      </c>
      <c r="AD798" s="1366"/>
      <c r="AE798" s="1366"/>
      <c r="AF798" s="1366"/>
      <c r="AG798" s="1367"/>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39">
        <f t="shared" si="43"/>
        <v>0</v>
      </c>
      <c r="CQ798" s="1340"/>
      <c r="CR798" s="1340"/>
      <c r="CS798" s="1340"/>
      <c r="CT798" s="1341"/>
      <c r="CU798" s="1339">
        <f t="shared" si="44"/>
        <v>0</v>
      </c>
      <c r="CV798" s="1340"/>
      <c r="CW798" s="1340"/>
      <c r="CX798" s="1340"/>
      <c r="CY798" s="1341"/>
      <c r="CZ798" s="1339">
        <f t="shared" si="45"/>
        <v>0</v>
      </c>
      <c r="DA798" s="1340"/>
      <c r="DB798" s="1340"/>
      <c r="DC798" s="1340"/>
      <c r="DD798" s="1341"/>
      <c r="DE798" s="1339">
        <f t="shared" si="46"/>
        <v>0</v>
      </c>
      <c r="DF798" s="1340"/>
      <c r="DG798" s="1340"/>
      <c r="DH798" s="1340"/>
      <c r="DI798" s="1341"/>
      <c r="DJ798" s="1339">
        <f t="shared" si="47"/>
        <v>0</v>
      </c>
      <c r="DK798" s="1340"/>
      <c r="DL798" s="1340"/>
      <c r="DM798" s="1340"/>
      <c r="DN798" s="1341"/>
      <c r="DO798" s="1339">
        <f t="shared" si="48"/>
        <v>0</v>
      </c>
      <c r="DP798" s="1340"/>
      <c r="DQ798" s="1340"/>
      <c r="DR798" s="1340"/>
      <c r="DS798" s="1341"/>
      <c r="DT798" s="6"/>
      <c r="DU798" s="1339">
        <f t="shared" si="49"/>
        <v>0</v>
      </c>
      <c r="DV798" s="1340"/>
      <c r="DW798" s="1340"/>
      <c r="DX798" s="1340"/>
      <c r="DY798" s="1341"/>
      <c r="DZ798" s="1339">
        <f t="shared" si="50"/>
        <v>0</v>
      </c>
      <c r="EA798" s="1340"/>
      <c r="EB798" s="1340"/>
      <c r="EC798" s="1340"/>
      <c r="ED798" s="1341"/>
      <c r="EE798" s="1339">
        <f t="shared" si="51"/>
        <v>0</v>
      </c>
      <c r="EF798" s="1340"/>
      <c r="EG798" s="1340"/>
      <c r="EH798" s="1340"/>
      <c r="EI798" s="1341"/>
      <c r="EJ798" s="1339">
        <f t="shared" si="52"/>
        <v>0</v>
      </c>
      <c r="EK798" s="1340"/>
      <c r="EL798" s="1340"/>
      <c r="EM798" s="1340"/>
      <c r="EN798" s="1341"/>
      <c r="EO798" s="1339">
        <f t="shared" si="53"/>
        <v>0</v>
      </c>
      <c r="EP798" s="1340"/>
      <c r="EQ798" s="1340"/>
      <c r="ER798" s="1340"/>
      <c r="ES798" s="1341"/>
      <c r="ET798" s="1339">
        <f t="shared" si="54"/>
        <v>0</v>
      </c>
      <c r="EU798" s="1340"/>
      <c r="EV798" s="1340"/>
      <c r="EW798" s="1340"/>
      <c r="EX798" s="1341"/>
    </row>
    <row r="799" spans="1:154" s="14" customFormat="1" ht="13" customHeight="1">
      <c r="A799"/>
      <c r="B799"/>
      <c r="C799"/>
      <c r="D799"/>
      <c r="E799"/>
      <c r="F799"/>
      <c r="G799"/>
      <c r="H799"/>
      <c r="I799"/>
      <c r="J799" s="1362"/>
      <c r="K799" s="1363"/>
      <c r="L799" s="1363"/>
      <c r="M799" s="1363"/>
      <c r="N799" s="1364"/>
      <c r="O799" s="1484"/>
      <c r="P799" s="1484"/>
      <c r="Q799" s="1484"/>
      <c r="R799" s="1484"/>
      <c r="S799" s="1484"/>
      <c r="T799" s="1599"/>
      <c r="U799" s="1600"/>
      <c r="V799" s="1600"/>
      <c r="W799" s="1601"/>
      <c r="X799" s="1378"/>
      <c r="Y799" s="1379"/>
      <c r="Z799" s="1379"/>
      <c r="AA799" s="1379"/>
      <c r="AB799" s="1380"/>
      <c r="AC799" s="1365">
        <f t="shared" si="42"/>
        <v>0</v>
      </c>
      <c r="AD799" s="1366"/>
      <c r="AE799" s="1366"/>
      <c r="AF799" s="1366"/>
      <c r="AG799" s="1367"/>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39">
        <f t="shared" si="43"/>
        <v>0</v>
      </c>
      <c r="CQ799" s="1340"/>
      <c r="CR799" s="1340"/>
      <c r="CS799" s="1340"/>
      <c r="CT799" s="1341"/>
      <c r="CU799" s="1339">
        <f t="shared" si="44"/>
        <v>0</v>
      </c>
      <c r="CV799" s="1340"/>
      <c r="CW799" s="1340"/>
      <c r="CX799" s="1340"/>
      <c r="CY799" s="1341"/>
      <c r="CZ799" s="1339">
        <f t="shared" si="45"/>
        <v>0</v>
      </c>
      <c r="DA799" s="1340"/>
      <c r="DB799" s="1340"/>
      <c r="DC799" s="1340"/>
      <c r="DD799" s="1341"/>
      <c r="DE799" s="1339">
        <f t="shared" si="46"/>
        <v>0</v>
      </c>
      <c r="DF799" s="1340"/>
      <c r="DG799" s="1340"/>
      <c r="DH799" s="1340"/>
      <c r="DI799" s="1341"/>
      <c r="DJ799" s="1339">
        <f t="shared" si="47"/>
        <v>0</v>
      </c>
      <c r="DK799" s="1340"/>
      <c r="DL799" s="1340"/>
      <c r="DM799" s="1340"/>
      <c r="DN799" s="1341"/>
      <c r="DO799" s="1339">
        <f t="shared" si="48"/>
        <v>0</v>
      </c>
      <c r="DP799" s="1340"/>
      <c r="DQ799" s="1340"/>
      <c r="DR799" s="1340"/>
      <c r="DS799" s="1341"/>
      <c r="DT799" s="6"/>
      <c r="DU799" s="1339">
        <f t="shared" si="49"/>
        <v>0</v>
      </c>
      <c r="DV799" s="1340"/>
      <c r="DW799" s="1340"/>
      <c r="DX799" s="1340"/>
      <c r="DY799" s="1341"/>
      <c r="DZ799" s="1339">
        <f t="shared" si="50"/>
        <v>0</v>
      </c>
      <c r="EA799" s="1340"/>
      <c r="EB799" s="1340"/>
      <c r="EC799" s="1340"/>
      <c r="ED799" s="1341"/>
      <c r="EE799" s="1339">
        <f t="shared" si="51"/>
        <v>0</v>
      </c>
      <c r="EF799" s="1340"/>
      <c r="EG799" s="1340"/>
      <c r="EH799" s="1340"/>
      <c r="EI799" s="1341"/>
      <c r="EJ799" s="1339">
        <f t="shared" si="52"/>
        <v>0</v>
      </c>
      <c r="EK799" s="1340"/>
      <c r="EL799" s="1340"/>
      <c r="EM799" s="1340"/>
      <c r="EN799" s="1341"/>
      <c r="EO799" s="1339">
        <f t="shared" si="53"/>
        <v>0</v>
      </c>
      <c r="EP799" s="1340"/>
      <c r="EQ799" s="1340"/>
      <c r="ER799" s="1340"/>
      <c r="ES799" s="1341"/>
      <c r="ET799" s="1339">
        <f t="shared" si="54"/>
        <v>0</v>
      </c>
      <c r="EU799" s="1340"/>
      <c r="EV799" s="1340"/>
      <c r="EW799" s="1340"/>
      <c r="EX799" s="1341"/>
    </row>
    <row r="800" spans="1:154" s="14" customFormat="1" ht="13" customHeight="1">
      <c r="A800"/>
      <c r="B800"/>
      <c r="C800"/>
      <c r="D800"/>
      <c r="E800"/>
      <c r="F800"/>
      <c r="G800"/>
      <c r="H800"/>
      <c r="I800"/>
      <c r="J800" s="1362"/>
      <c r="K800" s="1363"/>
      <c r="L800" s="1363"/>
      <c r="M800" s="1363"/>
      <c r="N800" s="1364"/>
      <c r="O800" s="1484"/>
      <c r="P800" s="1484"/>
      <c r="Q800" s="1484"/>
      <c r="R800" s="1484"/>
      <c r="S800" s="1484"/>
      <c r="T800" s="1599"/>
      <c r="U800" s="1600"/>
      <c r="V800" s="1600"/>
      <c r="W800" s="1601"/>
      <c r="X800" s="1378"/>
      <c r="Y800" s="1379"/>
      <c r="Z800" s="1379"/>
      <c r="AA800" s="1379"/>
      <c r="AB800" s="1380"/>
      <c r="AC800" s="1365">
        <f t="shared" si="42"/>
        <v>0</v>
      </c>
      <c r="AD800" s="1366"/>
      <c r="AE800" s="1366"/>
      <c r="AF800" s="1366"/>
      <c r="AG800" s="1367"/>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39">
        <f t="shared" si="43"/>
        <v>0</v>
      </c>
      <c r="CQ800" s="1340"/>
      <c r="CR800" s="1340"/>
      <c r="CS800" s="1340"/>
      <c r="CT800" s="1341"/>
      <c r="CU800" s="1339">
        <f t="shared" si="44"/>
        <v>0</v>
      </c>
      <c r="CV800" s="1340"/>
      <c r="CW800" s="1340"/>
      <c r="CX800" s="1340"/>
      <c r="CY800" s="1341"/>
      <c r="CZ800" s="1339">
        <f t="shared" si="45"/>
        <v>0</v>
      </c>
      <c r="DA800" s="1340"/>
      <c r="DB800" s="1340"/>
      <c r="DC800" s="1340"/>
      <c r="DD800" s="1341"/>
      <c r="DE800" s="1339">
        <f t="shared" si="46"/>
        <v>0</v>
      </c>
      <c r="DF800" s="1340"/>
      <c r="DG800" s="1340"/>
      <c r="DH800" s="1340"/>
      <c r="DI800" s="1341"/>
      <c r="DJ800" s="1339">
        <f t="shared" si="47"/>
        <v>0</v>
      </c>
      <c r="DK800" s="1340"/>
      <c r="DL800" s="1340"/>
      <c r="DM800" s="1340"/>
      <c r="DN800" s="1341"/>
      <c r="DO800" s="1339">
        <f t="shared" si="48"/>
        <v>0</v>
      </c>
      <c r="DP800" s="1340"/>
      <c r="DQ800" s="1340"/>
      <c r="DR800" s="1340"/>
      <c r="DS800" s="1341"/>
      <c r="DT800" s="6"/>
      <c r="DU800" s="1339">
        <f t="shared" si="49"/>
        <v>0</v>
      </c>
      <c r="DV800" s="1340"/>
      <c r="DW800" s="1340"/>
      <c r="DX800" s="1340"/>
      <c r="DY800" s="1341"/>
      <c r="DZ800" s="1339">
        <f t="shared" si="50"/>
        <v>0</v>
      </c>
      <c r="EA800" s="1340"/>
      <c r="EB800" s="1340"/>
      <c r="EC800" s="1340"/>
      <c r="ED800" s="1341"/>
      <c r="EE800" s="1339">
        <f t="shared" si="51"/>
        <v>0</v>
      </c>
      <c r="EF800" s="1340"/>
      <c r="EG800" s="1340"/>
      <c r="EH800" s="1340"/>
      <c r="EI800" s="1341"/>
      <c r="EJ800" s="1339">
        <f t="shared" si="52"/>
        <v>0</v>
      </c>
      <c r="EK800" s="1340"/>
      <c r="EL800" s="1340"/>
      <c r="EM800" s="1340"/>
      <c r="EN800" s="1341"/>
      <c r="EO800" s="1339">
        <f t="shared" si="53"/>
        <v>0</v>
      </c>
      <c r="EP800" s="1340"/>
      <c r="EQ800" s="1340"/>
      <c r="ER800" s="1340"/>
      <c r="ES800" s="1341"/>
      <c r="ET800" s="1339">
        <f t="shared" si="54"/>
        <v>0</v>
      </c>
      <c r="EU800" s="1340"/>
      <c r="EV800" s="1340"/>
      <c r="EW800" s="1340"/>
      <c r="EX800" s="1341"/>
    </row>
    <row r="801" spans="1:154" s="14" customFormat="1" ht="13" customHeight="1">
      <c r="A801"/>
      <c r="B801"/>
      <c r="C801"/>
      <c r="D801"/>
      <c r="E801"/>
      <c r="F801"/>
      <c r="G801"/>
      <c r="H801"/>
      <c r="I801"/>
      <c r="J801" s="1362"/>
      <c r="K801" s="1363"/>
      <c r="L801" s="1363"/>
      <c r="M801" s="1363"/>
      <c r="N801" s="1364"/>
      <c r="O801" s="1484"/>
      <c r="P801" s="1484"/>
      <c r="Q801" s="1484"/>
      <c r="R801" s="1484"/>
      <c r="S801" s="1484"/>
      <c r="T801" s="1599"/>
      <c r="U801" s="1600"/>
      <c r="V801" s="1600"/>
      <c r="W801" s="1601"/>
      <c r="X801" s="1378"/>
      <c r="Y801" s="1379"/>
      <c r="Z801" s="1379"/>
      <c r="AA801" s="1379"/>
      <c r="AB801" s="1380"/>
      <c r="AC801" s="1365">
        <f t="shared" si="42"/>
        <v>0</v>
      </c>
      <c r="AD801" s="1366"/>
      <c r="AE801" s="1366"/>
      <c r="AF801" s="1366"/>
      <c r="AG801" s="1367"/>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39">
        <f t="shared" si="43"/>
        <v>0</v>
      </c>
      <c r="CQ801" s="1340"/>
      <c r="CR801" s="1340"/>
      <c r="CS801" s="1340"/>
      <c r="CT801" s="1341"/>
      <c r="CU801" s="1339">
        <f t="shared" si="44"/>
        <v>0</v>
      </c>
      <c r="CV801" s="1340"/>
      <c r="CW801" s="1340"/>
      <c r="CX801" s="1340"/>
      <c r="CY801" s="1341"/>
      <c r="CZ801" s="1339">
        <f t="shared" si="45"/>
        <v>0</v>
      </c>
      <c r="DA801" s="1340"/>
      <c r="DB801" s="1340"/>
      <c r="DC801" s="1340"/>
      <c r="DD801" s="1341"/>
      <c r="DE801" s="1339">
        <f t="shared" si="46"/>
        <v>0</v>
      </c>
      <c r="DF801" s="1340"/>
      <c r="DG801" s="1340"/>
      <c r="DH801" s="1340"/>
      <c r="DI801" s="1341"/>
      <c r="DJ801" s="1339">
        <f t="shared" si="47"/>
        <v>0</v>
      </c>
      <c r="DK801" s="1340"/>
      <c r="DL801" s="1340"/>
      <c r="DM801" s="1340"/>
      <c r="DN801" s="1341"/>
      <c r="DO801" s="1339">
        <f t="shared" si="48"/>
        <v>0</v>
      </c>
      <c r="DP801" s="1340"/>
      <c r="DQ801" s="1340"/>
      <c r="DR801" s="1340"/>
      <c r="DS801" s="1341"/>
      <c r="DT801" s="6"/>
      <c r="DU801" s="1339">
        <f t="shared" si="49"/>
        <v>0</v>
      </c>
      <c r="DV801" s="1340"/>
      <c r="DW801" s="1340"/>
      <c r="DX801" s="1340"/>
      <c r="DY801" s="1341"/>
      <c r="DZ801" s="1339">
        <f t="shared" si="50"/>
        <v>0</v>
      </c>
      <c r="EA801" s="1340"/>
      <c r="EB801" s="1340"/>
      <c r="EC801" s="1340"/>
      <c r="ED801" s="1341"/>
      <c r="EE801" s="1339">
        <f t="shared" si="51"/>
        <v>0</v>
      </c>
      <c r="EF801" s="1340"/>
      <c r="EG801" s="1340"/>
      <c r="EH801" s="1340"/>
      <c r="EI801" s="1341"/>
      <c r="EJ801" s="1339">
        <f t="shared" si="52"/>
        <v>0</v>
      </c>
      <c r="EK801" s="1340"/>
      <c r="EL801" s="1340"/>
      <c r="EM801" s="1340"/>
      <c r="EN801" s="1341"/>
      <c r="EO801" s="1339">
        <f t="shared" si="53"/>
        <v>0</v>
      </c>
      <c r="EP801" s="1340"/>
      <c r="EQ801" s="1340"/>
      <c r="ER801" s="1340"/>
      <c r="ES801" s="1341"/>
      <c r="ET801" s="1339">
        <f t="shared" si="54"/>
        <v>0</v>
      </c>
      <c r="EU801" s="1340"/>
      <c r="EV801" s="1340"/>
      <c r="EW801" s="1340"/>
      <c r="EX801" s="1341"/>
    </row>
    <row r="802" spans="1:154" s="14" customFormat="1" ht="13" customHeight="1">
      <c r="A802"/>
      <c r="B802"/>
      <c r="C802"/>
      <c r="D802"/>
      <c r="E802"/>
      <c r="F802"/>
      <c r="G802"/>
      <c r="H802"/>
      <c r="I802"/>
      <c r="J802" s="1362"/>
      <c r="K802" s="1363"/>
      <c r="L802" s="1363"/>
      <c r="M802" s="1363"/>
      <c r="N802" s="1364"/>
      <c r="O802" s="1484"/>
      <c r="P802" s="1484"/>
      <c r="Q802" s="1484"/>
      <c r="R802" s="1484"/>
      <c r="S802" s="1484"/>
      <c r="T802" s="1599"/>
      <c r="U802" s="1600"/>
      <c r="V802" s="1600"/>
      <c r="W802" s="1601"/>
      <c r="X802" s="1378"/>
      <c r="Y802" s="1379"/>
      <c r="Z802" s="1379"/>
      <c r="AA802" s="1379"/>
      <c r="AB802" s="1380"/>
      <c r="AC802" s="1365">
        <f t="shared" si="42"/>
        <v>0</v>
      </c>
      <c r="AD802" s="1366"/>
      <c r="AE802" s="1366"/>
      <c r="AF802" s="1366"/>
      <c r="AG802" s="1367"/>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39">
        <f t="shared" si="43"/>
        <v>0</v>
      </c>
      <c r="CQ802" s="1340"/>
      <c r="CR802" s="1340"/>
      <c r="CS802" s="1340"/>
      <c r="CT802" s="1341"/>
      <c r="CU802" s="1339">
        <f t="shared" si="44"/>
        <v>0</v>
      </c>
      <c r="CV802" s="1340"/>
      <c r="CW802" s="1340"/>
      <c r="CX802" s="1340"/>
      <c r="CY802" s="1341"/>
      <c r="CZ802" s="1339">
        <f t="shared" si="45"/>
        <v>0</v>
      </c>
      <c r="DA802" s="1340"/>
      <c r="DB802" s="1340"/>
      <c r="DC802" s="1340"/>
      <c r="DD802" s="1341"/>
      <c r="DE802" s="1339">
        <f t="shared" si="46"/>
        <v>0</v>
      </c>
      <c r="DF802" s="1340"/>
      <c r="DG802" s="1340"/>
      <c r="DH802" s="1340"/>
      <c r="DI802" s="1341"/>
      <c r="DJ802" s="1339">
        <f t="shared" si="47"/>
        <v>0</v>
      </c>
      <c r="DK802" s="1340"/>
      <c r="DL802" s="1340"/>
      <c r="DM802" s="1340"/>
      <c r="DN802" s="1341"/>
      <c r="DO802" s="1339">
        <f t="shared" si="48"/>
        <v>0</v>
      </c>
      <c r="DP802" s="1340"/>
      <c r="DQ802" s="1340"/>
      <c r="DR802" s="1340"/>
      <c r="DS802" s="1341"/>
      <c r="DT802" s="6"/>
      <c r="DU802" s="1339">
        <f t="shared" si="49"/>
        <v>0</v>
      </c>
      <c r="DV802" s="1340"/>
      <c r="DW802" s="1340"/>
      <c r="DX802" s="1340"/>
      <c r="DY802" s="1341"/>
      <c r="DZ802" s="1339">
        <f t="shared" si="50"/>
        <v>0</v>
      </c>
      <c r="EA802" s="1340"/>
      <c r="EB802" s="1340"/>
      <c r="EC802" s="1340"/>
      <c r="ED802" s="1341"/>
      <c r="EE802" s="1339">
        <f t="shared" si="51"/>
        <v>0</v>
      </c>
      <c r="EF802" s="1340"/>
      <c r="EG802" s="1340"/>
      <c r="EH802" s="1340"/>
      <c r="EI802" s="1341"/>
      <c r="EJ802" s="1339">
        <f t="shared" si="52"/>
        <v>0</v>
      </c>
      <c r="EK802" s="1340"/>
      <c r="EL802" s="1340"/>
      <c r="EM802" s="1340"/>
      <c r="EN802" s="1341"/>
      <c r="EO802" s="1339">
        <f t="shared" si="53"/>
        <v>0</v>
      </c>
      <c r="EP802" s="1340"/>
      <c r="EQ802" s="1340"/>
      <c r="ER802" s="1340"/>
      <c r="ES802" s="1341"/>
      <c r="ET802" s="1339">
        <f t="shared" si="54"/>
        <v>0</v>
      </c>
      <c r="EU802" s="1340"/>
      <c r="EV802" s="1340"/>
      <c r="EW802" s="1340"/>
      <c r="EX802" s="1341"/>
    </row>
    <row r="803" spans="1:154" s="14" customFormat="1" ht="13" customHeight="1">
      <c r="A803"/>
      <c r="B803"/>
      <c r="C803"/>
      <c r="D803"/>
      <c r="E803"/>
      <c r="F803"/>
      <c r="G803"/>
      <c r="H803"/>
      <c r="I803"/>
      <c r="J803" s="1362"/>
      <c r="K803" s="1363"/>
      <c r="L803" s="1363"/>
      <c r="M803" s="1363"/>
      <c r="N803" s="1364"/>
      <c r="O803" s="1484"/>
      <c r="P803" s="1484"/>
      <c r="Q803" s="1484"/>
      <c r="R803" s="1484"/>
      <c r="S803" s="1484"/>
      <c r="T803" s="1599"/>
      <c r="U803" s="1600"/>
      <c r="V803" s="1600"/>
      <c r="W803" s="1601"/>
      <c r="X803" s="1378"/>
      <c r="Y803" s="1379"/>
      <c r="Z803" s="1379"/>
      <c r="AA803" s="1379"/>
      <c r="AB803" s="1380"/>
      <c r="AC803" s="1365">
        <f t="shared" si="42"/>
        <v>0</v>
      </c>
      <c r="AD803" s="1366"/>
      <c r="AE803" s="1366"/>
      <c r="AF803" s="1366"/>
      <c r="AG803" s="1367"/>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39">
        <f t="shared" si="43"/>
        <v>0</v>
      </c>
      <c r="CQ803" s="1340"/>
      <c r="CR803" s="1340"/>
      <c r="CS803" s="1340"/>
      <c r="CT803" s="1341"/>
      <c r="CU803" s="1339">
        <f t="shared" si="44"/>
        <v>0</v>
      </c>
      <c r="CV803" s="1340"/>
      <c r="CW803" s="1340"/>
      <c r="CX803" s="1340"/>
      <c r="CY803" s="1341"/>
      <c r="CZ803" s="1339">
        <f t="shared" si="45"/>
        <v>0</v>
      </c>
      <c r="DA803" s="1340"/>
      <c r="DB803" s="1340"/>
      <c r="DC803" s="1340"/>
      <c r="DD803" s="1341"/>
      <c r="DE803" s="1339">
        <f t="shared" si="46"/>
        <v>0</v>
      </c>
      <c r="DF803" s="1340"/>
      <c r="DG803" s="1340"/>
      <c r="DH803" s="1340"/>
      <c r="DI803" s="1341"/>
      <c r="DJ803" s="1339">
        <f t="shared" si="47"/>
        <v>0</v>
      </c>
      <c r="DK803" s="1340"/>
      <c r="DL803" s="1340"/>
      <c r="DM803" s="1340"/>
      <c r="DN803" s="1341"/>
      <c r="DO803" s="1339">
        <f t="shared" si="48"/>
        <v>0</v>
      </c>
      <c r="DP803" s="1340"/>
      <c r="DQ803" s="1340"/>
      <c r="DR803" s="1340"/>
      <c r="DS803" s="1341"/>
      <c r="DT803" s="6"/>
      <c r="DU803" s="1339">
        <f t="shared" si="49"/>
        <v>0</v>
      </c>
      <c r="DV803" s="1340"/>
      <c r="DW803" s="1340"/>
      <c r="DX803" s="1340"/>
      <c r="DY803" s="1341"/>
      <c r="DZ803" s="1339">
        <f t="shared" si="50"/>
        <v>0</v>
      </c>
      <c r="EA803" s="1340"/>
      <c r="EB803" s="1340"/>
      <c r="EC803" s="1340"/>
      <c r="ED803" s="1341"/>
      <c r="EE803" s="1339">
        <f t="shared" si="51"/>
        <v>0</v>
      </c>
      <c r="EF803" s="1340"/>
      <c r="EG803" s="1340"/>
      <c r="EH803" s="1340"/>
      <c r="EI803" s="1341"/>
      <c r="EJ803" s="1339">
        <f t="shared" si="52"/>
        <v>0</v>
      </c>
      <c r="EK803" s="1340"/>
      <c r="EL803" s="1340"/>
      <c r="EM803" s="1340"/>
      <c r="EN803" s="1341"/>
      <c r="EO803" s="1339">
        <f t="shared" si="53"/>
        <v>0</v>
      </c>
      <c r="EP803" s="1340"/>
      <c r="EQ803" s="1340"/>
      <c r="ER803" s="1340"/>
      <c r="ES803" s="1341"/>
      <c r="ET803" s="1339">
        <f t="shared" si="54"/>
        <v>0</v>
      </c>
      <c r="EU803" s="1340"/>
      <c r="EV803" s="1340"/>
      <c r="EW803" s="1340"/>
      <c r="EX803" s="1341"/>
    </row>
    <row r="804" spans="1:154" s="4" customFormat="1" ht="13" customHeight="1">
      <c r="A804"/>
      <c r="B804"/>
      <c r="C804"/>
      <c r="D804"/>
      <c r="E804"/>
      <c r="F804"/>
      <c r="G804"/>
      <c r="H804"/>
      <c r="I804"/>
      <c r="J804" s="1362"/>
      <c r="K804" s="1363"/>
      <c r="L804" s="1363"/>
      <c r="M804" s="1363"/>
      <c r="N804" s="1364"/>
      <c r="O804" s="1484"/>
      <c r="P804" s="1484"/>
      <c r="Q804" s="1484"/>
      <c r="R804" s="1484"/>
      <c r="S804" s="1484"/>
      <c r="T804" s="1599"/>
      <c r="U804" s="1600"/>
      <c r="V804" s="1600"/>
      <c r="W804" s="1601"/>
      <c r="X804" s="1378"/>
      <c r="Y804" s="1379"/>
      <c r="Z804" s="1379"/>
      <c r="AA804" s="1379"/>
      <c r="AB804" s="1380"/>
      <c r="AC804" s="1365">
        <f t="shared" si="42"/>
        <v>0</v>
      </c>
      <c r="AD804" s="1366"/>
      <c r="AE804" s="1366"/>
      <c r="AF804" s="1366"/>
      <c r="AG804" s="1367"/>
      <c r="AH804"/>
      <c r="AI804"/>
      <c r="AJ804"/>
      <c r="AK804"/>
      <c r="AL804"/>
      <c r="AM804"/>
      <c r="AN804"/>
      <c r="AO804"/>
      <c r="AP804"/>
      <c r="AQ804"/>
      <c r="AR804"/>
      <c r="AS804"/>
      <c r="AT804"/>
      <c r="AU804"/>
      <c r="AV804"/>
      <c r="AW804"/>
      <c r="AX804"/>
      <c r="AY804"/>
      <c r="AZ804" s="3"/>
      <c r="CP804" s="1339">
        <f t="shared" si="43"/>
        <v>0</v>
      </c>
      <c r="CQ804" s="1340"/>
      <c r="CR804" s="1340"/>
      <c r="CS804" s="1340"/>
      <c r="CT804" s="1341"/>
      <c r="CU804" s="1339">
        <f t="shared" si="44"/>
        <v>0</v>
      </c>
      <c r="CV804" s="1340"/>
      <c r="CW804" s="1340"/>
      <c r="CX804" s="1340"/>
      <c r="CY804" s="1341"/>
      <c r="CZ804" s="1339">
        <f t="shared" si="45"/>
        <v>0</v>
      </c>
      <c r="DA804" s="1340"/>
      <c r="DB804" s="1340"/>
      <c r="DC804" s="1340"/>
      <c r="DD804" s="1341"/>
      <c r="DE804" s="1339">
        <f t="shared" si="46"/>
        <v>0</v>
      </c>
      <c r="DF804" s="1340"/>
      <c r="DG804" s="1340"/>
      <c r="DH804" s="1340"/>
      <c r="DI804" s="1341"/>
      <c r="DJ804" s="1339">
        <f t="shared" si="47"/>
        <v>0</v>
      </c>
      <c r="DK804" s="1340"/>
      <c r="DL804" s="1340"/>
      <c r="DM804" s="1340"/>
      <c r="DN804" s="1341"/>
      <c r="DO804" s="1339">
        <f t="shared" si="48"/>
        <v>0</v>
      </c>
      <c r="DP804" s="1340"/>
      <c r="DQ804" s="1340"/>
      <c r="DR804" s="1340"/>
      <c r="DS804" s="1341"/>
      <c r="DT804" s="6"/>
      <c r="DU804" s="1339">
        <f t="shared" si="49"/>
        <v>0</v>
      </c>
      <c r="DV804" s="1340"/>
      <c r="DW804" s="1340"/>
      <c r="DX804" s="1340"/>
      <c r="DY804" s="1341"/>
      <c r="DZ804" s="1339">
        <f t="shared" si="50"/>
        <v>0</v>
      </c>
      <c r="EA804" s="1340"/>
      <c r="EB804" s="1340"/>
      <c r="EC804" s="1340"/>
      <c r="ED804" s="1341"/>
      <c r="EE804" s="1339">
        <f t="shared" si="51"/>
        <v>0</v>
      </c>
      <c r="EF804" s="1340"/>
      <c r="EG804" s="1340"/>
      <c r="EH804" s="1340"/>
      <c r="EI804" s="1341"/>
      <c r="EJ804" s="1339">
        <f t="shared" si="52"/>
        <v>0</v>
      </c>
      <c r="EK804" s="1340"/>
      <c r="EL804" s="1340"/>
      <c r="EM804" s="1340"/>
      <c r="EN804" s="1341"/>
      <c r="EO804" s="1339">
        <f t="shared" si="53"/>
        <v>0</v>
      </c>
      <c r="EP804" s="1340"/>
      <c r="EQ804" s="1340"/>
      <c r="ER804" s="1340"/>
      <c r="ES804" s="1341"/>
      <c r="ET804" s="1339">
        <f t="shared" si="54"/>
        <v>0</v>
      </c>
      <c r="EU804" s="1340"/>
      <c r="EV804" s="1340"/>
      <c r="EW804" s="1340"/>
      <c r="EX804" s="1341"/>
    </row>
    <row r="805" spans="1:154" s="4" customFormat="1" ht="13" customHeight="1">
      <c r="A805"/>
      <c r="B805"/>
      <c r="C805"/>
      <c r="D805"/>
      <c r="E805"/>
      <c r="F805"/>
      <c r="G805"/>
      <c r="H805"/>
      <c r="I805"/>
      <c r="J805" s="1402" t="s">
        <v>125</v>
      </c>
      <c r="K805" s="1403"/>
      <c r="L805" s="1403"/>
      <c r="M805" s="1403"/>
      <c r="N805" s="1405"/>
      <c r="O805" s="1610">
        <f>SUM(O795:S804)</f>
        <v>0</v>
      </c>
      <c r="P805" s="1610"/>
      <c r="Q805" s="1610"/>
      <c r="R805" s="1610"/>
      <c r="S805" s="1610"/>
      <c r="T805"/>
      <c r="U805"/>
      <c r="V805"/>
      <c r="W805"/>
      <c r="X805" s="898" t="s">
        <v>124</v>
      </c>
      <c r="Y805" s="11"/>
      <c r="Z805" s="11"/>
      <c r="AA805" s="11"/>
      <c r="AB805" s="905"/>
      <c r="AC805" s="1365">
        <f>SUM(AC795:AG804)</f>
        <v>0</v>
      </c>
      <c r="AD805" s="1366"/>
      <c r="AE805" s="1366"/>
      <c r="AF805" s="1366"/>
      <c r="AG805" s="1367"/>
      <c r="AH805"/>
      <c r="AI805"/>
      <c r="AJ805"/>
      <c r="AK805"/>
      <c r="AL805"/>
      <c r="AM805"/>
      <c r="AN805"/>
      <c r="AO805"/>
      <c r="AP805"/>
      <c r="AQ805"/>
      <c r="AR805"/>
      <c r="AS805"/>
      <c r="AT805"/>
      <c r="AU805"/>
      <c r="AV805"/>
      <c r="AW805"/>
      <c r="AX805"/>
      <c r="AY805"/>
      <c r="AZ805" s="3"/>
      <c r="BA805"/>
      <c r="CP805" s="1342">
        <f>SUM(CP795:CT804)</f>
        <v>0</v>
      </c>
      <c r="CQ805" s="1343"/>
      <c r="CR805" s="1343"/>
      <c r="CS805" s="1343"/>
      <c r="CT805" s="1344"/>
      <c r="CU805" s="1355">
        <f>SUM(CU795:CY804)</f>
        <v>0</v>
      </c>
      <c r="CV805" s="1356"/>
      <c r="CW805" s="1356"/>
      <c r="CX805" s="1356"/>
      <c r="CY805" s="1357"/>
      <c r="CZ805" s="1355">
        <f>SUM(CZ795:DD804)</f>
        <v>0</v>
      </c>
      <c r="DA805" s="1356"/>
      <c r="DB805" s="1356"/>
      <c r="DC805" s="1356"/>
      <c r="DD805" s="1357"/>
      <c r="DE805" s="1355">
        <f>SUM(DE795:DI804)</f>
        <v>0</v>
      </c>
      <c r="DF805" s="1356"/>
      <c r="DG805" s="1356"/>
      <c r="DH805" s="1356"/>
      <c r="DI805" s="1357"/>
      <c r="DJ805" s="1355">
        <f>SUM(DJ795:DN804)</f>
        <v>0</v>
      </c>
      <c r="DK805" s="1356"/>
      <c r="DL805" s="1356"/>
      <c r="DM805" s="1356"/>
      <c r="DN805" s="1357"/>
      <c r="DO805" s="1355">
        <f>SUM(DO795:DS804)</f>
        <v>0</v>
      </c>
      <c r="DP805" s="1356"/>
      <c r="DQ805" s="1356"/>
      <c r="DR805" s="1356"/>
      <c r="DS805" s="1357"/>
      <c r="DT805" s="1007"/>
      <c r="DU805" s="1342">
        <f>SUM(DU795:DY804)</f>
        <v>0</v>
      </c>
      <c r="DV805" s="1343"/>
      <c r="DW805" s="1343"/>
      <c r="DX805" s="1343"/>
      <c r="DY805" s="1344"/>
      <c r="DZ805" s="1342">
        <f>SUM(DZ795:ED804)</f>
        <v>0</v>
      </c>
      <c r="EA805" s="1343"/>
      <c r="EB805" s="1343"/>
      <c r="EC805" s="1343"/>
      <c r="ED805" s="1344"/>
      <c r="EE805" s="1342">
        <f>SUM(EE795:EI804)</f>
        <v>0</v>
      </c>
      <c r="EF805" s="1343"/>
      <c r="EG805" s="1343"/>
      <c r="EH805" s="1343"/>
      <c r="EI805" s="1344"/>
      <c r="EJ805" s="1342">
        <f>SUM(EJ795:EN804)</f>
        <v>0</v>
      </c>
      <c r="EK805" s="1343"/>
      <c r="EL805" s="1343"/>
      <c r="EM805" s="1343"/>
      <c r="EN805" s="1344"/>
      <c r="EO805" s="1342">
        <f>SUM(EO795:ES804)</f>
        <v>0</v>
      </c>
      <c r="EP805" s="1343"/>
      <c r="EQ805" s="1343"/>
      <c r="ER805" s="1343"/>
      <c r="ES805" s="1344"/>
      <c r="ET805" s="1342">
        <f>SUM(ET795:EX804)</f>
        <v>0</v>
      </c>
      <c r="EU805" s="1343"/>
      <c r="EV805" s="1343"/>
      <c r="EW805" s="1343"/>
      <c r="EX805" s="1344"/>
    </row>
    <row r="806" spans="1:154" s="4" customFormat="1" ht="13" customHeight="1">
      <c r="A806"/>
      <c r="B806"/>
      <c r="C806" s="1624" t="str">
        <f>IF(O805&lt;&gt;AG447,"! Total market rate units in the Unit Mix Table above does not match the number of  market rate units on row #"&amp;TEXT(ROW(D447),"#"),"")</f>
        <v/>
      </c>
      <c r="D806" s="1624"/>
      <c r="E806" s="1624"/>
      <c r="F806" s="1624"/>
      <c r="G806" s="1624"/>
      <c r="H806" s="1624"/>
      <c r="I806" s="1624"/>
      <c r="J806" s="1624"/>
      <c r="K806" s="1624"/>
      <c r="L806" s="1624"/>
      <c r="M806" s="1624"/>
      <c r="N806" s="1624"/>
      <c r="O806" s="1624"/>
      <c r="P806" s="1624"/>
      <c r="Q806" s="1624"/>
      <c r="R806" s="1624"/>
      <c r="S806" s="1624"/>
      <c r="T806" s="1624"/>
      <c r="U806" s="1624"/>
      <c r="V806" s="1624"/>
      <c r="W806" s="1624"/>
      <c r="X806" s="1624"/>
      <c r="Y806" s="1624"/>
      <c r="Z806" s="1624"/>
      <c r="AA806" s="1624"/>
      <c r="AB806" s="1624"/>
      <c r="AC806" s="1624"/>
      <c r="AD806" s="1624"/>
      <c r="AE806" s="1624"/>
      <c r="AF806" s="1624"/>
      <c r="AG806" s="1624"/>
      <c r="AH806" s="1624"/>
      <c r="AI806" s="1624"/>
      <c r="AJ806" s="1624"/>
      <c r="AK806" s="1624"/>
      <c r="AL806" s="1624"/>
      <c r="AM806" s="1624"/>
      <c r="AN806" s="1624"/>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 customHeight="1">
      <c r="A807"/>
      <c r="B807"/>
      <c r="C807" s="1624"/>
      <c r="D807" s="1624"/>
      <c r="E807" s="1624"/>
      <c r="F807" s="1624"/>
      <c r="G807" s="1624"/>
      <c r="H807" s="1624"/>
      <c r="I807" s="1624"/>
      <c r="J807" s="1624"/>
      <c r="K807" s="1624"/>
      <c r="L807" s="1624"/>
      <c r="M807" s="1624"/>
      <c r="N807" s="1624"/>
      <c r="O807" s="1624"/>
      <c r="P807" s="1624"/>
      <c r="Q807" s="1624"/>
      <c r="R807" s="1624"/>
      <c r="S807" s="1624"/>
      <c r="T807" s="1624"/>
      <c r="U807" s="1624"/>
      <c r="V807" s="1624"/>
      <c r="W807" s="1624"/>
      <c r="X807" s="1624"/>
      <c r="Y807" s="1624"/>
      <c r="Z807" s="1624"/>
      <c r="AA807" s="1624"/>
      <c r="AB807" s="1624"/>
      <c r="AC807" s="1624"/>
      <c r="AD807" s="1624"/>
      <c r="AE807" s="1624"/>
      <c r="AF807" s="1624"/>
      <c r="AG807" s="1624"/>
      <c r="AH807" s="1624"/>
      <c r="AI807" s="1624"/>
      <c r="AJ807" s="1624"/>
      <c r="AK807" s="1624"/>
      <c r="AL807" s="1624"/>
      <c r="AM807" s="1624"/>
      <c r="AN807" s="1624"/>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1831</v>
      </c>
      <c r="DW807" s="3"/>
      <c r="DX807" s="3"/>
      <c r="DY807" s="3"/>
      <c r="DZ807" s="3"/>
      <c r="EA807" s="3"/>
      <c r="EB807" s="3"/>
      <c r="EC807" s="3"/>
      <c r="ED807" s="3"/>
      <c r="EE807" s="3"/>
      <c r="EF807" s="3"/>
      <c r="EG807" s="3"/>
      <c r="EH807" s="3"/>
      <c r="EI807"/>
      <c r="EJ807"/>
      <c r="EK807"/>
      <c r="EL807"/>
      <c r="EM807"/>
      <c r="EN807"/>
      <c r="EO807"/>
      <c r="EP807"/>
      <c r="EQ807"/>
      <c r="ER807"/>
      <c r="ES807" s="56" t="s">
        <v>1840</v>
      </c>
      <c r="ET807" s="1352">
        <f>SUM(DU805:EX805)</f>
        <v>0</v>
      </c>
      <c r="EU807" s="1353"/>
      <c r="EV807" s="1353"/>
      <c r="EW807" s="1353"/>
      <c r="EX807" s="1354"/>
    </row>
    <row r="808" spans="1:154" s="4" customFormat="1" ht="13" customHeight="1">
      <c r="A808"/>
      <c r="B808"/>
      <c r="C808"/>
      <c r="D808"/>
      <c r="E808"/>
      <c r="F808"/>
      <c r="G808"/>
      <c r="H808"/>
      <c r="I808"/>
      <c r="J808" s="45"/>
      <c r="K808" s="5"/>
      <c r="L808" s="5"/>
      <c r="M808" s="5"/>
      <c r="N808" s="5"/>
      <c r="O808" s="5"/>
      <c r="P808" s="5"/>
      <c r="Q808" s="5"/>
      <c r="R808" s="5"/>
      <c r="S808" s="5"/>
      <c r="T808" s="5"/>
      <c r="U808" s="5"/>
      <c r="V808" s="5"/>
      <c r="W808" s="5"/>
      <c r="X808" s="54" t="s">
        <v>161</v>
      </c>
      <c r="Y808" s="1604">
        <f>O761+AC785+AC805</f>
        <v>264110</v>
      </c>
      <c r="Z808" s="1604"/>
      <c r="AA808" s="1604"/>
      <c r="AB808" s="1604"/>
      <c r="AC808" s="1604"/>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1617</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04">
        <f>(O761+AC785+AC805)*12</f>
        <v>3169320</v>
      </c>
      <c r="Z809" s="1604"/>
      <c r="AA809" s="1604"/>
      <c r="AB809" s="1604"/>
      <c r="AC809" s="1604"/>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3"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355">
        <f>CP761+CP785+CP805</f>
        <v>0</v>
      </c>
      <c r="CQ810" s="1356"/>
      <c r="CR810" s="1356"/>
      <c r="CS810" s="1356"/>
      <c r="CT810" s="1357"/>
      <c r="CU810" s="1355">
        <f>CU761+CU785+CU805</f>
        <v>46</v>
      </c>
      <c r="CV810" s="1356"/>
      <c r="CW810" s="1356"/>
      <c r="CX810" s="1356"/>
      <c r="CY810" s="1357"/>
      <c r="CZ810" s="1355">
        <f>CZ761+CZ785+CZ805</f>
        <v>42</v>
      </c>
      <c r="DA810" s="1356"/>
      <c r="DB810" s="1356"/>
      <c r="DC810" s="1356"/>
      <c r="DD810" s="1357"/>
      <c r="DE810" s="1355">
        <f>DE761+DE785+DE805</f>
        <v>43</v>
      </c>
      <c r="DF810" s="1356"/>
      <c r="DG810" s="1356"/>
      <c r="DH810" s="1356"/>
      <c r="DI810" s="1357"/>
      <c r="DJ810" s="1355">
        <f>DJ761+DJ785+DJ805</f>
        <v>0</v>
      </c>
      <c r="DK810" s="1356"/>
      <c r="DL810" s="1356"/>
      <c r="DM810" s="1356"/>
      <c r="DN810" s="1357"/>
      <c r="DO810" s="1358">
        <f>DO805+DO785+DO761</f>
        <v>0</v>
      </c>
      <c r="DP810" s="1359"/>
      <c r="DQ810" s="1359"/>
      <c r="DR810" s="1359"/>
      <c r="DS810" s="1360"/>
      <c r="DT810" s="3"/>
      <c r="DU810" s="857">
        <f>DU763+DU808</f>
        <v>256</v>
      </c>
      <c r="DV810" s="57" t="s">
        <v>1836</v>
      </c>
    </row>
    <row r="811" spans="1:154" s="4" customFormat="1" ht="13"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3" customHeight="1">
      <c r="A812" s="2"/>
      <c r="B812" s="2"/>
      <c r="C812" s="2" t="s">
        <v>915</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3"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3" customHeight="1">
      <c r="A814"/>
      <c r="B814"/>
      <c r="C814"/>
      <c r="D814"/>
      <c r="E814"/>
      <c r="F814"/>
      <c r="G814"/>
      <c r="H814" s="45" t="s">
        <v>356</v>
      </c>
      <c r="I814" s="5"/>
      <c r="J814" s="5"/>
      <c r="K814" s="5"/>
      <c r="L814" s="5"/>
      <c r="M814" s="5"/>
      <c r="N814" s="5"/>
      <c r="O814" s="5"/>
      <c r="P814" s="5"/>
      <c r="Q814" s="5"/>
      <c r="R814" s="5"/>
      <c r="S814" s="5"/>
      <c r="T814" s="5"/>
      <c r="U814" s="5"/>
      <c r="V814" s="5"/>
      <c r="W814" s="5"/>
      <c r="X814" s="5"/>
      <c r="Y814" s="5"/>
      <c r="Z814" s="1611"/>
      <c r="AA814" s="1612"/>
      <c r="AB814" s="1612"/>
      <c r="AC814" s="1612"/>
      <c r="AD814" s="1612"/>
      <c r="AE814" s="1613"/>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3" customHeight="1">
      <c r="A815"/>
      <c r="B815"/>
      <c r="C815"/>
      <c r="D815"/>
      <c r="E815"/>
      <c r="F815"/>
      <c r="G815"/>
      <c r="H815" s="45" t="s">
        <v>357</v>
      </c>
      <c r="I815" s="5"/>
      <c r="J815" s="5"/>
      <c r="K815" s="5"/>
      <c r="L815" s="5"/>
      <c r="M815" s="5"/>
      <c r="N815" s="5"/>
      <c r="O815" s="5"/>
      <c r="P815" s="5"/>
      <c r="Q815" s="5"/>
      <c r="R815" s="5"/>
      <c r="S815" s="5"/>
      <c r="T815" s="5"/>
      <c r="U815" s="5"/>
      <c r="V815" s="5"/>
      <c r="W815" s="5"/>
      <c r="X815" s="5"/>
      <c r="Y815" s="5"/>
      <c r="Z815" s="1618"/>
      <c r="AA815" s="1612"/>
      <c r="AB815" s="1612"/>
      <c r="AC815" s="1612"/>
      <c r="AD815" s="1612"/>
      <c r="AE815" s="1613"/>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3"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19">
        <v>0</v>
      </c>
      <c r="AA816" s="1526"/>
      <c r="AB816" s="1526"/>
      <c r="AC816" s="1526"/>
      <c r="AD816" s="1526"/>
      <c r="AE816" s="1620"/>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71">
        <f>'Subsidy Contract Calculation'!J40</f>
        <v>0</v>
      </c>
      <c r="AA817" s="1472"/>
      <c r="AB817" s="1472"/>
      <c r="AC817" s="1472"/>
      <c r="AD817" s="1472"/>
      <c r="AE817" s="1473"/>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s="2" t="s">
        <v>589</v>
      </c>
      <c r="B819" s="2"/>
      <c r="C819" s="2" t="s">
        <v>287</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74">
        <v>13100</v>
      </c>
      <c r="AA821" s="1345"/>
      <c r="AB821" s="1345"/>
      <c r="AC821" s="1345"/>
      <c r="AD821" s="1345"/>
      <c r="AE821" s="1346"/>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74">
        <v>6550</v>
      </c>
      <c r="AA822" s="1345"/>
      <c r="AB822" s="1345"/>
      <c r="AC822" s="1345"/>
      <c r="AD822" s="1345"/>
      <c r="AE822" s="1346"/>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3"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74"/>
      <c r="AA823" s="1345"/>
      <c r="AB823" s="1345"/>
      <c r="AC823" s="1345"/>
      <c r="AD823" s="1345"/>
      <c r="AE823" s="1346"/>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3" customHeight="1">
      <c r="A824"/>
      <c r="B824"/>
      <c r="C824"/>
      <c r="D824"/>
      <c r="E824"/>
      <c r="F824"/>
      <c r="G824"/>
      <c r="H824" s="45" t="s">
        <v>39</v>
      </c>
      <c r="I824" s="5"/>
      <c r="J824" s="5"/>
      <c r="K824" s="5"/>
      <c r="L824" s="5"/>
      <c r="M824" s="5"/>
      <c r="N824" s="5"/>
      <c r="O824" s="5"/>
      <c r="P824" s="1621" t="s">
        <v>333</v>
      </c>
      <c r="Q824" s="1622"/>
      <c r="R824" s="1622"/>
      <c r="S824" s="1622"/>
      <c r="T824" s="1622"/>
      <c r="U824" s="1622"/>
      <c r="V824" s="1622"/>
      <c r="W824" s="1622"/>
      <c r="X824" s="1622"/>
      <c r="Y824" s="1623"/>
      <c r="Z824" s="1474"/>
      <c r="AA824" s="1345"/>
      <c r="AB824" s="1345"/>
      <c r="AC824" s="1345"/>
      <c r="AD824" s="1345"/>
      <c r="AE824" s="1346"/>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3"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71">
        <f>SUM(Z821:AE824)</f>
        <v>19650</v>
      </c>
      <c r="AA825" s="1472"/>
      <c r="AB825" s="1472"/>
      <c r="AC825" s="1472"/>
      <c r="AD825" s="1472"/>
      <c r="AE825" s="1473"/>
      <c r="AF825"/>
      <c r="AG825"/>
      <c r="AH825"/>
      <c r="AI825"/>
      <c r="AJ825"/>
      <c r="AK825"/>
      <c r="AL825"/>
      <c r="AM825"/>
      <c r="AN825"/>
      <c r="AO825"/>
      <c r="AP825"/>
      <c r="AQ825"/>
      <c r="AR825"/>
      <c r="AS825"/>
      <c r="AT825"/>
      <c r="AU825" s="3"/>
      <c r="AV825"/>
      <c r="AW825"/>
      <c r="AX825"/>
      <c r="AY825"/>
      <c r="AZ825" s="30"/>
      <c r="BA825" s="30"/>
      <c r="BB825" s="14"/>
      <c r="BC825" s="14"/>
    </row>
    <row r="826" spans="1:110" s="4" customFormat="1" ht="13" customHeight="1">
      <c r="A826"/>
      <c r="B826"/>
      <c r="C826"/>
      <c r="D826"/>
      <c r="E826"/>
      <c r="F826"/>
      <c r="G826"/>
      <c r="H826" s="45"/>
      <c r="I826" s="5"/>
      <c r="J826" s="5"/>
      <c r="K826" s="5"/>
      <c r="L826" s="5"/>
      <c r="M826" s="5"/>
      <c r="N826" s="5"/>
      <c r="O826" s="5"/>
      <c r="P826" s="5"/>
      <c r="Q826" s="5"/>
      <c r="R826" s="5"/>
      <c r="S826" s="5"/>
      <c r="T826" s="5"/>
      <c r="U826" s="5"/>
      <c r="V826" s="5"/>
      <c r="W826" s="5"/>
      <c r="X826" s="5"/>
      <c r="Y826" s="53" t="s">
        <v>643</v>
      </c>
      <c r="Z826" s="1471">
        <f>Z825+Y809+Z817</f>
        <v>3188970</v>
      </c>
      <c r="AA826" s="1472"/>
      <c r="AB826" s="1472"/>
      <c r="AC826" s="1472"/>
      <c r="AD826" s="1472"/>
      <c r="AE826" s="1473"/>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3"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3" customHeight="1">
      <c r="A828" s="2" t="s">
        <v>591</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3" customHeight="1">
      <c r="A829"/>
      <c r="B829"/>
      <c r="C829" s="22" t="s">
        <v>816</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3"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3" customHeight="1">
      <c r="A831"/>
      <c r="B831"/>
      <c r="C831" s="41"/>
      <c r="D831" s="42"/>
      <c r="E831" s="42"/>
      <c r="F831" s="42"/>
      <c r="G831" s="42"/>
      <c r="H831" s="42"/>
      <c r="I831" s="42"/>
      <c r="J831" s="42"/>
      <c r="K831" s="42"/>
      <c r="L831" s="58"/>
      <c r="M831" s="1697" t="s">
        <v>126</v>
      </c>
      <c r="N831" s="1697"/>
      <c r="O831" s="1697"/>
      <c r="P831" s="1698"/>
      <c r="Q831" s="1617" t="s">
        <v>289</v>
      </c>
      <c r="R831" s="1617"/>
      <c r="S831" s="1617"/>
      <c r="T831" s="1617"/>
      <c r="U831" s="1617" t="s">
        <v>290</v>
      </c>
      <c r="V831" s="1617"/>
      <c r="W831" s="1617"/>
      <c r="X831" s="1617"/>
      <c r="Y831" s="1617" t="s">
        <v>291</v>
      </c>
      <c r="Z831" s="1617"/>
      <c r="AA831" s="1617"/>
      <c r="AB831" s="1617"/>
      <c r="AC831" s="1617" t="s">
        <v>360</v>
      </c>
      <c r="AD831" s="1617"/>
      <c r="AE831" s="1617"/>
      <c r="AF831" s="1617"/>
      <c r="AG831" s="1602" t="s">
        <v>334</v>
      </c>
      <c r="AH831" s="1602"/>
      <c r="AI831" s="1602"/>
      <c r="AJ831" s="1602"/>
      <c r="AK831"/>
      <c r="AL831" s="3"/>
      <c r="AM831" s="3"/>
      <c r="AN831" s="3"/>
      <c r="AO831" s="3"/>
      <c r="AP831" s="3"/>
      <c r="AQ831" s="3"/>
      <c r="AR831" s="3"/>
      <c r="AS831" s="3"/>
      <c r="AT831" s="3"/>
      <c r="AU831" s="3"/>
      <c r="AV831" s="3"/>
      <c r="AW831" s="3"/>
      <c r="AX831" s="3"/>
      <c r="AY831" s="3"/>
      <c r="AZ831" s="30"/>
      <c r="BA831" s="30"/>
      <c r="BB831" s="14"/>
      <c r="BC831" s="14"/>
    </row>
    <row r="832" spans="1:110" s="14" customFormat="1" ht="13" customHeight="1">
      <c r="A832"/>
      <c r="B832"/>
      <c r="C832" s="47"/>
      <c r="D832" s="48"/>
      <c r="E832" s="48"/>
      <c r="F832" s="48"/>
      <c r="G832" s="48"/>
      <c r="H832" s="48"/>
      <c r="I832" s="48"/>
      <c r="J832" s="48"/>
      <c r="K832" s="48"/>
      <c r="L832" s="49"/>
      <c r="M832" s="1699"/>
      <c r="N832" s="1699"/>
      <c r="O832" s="1699"/>
      <c r="P832" s="1700"/>
      <c r="Q832" s="1617"/>
      <c r="R832" s="1617"/>
      <c r="S832" s="1617"/>
      <c r="T832" s="1617"/>
      <c r="U832" s="1617"/>
      <c r="V832" s="1617"/>
      <c r="W832" s="1617"/>
      <c r="X832" s="1617"/>
      <c r="Y832" s="1617"/>
      <c r="Z832" s="1617"/>
      <c r="AA832" s="1617"/>
      <c r="AB832" s="1617"/>
      <c r="AC832" s="1617"/>
      <c r="AD832" s="1617"/>
      <c r="AE832" s="1617"/>
      <c r="AF832" s="1617"/>
      <c r="AG832" s="1602"/>
      <c r="AH832" s="1602"/>
      <c r="AI832" s="1602"/>
      <c r="AJ832" s="1602"/>
      <c r="AK832"/>
      <c r="AL832" s="3"/>
      <c r="AM832" s="3"/>
      <c r="AN832" s="3"/>
      <c r="AO832" s="3"/>
      <c r="AP832" s="3"/>
      <c r="AQ832" s="3"/>
      <c r="AR832" s="3"/>
      <c r="AS832" s="3"/>
      <c r="AT832" s="3"/>
      <c r="AU832"/>
      <c r="AV832" s="3"/>
      <c r="AW832" s="3"/>
      <c r="AX832" s="3"/>
      <c r="AY832" s="3"/>
      <c r="AZ832" s="30"/>
      <c r="BA832" s="30"/>
    </row>
    <row r="833" spans="1:53" s="14" customFormat="1" ht="13" customHeight="1">
      <c r="A833"/>
      <c r="B833"/>
      <c r="C833" s="1608" t="s">
        <v>40</v>
      </c>
      <c r="D833" s="1479"/>
      <c r="E833" s="1479"/>
      <c r="F833" s="1479"/>
      <c r="G833" s="1479"/>
      <c r="H833" s="1479"/>
      <c r="I833" s="48"/>
      <c r="J833" s="48"/>
      <c r="K833" s="48"/>
      <c r="L833" s="49"/>
      <c r="M833" s="1597"/>
      <c r="N833" s="1597"/>
      <c r="O833" s="1597"/>
      <c r="P833" s="1597"/>
      <c r="Q833" s="1597"/>
      <c r="R833" s="1597"/>
      <c r="S833" s="1597"/>
      <c r="T833" s="1597"/>
      <c r="U833" s="1597"/>
      <c r="V833" s="1597"/>
      <c r="W833" s="1597"/>
      <c r="X833" s="1597"/>
      <c r="Y833" s="1597"/>
      <c r="Z833" s="1597"/>
      <c r="AA833" s="1597"/>
      <c r="AB833" s="1597"/>
      <c r="AC833" s="1510"/>
      <c r="AD833" s="1511"/>
      <c r="AE833" s="1511"/>
      <c r="AF833" s="1512"/>
      <c r="AG833" s="1510"/>
      <c r="AH833" s="1511"/>
      <c r="AI833" s="1511"/>
      <c r="AJ833" s="1512"/>
      <c r="AK833"/>
      <c r="AL833" s="3"/>
      <c r="AM833" s="3"/>
      <c r="AN833" s="3"/>
      <c r="AO833" s="3"/>
      <c r="AP833" s="3"/>
      <c r="AQ833" s="3"/>
      <c r="AR833" s="3"/>
      <c r="AS833" s="3"/>
      <c r="AT833" s="3"/>
      <c r="AU833"/>
      <c r="AV833" s="3"/>
      <c r="AW833" s="3"/>
      <c r="AX833" s="3"/>
      <c r="AY833" s="3"/>
      <c r="AZ833" s="30"/>
      <c r="BA833" s="30"/>
    </row>
    <row r="834" spans="1:53" s="14" customFormat="1" ht="13" customHeight="1">
      <c r="A834"/>
      <c r="B834"/>
      <c r="C834" s="1497" t="s">
        <v>41</v>
      </c>
      <c r="D834" s="1487"/>
      <c r="E834" s="1487"/>
      <c r="F834" s="1487"/>
      <c r="G834" s="1487"/>
      <c r="H834" s="1487"/>
      <c r="I834" s="5"/>
      <c r="J834" s="5"/>
      <c r="K834" s="5"/>
      <c r="L834" s="46"/>
      <c r="M834" s="1597"/>
      <c r="N834" s="1597"/>
      <c r="O834" s="1597"/>
      <c r="P834" s="1597"/>
      <c r="Q834" s="1597"/>
      <c r="R834" s="1597"/>
      <c r="S834" s="1597"/>
      <c r="T834" s="1597"/>
      <c r="U834" s="1597"/>
      <c r="V834" s="1597"/>
      <c r="W834" s="1597"/>
      <c r="X834" s="1597"/>
      <c r="Y834" s="1597"/>
      <c r="Z834" s="1597"/>
      <c r="AA834" s="1597"/>
      <c r="AB834" s="1597"/>
      <c r="AC834" s="1510"/>
      <c r="AD834" s="1511"/>
      <c r="AE834" s="1511"/>
      <c r="AF834" s="1512"/>
      <c r="AG834" s="1510"/>
      <c r="AH834" s="1511"/>
      <c r="AI834" s="1511"/>
      <c r="AJ834" s="1512"/>
      <c r="AK834"/>
      <c r="AL834" s="3"/>
      <c r="AM834" s="3"/>
      <c r="AN834" s="3"/>
      <c r="AO834" s="3"/>
      <c r="AP834" s="3"/>
      <c r="AQ834" s="3"/>
      <c r="AR834" s="3"/>
      <c r="AS834" s="3"/>
      <c r="AT834" s="3"/>
      <c r="AU834"/>
      <c r="AV834" s="3"/>
      <c r="AW834" s="3"/>
      <c r="AX834" s="3"/>
      <c r="AY834" s="3"/>
      <c r="AZ834" s="30"/>
      <c r="BA834" s="30"/>
    </row>
    <row r="835" spans="1:53" s="14" customFormat="1" ht="13" customHeight="1">
      <c r="A835"/>
      <c r="B835"/>
      <c r="C835" s="1497" t="s">
        <v>42</v>
      </c>
      <c r="D835" s="1487"/>
      <c r="E835" s="1487"/>
      <c r="F835" s="1487"/>
      <c r="G835" s="1487"/>
      <c r="H835" s="1487"/>
      <c r="I835" s="60"/>
      <c r="J835" s="60"/>
      <c r="K835" s="60"/>
      <c r="L835" s="61"/>
      <c r="M835" s="1597"/>
      <c r="N835" s="1597"/>
      <c r="O835" s="1597"/>
      <c r="P835" s="1597"/>
      <c r="Q835" s="1597"/>
      <c r="R835" s="1597"/>
      <c r="S835" s="1597"/>
      <c r="T835" s="1597"/>
      <c r="U835" s="1597"/>
      <c r="V835" s="1597"/>
      <c r="W835" s="1597"/>
      <c r="X835" s="1597"/>
      <c r="Y835" s="1597"/>
      <c r="Z835" s="1597"/>
      <c r="AA835" s="1597"/>
      <c r="AB835" s="1597"/>
      <c r="AC835" s="1510"/>
      <c r="AD835" s="1511"/>
      <c r="AE835" s="1511"/>
      <c r="AF835" s="1512"/>
      <c r="AG835" s="1510"/>
      <c r="AH835" s="1511"/>
      <c r="AI835" s="1511"/>
      <c r="AJ835" s="1512"/>
      <c r="AK835"/>
      <c r="AL835" s="3"/>
      <c r="AM835" s="3"/>
      <c r="AN835" s="3"/>
      <c r="AO835" s="3"/>
      <c r="AP835" s="3"/>
      <c r="AQ835" s="3"/>
      <c r="AR835" s="3"/>
      <c r="AS835" s="3"/>
      <c r="AT835" s="3"/>
      <c r="AU835"/>
      <c r="AV835" s="3"/>
      <c r="AW835" s="3"/>
      <c r="AX835" s="3"/>
      <c r="AY835" s="3"/>
      <c r="AZ835" s="30"/>
      <c r="BA835" s="30"/>
    </row>
    <row r="836" spans="1:53" s="14" customFormat="1" ht="13" customHeight="1">
      <c r="A836"/>
      <c r="B836"/>
      <c r="C836" s="1497" t="s">
        <v>761</v>
      </c>
      <c r="D836" s="1487"/>
      <c r="E836" s="1487"/>
      <c r="F836" s="1487"/>
      <c r="G836" s="1487"/>
      <c r="H836" s="1487"/>
      <c r="I836" s="60"/>
      <c r="J836" s="60"/>
      <c r="K836" s="60"/>
      <c r="L836" s="61"/>
      <c r="M836" s="1597"/>
      <c r="N836" s="1597"/>
      <c r="O836" s="1597"/>
      <c r="P836" s="1597"/>
      <c r="Q836" s="1597"/>
      <c r="R836" s="1597"/>
      <c r="S836" s="1597"/>
      <c r="T836" s="1597"/>
      <c r="U836" s="1597"/>
      <c r="V836" s="1597"/>
      <c r="W836" s="1597"/>
      <c r="X836" s="1597"/>
      <c r="Y836" s="1597"/>
      <c r="Z836" s="1597"/>
      <c r="AA836" s="1597"/>
      <c r="AB836" s="1597"/>
      <c r="AC836" s="1510"/>
      <c r="AD836" s="1511"/>
      <c r="AE836" s="1511"/>
      <c r="AF836" s="1512"/>
      <c r="AG836" s="1510"/>
      <c r="AH836" s="1511"/>
      <c r="AI836" s="1511"/>
      <c r="AJ836" s="1512"/>
      <c r="AK836"/>
      <c r="AL836" s="3"/>
      <c r="AM836" s="3"/>
      <c r="AN836" s="3"/>
      <c r="AO836" s="3"/>
      <c r="AP836" s="3"/>
      <c r="AQ836" s="3"/>
      <c r="AR836" s="3"/>
      <c r="AS836" s="3"/>
      <c r="AT836" s="3"/>
      <c r="AU836"/>
      <c r="AV836" s="3"/>
      <c r="AW836" s="3"/>
      <c r="AX836" s="3"/>
      <c r="AY836" s="3"/>
      <c r="AZ836" s="30"/>
      <c r="BA836" s="30"/>
    </row>
    <row r="837" spans="1:53" s="14" customFormat="1" ht="13" customHeight="1">
      <c r="A837"/>
      <c r="B837"/>
      <c r="C837" s="1497" t="s">
        <v>458</v>
      </c>
      <c r="D837" s="1487"/>
      <c r="E837" s="1487"/>
      <c r="F837" s="1487"/>
      <c r="G837" s="1487"/>
      <c r="H837" s="1487"/>
      <c r="I837" s="60"/>
      <c r="J837" s="60"/>
      <c r="K837" s="60"/>
      <c r="L837" s="61"/>
      <c r="M837" s="1597"/>
      <c r="N837" s="1597"/>
      <c r="O837" s="1597"/>
      <c r="P837" s="1597"/>
      <c r="Q837" s="1597"/>
      <c r="R837" s="1597"/>
      <c r="S837" s="1597"/>
      <c r="T837" s="1597"/>
      <c r="U837" s="1597"/>
      <c r="V837" s="1597"/>
      <c r="W837" s="1597"/>
      <c r="X837" s="1597"/>
      <c r="Y837" s="1597"/>
      <c r="Z837" s="1597"/>
      <c r="AA837" s="1597"/>
      <c r="AB837" s="1597"/>
      <c r="AC837" s="1510"/>
      <c r="AD837" s="1511"/>
      <c r="AE837" s="1511"/>
      <c r="AF837" s="1512"/>
      <c r="AG837" s="1510"/>
      <c r="AH837" s="1511"/>
      <c r="AI837" s="1511"/>
      <c r="AJ837" s="1512"/>
      <c r="AK837"/>
      <c r="AL837" s="3"/>
      <c r="AM837" s="3"/>
      <c r="AN837" s="3"/>
      <c r="AO837" s="3"/>
      <c r="AP837" s="3"/>
      <c r="AQ837" s="3"/>
      <c r="AR837" s="3"/>
      <c r="AS837" s="3"/>
      <c r="AT837" s="3"/>
      <c r="AU837"/>
      <c r="AV837" s="3"/>
      <c r="AW837" s="3"/>
      <c r="AX837" s="3"/>
      <c r="AY837" s="3"/>
      <c r="AZ837" s="30"/>
      <c r="BA837" s="30"/>
    </row>
    <row r="838" spans="1:53" s="14" customFormat="1" ht="13" customHeight="1">
      <c r="A838"/>
      <c r="B838"/>
      <c r="C838" s="1690" t="s">
        <v>782</v>
      </c>
      <c r="D838" s="1487"/>
      <c r="E838" s="1487"/>
      <c r="F838" s="1487"/>
      <c r="G838" s="1487"/>
      <c r="H838" s="1487"/>
      <c r="I838" s="60"/>
      <c r="J838" s="60"/>
      <c r="K838" s="60"/>
      <c r="L838" s="61"/>
      <c r="M838" s="1597"/>
      <c r="N838" s="1597"/>
      <c r="O838" s="1597"/>
      <c r="P838" s="1597"/>
      <c r="Q838" s="1597"/>
      <c r="R838" s="1597"/>
      <c r="S838" s="1597"/>
      <c r="T838" s="1597"/>
      <c r="U838" s="1597"/>
      <c r="V838" s="1597"/>
      <c r="W838" s="1597"/>
      <c r="X838" s="1597"/>
      <c r="Y838" s="1597"/>
      <c r="Z838" s="1597"/>
      <c r="AA838" s="1597"/>
      <c r="AB838" s="1597"/>
      <c r="AC838" s="1510"/>
      <c r="AD838" s="1511"/>
      <c r="AE838" s="1511"/>
      <c r="AF838" s="1512"/>
      <c r="AG838" s="1510"/>
      <c r="AH838" s="1511"/>
      <c r="AI838" s="1511"/>
      <c r="AJ838" s="1512"/>
      <c r="AK838"/>
      <c r="AL838" s="3"/>
      <c r="AM838" s="3"/>
      <c r="AN838" s="3"/>
      <c r="AO838" s="3"/>
      <c r="AP838" s="3"/>
      <c r="AQ838" s="3"/>
      <c r="AR838" s="3"/>
      <c r="AS838" s="3"/>
      <c r="AT838" s="3"/>
      <c r="AU838"/>
      <c r="AV838" s="3"/>
      <c r="AW838" s="3"/>
      <c r="AX838" s="3"/>
      <c r="AY838" s="3"/>
      <c r="AZ838" s="30"/>
      <c r="BA838" s="30"/>
    </row>
    <row r="839" spans="1:53" s="14" customFormat="1" ht="13" customHeight="1">
      <c r="A839"/>
      <c r="B839"/>
      <c r="C839" s="59" t="s">
        <v>292</v>
      </c>
      <c r="D839" s="60"/>
      <c r="E839" s="60"/>
      <c r="F839" s="1621" t="s">
        <v>2752</v>
      </c>
      <c r="G839" s="1622"/>
      <c r="H839" s="1622"/>
      <c r="I839" s="1622"/>
      <c r="J839" s="1622"/>
      <c r="K839" s="1622"/>
      <c r="L839" s="1622"/>
      <c r="M839" s="1597"/>
      <c r="N839" s="1597"/>
      <c r="O839" s="1597"/>
      <c r="P839" s="1597"/>
      <c r="Q839" s="1597">
        <v>42</v>
      </c>
      <c r="R839" s="1597"/>
      <c r="S839" s="1597"/>
      <c r="T839" s="1597"/>
      <c r="U839" s="1597">
        <v>38</v>
      </c>
      <c r="V839" s="1597"/>
      <c r="W839" s="1597"/>
      <c r="X839" s="1597"/>
      <c r="Y839" s="1597">
        <v>46</v>
      </c>
      <c r="Z839" s="1597"/>
      <c r="AA839" s="1597"/>
      <c r="AB839" s="1597"/>
      <c r="AC839" s="1510"/>
      <c r="AD839" s="1511"/>
      <c r="AE839" s="1511"/>
      <c r="AF839" s="1512"/>
      <c r="AG839" s="1510"/>
      <c r="AH839" s="1511"/>
      <c r="AI839" s="1511"/>
      <c r="AJ839" s="1512"/>
      <c r="AK839"/>
      <c r="AL839" s="3"/>
      <c r="AM839" s="3"/>
      <c r="AN839" s="3"/>
      <c r="AO839" s="3"/>
      <c r="AP839" s="3"/>
      <c r="AQ839" s="3"/>
      <c r="AR839" s="3"/>
      <c r="AS839" s="3"/>
      <c r="AT839" s="3"/>
      <c r="AU839"/>
      <c r="AV839" s="3"/>
      <c r="AW839" s="3"/>
      <c r="AX839" s="3"/>
      <c r="AY839" s="3"/>
      <c r="AZ839" s="30"/>
      <c r="BA839" s="30"/>
    </row>
    <row r="840" spans="1:53" s="14" customFormat="1" ht="13" customHeight="1">
      <c r="A840"/>
      <c r="B840"/>
      <c r="C840" s="1402" t="s">
        <v>124</v>
      </c>
      <c r="D840" s="1403"/>
      <c r="E840" s="1403"/>
      <c r="F840" s="1403"/>
      <c r="G840" s="1403"/>
      <c r="H840" s="1403"/>
      <c r="I840" s="1403"/>
      <c r="J840" s="1403"/>
      <c r="K840" s="1403"/>
      <c r="L840" s="1405"/>
      <c r="M840" s="1683">
        <f>SUM(M833:P839)</f>
        <v>0</v>
      </c>
      <c r="N840" s="1683"/>
      <c r="O840" s="1683"/>
      <c r="P840" s="1683"/>
      <c r="Q840" s="1683">
        <f>SUM(Q833:T839)</f>
        <v>42</v>
      </c>
      <c r="R840" s="1683"/>
      <c r="S840" s="1683"/>
      <c r="T840" s="1683"/>
      <c r="U840" s="1683">
        <f>SUM(U833:X839)</f>
        <v>38</v>
      </c>
      <c r="V840" s="1683"/>
      <c r="W840" s="1683"/>
      <c r="X840" s="1683"/>
      <c r="Y840" s="1683">
        <f>SUM(Y833:AB839)</f>
        <v>46</v>
      </c>
      <c r="Z840" s="1683"/>
      <c r="AA840" s="1683"/>
      <c r="AB840" s="1683"/>
      <c r="AC840" s="1683">
        <f>SUM(AC833:AF839)</f>
        <v>0</v>
      </c>
      <c r="AD840" s="1683"/>
      <c r="AE840" s="1683"/>
      <c r="AF840" s="1683"/>
      <c r="AG840" s="1683">
        <f>SUM(AG833:AJ839)</f>
        <v>0</v>
      </c>
      <c r="AH840" s="1683"/>
      <c r="AI840" s="1683"/>
      <c r="AJ840" s="1683"/>
      <c r="AK840"/>
      <c r="AL840" s="3"/>
      <c r="AM840" s="3"/>
      <c r="AN840" s="3"/>
      <c r="AO840" s="3"/>
      <c r="AP840" s="3"/>
      <c r="AQ840" s="3"/>
      <c r="AR840" s="3"/>
      <c r="AS840" s="3"/>
      <c r="AT840" s="3"/>
      <c r="AU840"/>
      <c r="AV840" s="3"/>
      <c r="AW840" s="3"/>
      <c r="AX840" s="3"/>
      <c r="AY840" s="3"/>
      <c r="AZ840" s="30"/>
      <c r="BA840" s="30"/>
    </row>
    <row r="841" spans="1:53" s="14" customFormat="1" ht="13" customHeight="1">
      <c r="A841"/>
      <c r="B841"/>
      <c r="C841" s="57" t="s">
        <v>783</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3" customHeight="1">
      <c r="A842"/>
      <c r="B842"/>
      <c r="C842" s="57" t="s">
        <v>784</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3"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3"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3" customHeight="1">
      <c r="A845"/>
      <c r="B845"/>
      <c r="C845" s="1656" t="s">
        <v>2752</v>
      </c>
      <c r="D845" s="1657"/>
      <c r="E845" s="1657"/>
      <c r="F845" s="1657"/>
      <c r="G845" s="1657"/>
      <c r="H845" s="1657"/>
      <c r="I845" s="1657"/>
      <c r="J845" s="1657"/>
      <c r="K845" s="1657"/>
      <c r="L845" s="1657"/>
      <c r="M845" s="1657"/>
      <c r="N845" s="1657"/>
      <c r="O845" s="1657"/>
      <c r="P845" s="1657"/>
      <c r="Q845" s="1657"/>
      <c r="R845" s="1657"/>
      <c r="S845" s="1657"/>
      <c r="T845" s="1657"/>
      <c r="U845" s="1657"/>
      <c r="V845" s="1657"/>
      <c r="W845" s="1657"/>
      <c r="X845" s="1657"/>
      <c r="Y845" s="1657"/>
      <c r="Z845" s="1657"/>
      <c r="AA845" s="1657"/>
      <c r="AB845" s="1657"/>
      <c r="AC845" s="1657"/>
      <c r="AD845" s="1657"/>
      <c r="AE845" s="1657"/>
      <c r="AF845" s="1657"/>
      <c r="AG845" s="1657"/>
      <c r="AH845" s="1657"/>
      <c r="AI845" s="1657"/>
      <c r="AJ845" s="1658"/>
      <c r="AK845"/>
      <c r="AL845" s="3"/>
      <c r="AM845" s="3"/>
      <c r="AN845" s="3"/>
      <c r="AO845" s="3"/>
      <c r="AP845" s="3"/>
      <c r="AQ845" s="3"/>
      <c r="AR845" s="3"/>
      <c r="AS845" s="3"/>
      <c r="AT845" s="3"/>
      <c r="AU845"/>
      <c r="AV845"/>
      <c r="AW845"/>
      <c r="AX845"/>
      <c r="AY845"/>
      <c r="AZ845" s="30"/>
      <c r="BA845" s="30"/>
    </row>
    <row r="846" spans="1:53" s="14" customFormat="1" ht="13" customHeight="1">
      <c r="A846"/>
      <c r="B846" s="4"/>
      <c r="C846" s="3" t="s">
        <v>1155</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3"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3" customHeight="1">
      <c r="A848" s="2" t="s">
        <v>466</v>
      </c>
      <c r="B848"/>
      <c r="C848" s="2" t="s">
        <v>759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31"/>
      <c r="BJ849" s="1631"/>
      <c r="BK849" s="1631"/>
      <c r="BL849" s="1631"/>
    </row>
    <row r="850" spans="1:64" s="14" customFormat="1" ht="13" customHeight="1">
      <c r="A850"/>
      <c r="B850"/>
      <c r="C850" s="2" t="s">
        <v>342</v>
      </c>
      <c r="D850"/>
      <c r="E850"/>
      <c r="F850"/>
      <c r="G850"/>
      <c r="H850"/>
      <c r="I850"/>
      <c r="J850" s="45" t="s">
        <v>355</v>
      </c>
      <c r="K850" s="5"/>
      <c r="L850" s="5"/>
      <c r="M850" s="5"/>
      <c r="N850" s="5"/>
      <c r="O850" s="5"/>
      <c r="P850" s="5"/>
      <c r="Q850" s="5"/>
      <c r="R850" s="5"/>
      <c r="S850" s="5"/>
      <c r="T850" s="5"/>
      <c r="U850" s="5"/>
      <c r="V850" s="46"/>
      <c r="W850" s="1625">
        <v>14800</v>
      </c>
      <c r="X850" s="1625"/>
      <c r="Y850" s="1625"/>
      <c r="Z850" s="1625"/>
      <c r="AA850" s="1625"/>
      <c r="AB850" s="1625"/>
      <c r="AC850" s="1625"/>
      <c r="AD850"/>
      <c r="AE850"/>
      <c r="AF850"/>
      <c r="AG850"/>
      <c r="AH850"/>
      <c r="AI850"/>
      <c r="AJ850"/>
      <c r="AK850"/>
      <c r="AL850"/>
      <c r="AM850"/>
      <c r="AN850"/>
      <c r="AO850"/>
      <c r="AP850"/>
      <c r="AQ850"/>
      <c r="AR850"/>
      <c r="AS850"/>
      <c r="AT850"/>
      <c r="AU850"/>
      <c r="AV850"/>
      <c r="AW850"/>
      <c r="AX850"/>
      <c r="AY850"/>
      <c r="AZ850" s="30"/>
      <c r="BA850" s="30"/>
    </row>
    <row r="851" spans="1:64" s="14" customFormat="1" ht="13" customHeight="1">
      <c r="A851"/>
      <c r="B851"/>
      <c r="C851"/>
      <c r="D851"/>
      <c r="E851"/>
      <c r="F851"/>
      <c r="G851"/>
      <c r="H851"/>
      <c r="I851"/>
      <c r="J851" s="45" t="s">
        <v>354</v>
      </c>
      <c r="K851" s="5"/>
      <c r="L851" s="5"/>
      <c r="M851" s="5"/>
      <c r="N851" s="5"/>
      <c r="O851" s="5"/>
      <c r="P851" s="5"/>
      <c r="Q851" s="5"/>
      <c r="R851" s="5"/>
      <c r="S851" s="5"/>
      <c r="T851" s="5"/>
      <c r="U851" s="5"/>
      <c r="V851" s="46"/>
      <c r="W851" s="1625">
        <v>2000</v>
      </c>
      <c r="X851" s="1625"/>
      <c r="Y851" s="1625"/>
      <c r="Z851" s="1625"/>
      <c r="AA851" s="1625"/>
      <c r="AB851" s="1625"/>
      <c r="AC851" s="1625"/>
      <c r="AD851"/>
      <c r="AE851"/>
      <c r="AF851"/>
      <c r="AG851"/>
      <c r="AH851"/>
      <c r="AI851"/>
      <c r="AJ851"/>
      <c r="AK851"/>
      <c r="AL851"/>
      <c r="AM851"/>
      <c r="AN851"/>
      <c r="AO851"/>
      <c r="AP851"/>
      <c r="AQ851"/>
      <c r="AR851"/>
      <c r="AS851"/>
      <c r="AT851"/>
      <c r="AU851"/>
      <c r="AV851"/>
      <c r="AW851"/>
      <c r="AX851"/>
      <c r="AY851"/>
      <c r="AZ851" s="30"/>
      <c r="BA851" s="30"/>
    </row>
    <row r="852" spans="1:64" ht="13" customHeight="1">
      <c r="J852" s="45" t="s">
        <v>353</v>
      </c>
      <c r="K852" s="5"/>
      <c r="L852" s="5"/>
      <c r="M852" s="5"/>
      <c r="N852" s="5"/>
      <c r="O852" s="5"/>
      <c r="P852" s="5"/>
      <c r="Q852" s="5"/>
      <c r="R852" s="5"/>
      <c r="S852" s="5"/>
      <c r="T852" s="5"/>
      <c r="U852" s="5"/>
      <c r="V852" s="46"/>
      <c r="W852" s="1625">
        <v>3000</v>
      </c>
      <c r="X852" s="1625"/>
      <c r="Y852" s="1625"/>
      <c r="Z852" s="1625"/>
      <c r="AA852" s="1625"/>
      <c r="AB852" s="1625"/>
      <c r="AC852" s="1625"/>
      <c r="AZ852" s="30"/>
      <c r="BA852" s="30"/>
      <c r="BB852" s="14"/>
      <c r="BC852" s="14"/>
      <c r="BD852" s="14"/>
      <c r="BE852" s="14"/>
      <c r="BF852" s="14"/>
      <c r="BG852" s="14"/>
      <c r="BH852" s="14"/>
      <c r="BI852" s="14"/>
      <c r="BJ852" s="14"/>
      <c r="BK852" s="14"/>
      <c r="BL852" s="14"/>
    </row>
    <row r="853" spans="1:64" ht="13" customHeight="1">
      <c r="J853" s="45" t="s">
        <v>352</v>
      </c>
      <c r="K853" s="5"/>
      <c r="L853" s="5"/>
      <c r="M853" s="5"/>
      <c r="N853" s="5"/>
      <c r="O853" s="5"/>
      <c r="P853" s="5"/>
      <c r="Q853" s="5"/>
      <c r="R853" s="5"/>
      <c r="S853" s="5"/>
      <c r="T853" s="5"/>
      <c r="U853" s="5"/>
      <c r="V853" s="46"/>
      <c r="W853" s="1625">
        <v>75035</v>
      </c>
      <c r="X853" s="1625"/>
      <c r="Y853" s="1625"/>
      <c r="Z853" s="1625"/>
      <c r="AA853" s="1625"/>
      <c r="AB853" s="1625"/>
      <c r="AC853" s="1625"/>
      <c r="AZ853" s="30"/>
      <c r="BA853" s="30"/>
      <c r="BB853" s="14"/>
      <c r="BC853" s="14"/>
      <c r="BD853" s="14"/>
      <c r="BE853" s="14"/>
      <c r="BF853" s="14"/>
      <c r="BG853" s="14"/>
      <c r="BH853" s="14"/>
      <c r="BI853" s="14"/>
      <c r="BJ853" s="14"/>
      <c r="BK853" s="14"/>
      <c r="BL853" s="14"/>
    </row>
    <row r="854" spans="1:64" ht="13" customHeight="1">
      <c r="J854" s="45" t="s">
        <v>169</v>
      </c>
      <c r="K854" s="5"/>
      <c r="L854" s="5"/>
      <c r="M854" s="1621" t="s">
        <v>2755</v>
      </c>
      <c r="N854" s="1622"/>
      <c r="O854" s="1622"/>
      <c r="P854" s="1622"/>
      <c r="Q854" s="1622"/>
      <c r="R854" s="1622"/>
      <c r="S854" s="1622"/>
      <c r="T854" s="1622"/>
      <c r="U854" s="1622"/>
      <c r="V854" s="1623"/>
      <c r="W854" s="1625">
        <v>78185</v>
      </c>
      <c r="X854" s="1625"/>
      <c r="Y854" s="1625"/>
      <c r="Z854" s="1625"/>
      <c r="AA854" s="1625"/>
      <c r="AB854" s="1625"/>
      <c r="AC854" s="1625"/>
      <c r="AZ854" s="30"/>
      <c r="BA854" s="30"/>
      <c r="BB854" s="14"/>
      <c r="BC854" s="14"/>
      <c r="BD854" s="14"/>
      <c r="BE854" s="14"/>
      <c r="BF854" s="14"/>
      <c r="BG854" s="14"/>
      <c r="BH854" s="14"/>
      <c r="BI854" s="14"/>
      <c r="BJ854" s="14"/>
      <c r="BK854" s="14"/>
      <c r="BL854" s="14"/>
    </row>
    <row r="855" spans="1:64" ht="13" customHeight="1">
      <c r="J855" s="45"/>
      <c r="K855" s="5"/>
      <c r="L855" s="5"/>
      <c r="M855" s="5"/>
      <c r="N855" s="5"/>
      <c r="O855" s="5"/>
      <c r="P855" s="5"/>
      <c r="Q855" s="5"/>
      <c r="R855" s="5"/>
      <c r="S855" s="5"/>
      <c r="T855" s="5"/>
      <c r="U855" s="5"/>
      <c r="V855" s="54" t="s">
        <v>341</v>
      </c>
      <c r="W855" s="1471">
        <f>SUM(W850:W854)</f>
        <v>173020</v>
      </c>
      <c r="X855" s="1472"/>
      <c r="Y855" s="1472"/>
      <c r="Z855" s="1472"/>
      <c r="AA855" s="1472"/>
      <c r="AB855" s="1472"/>
      <c r="AC855" s="1473"/>
      <c r="AZ855" s="30"/>
      <c r="BA855" s="30"/>
      <c r="BB855" s="14"/>
      <c r="BC855" s="14"/>
      <c r="BD855" s="14"/>
      <c r="BE855" s="14"/>
      <c r="BF855" s="14"/>
      <c r="BG855" s="14"/>
      <c r="BH855" s="14"/>
      <c r="BI855" s="14"/>
      <c r="BJ855" s="14"/>
      <c r="BK855" s="14"/>
      <c r="BL855" s="14"/>
    </row>
    <row r="856" spans="1:64" ht="13" customHeight="1">
      <c r="AZ856" s="30"/>
      <c r="BA856" s="30"/>
      <c r="BB856" s="14"/>
      <c r="BC856" s="14"/>
      <c r="BD856" s="14"/>
      <c r="BE856" s="14"/>
      <c r="BF856" s="14"/>
      <c r="BG856" s="1630"/>
      <c r="BH856" s="1630"/>
      <c r="BI856" s="1630"/>
      <c r="BJ856" s="1630"/>
      <c r="BK856" s="1630"/>
      <c r="BL856" s="1630"/>
    </row>
    <row r="857" spans="1:64" ht="13" customHeight="1">
      <c r="C857" s="2" t="s">
        <v>343</v>
      </c>
      <c r="J857" s="1402" t="s">
        <v>344</v>
      </c>
      <c r="K857" s="1403"/>
      <c r="L857" s="1403"/>
      <c r="M857" s="1403"/>
      <c r="N857" s="1403"/>
      <c r="O857" s="1403"/>
      <c r="P857" s="1403"/>
      <c r="Q857" s="1403"/>
      <c r="R857" s="1403"/>
      <c r="S857" s="1403"/>
      <c r="T857" s="1403"/>
      <c r="U857" s="1403"/>
      <c r="V857" s="1405"/>
      <c r="W857" s="1474">
        <v>120200</v>
      </c>
      <c r="X857" s="1345"/>
      <c r="Y857" s="1345"/>
      <c r="Z857" s="1345"/>
      <c r="AA857" s="1345"/>
      <c r="AB857" s="1345"/>
      <c r="AC857" s="1346"/>
      <c r="AD857" s="533"/>
      <c r="AZ857" s="30"/>
      <c r="BA857" s="30"/>
      <c r="BB857" s="14"/>
      <c r="BC857" s="14"/>
    </row>
    <row r="858" spans="1:64" ht="13" customHeight="1">
      <c r="AD858" s="533"/>
      <c r="AZ858" s="30"/>
      <c r="BA858" s="30"/>
      <c r="BB858" s="14"/>
      <c r="BC858" s="14"/>
    </row>
    <row r="859" spans="1:64" ht="13" customHeight="1">
      <c r="C859" s="2" t="s">
        <v>560</v>
      </c>
      <c r="J859" s="45" t="s">
        <v>351</v>
      </c>
      <c r="K859" s="5"/>
      <c r="L859" s="5"/>
      <c r="M859" s="5"/>
      <c r="N859" s="5"/>
      <c r="O859" s="5"/>
      <c r="P859" s="5"/>
      <c r="Q859" s="5"/>
      <c r="R859" s="5"/>
      <c r="S859" s="5"/>
      <c r="T859" s="5"/>
      <c r="U859" s="5"/>
      <c r="V859" s="46"/>
      <c r="W859" s="1652"/>
      <c r="X859" s="1652"/>
      <c r="Y859" s="1652"/>
      <c r="Z859" s="1652"/>
      <c r="AA859" s="1652"/>
      <c r="AB859" s="1652"/>
      <c r="AC859" s="1652"/>
      <c r="AZ859" s="1641"/>
      <c r="BA859" s="1641"/>
      <c r="BB859" s="14"/>
      <c r="BC859" s="14"/>
    </row>
    <row r="860" spans="1:64" ht="13" customHeight="1">
      <c r="J860" s="45" t="s">
        <v>350</v>
      </c>
      <c r="K860" s="5"/>
      <c r="L860" s="5"/>
      <c r="M860" s="5"/>
      <c r="N860" s="5"/>
      <c r="O860" s="5"/>
      <c r="P860" s="5"/>
      <c r="Q860" s="5"/>
      <c r="R860" s="5"/>
      <c r="S860" s="5"/>
      <c r="T860" s="5"/>
      <c r="U860" s="5"/>
      <c r="V860" s="46"/>
      <c r="W860" s="1652">
        <v>2300</v>
      </c>
      <c r="X860" s="1652"/>
      <c r="Y860" s="1652"/>
      <c r="Z860" s="1652"/>
      <c r="AA860" s="1652"/>
      <c r="AB860" s="1652"/>
      <c r="AC860" s="1652"/>
      <c r="AZ860" s="30"/>
      <c r="BA860" s="30"/>
      <c r="BB860" s="14"/>
      <c r="BC860" s="14"/>
    </row>
    <row r="861" spans="1:64" ht="13" customHeight="1">
      <c r="J861" s="45" t="s">
        <v>458</v>
      </c>
      <c r="K861" s="5"/>
      <c r="L861" s="5"/>
      <c r="M861" s="5"/>
      <c r="N861" s="5"/>
      <c r="O861" s="5"/>
      <c r="P861" s="5"/>
      <c r="Q861" s="5"/>
      <c r="R861" s="5"/>
      <c r="S861" s="5"/>
      <c r="T861" s="5"/>
      <c r="U861" s="5"/>
      <c r="V861" s="46"/>
      <c r="W861" s="1652">
        <v>19700</v>
      </c>
      <c r="X861" s="1652"/>
      <c r="Y861" s="1652"/>
      <c r="Z861" s="1652"/>
      <c r="AA861" s="1652"/>
      <c r="AB861" s="1652"/>
      <c r="AC861" s="1652"/>
      <c r="AZ861" s="30"/>
      <c r="BA861" s="30"/>
      <c r="BB861" s="14"/>
      <c r="BC861" s="14"/>
    </row>
    <row r="862" spans="1:64" ht="13" customHeight="1">
      <c r="J862" s="62" t="s">
        <v>619</v>
      </c>
      <c r="K862" s="5"/>
      <c r="L862" s="5"/>
      <c r="M862" s="5"/>
      <c r="N862" s="5"/>
      <c r="O862" s="5"/>
      <c r="P862" s="5"/>
      <c r="Q862" s="5"/>
      <c r="R862" s="5"/>
      <c r="S862" s="5"/>
      <c r="T862" s="5"/>
      <c r="U862" s="5"/>
      <c r="V862" s="46"/>
      <c r="W862" s="1652">
        <v>98300</v>
      </c>
      <c r="X862" s="1652"/>
      <c r="Y862" s="1652"/>
      <c r="Z862" s="1652"/>
      <c r="AA862" s="1652"/>
      <c r="AB862" s="1652"/>
      <c r="AC862" s="1652"/>
      <c r="AZ862" s="34"/>
      <c r="BA862" s="34"/>
      <c r="BB862" s="34"/>
      <c r="BC862" s="34"/>
    </row>
    <row r="863" spans="1:64" ht="13" customHeight="1">
      <c r="J863" s="63"/>
      <c r="K863" s="48"/>
      <c r="L863" s="48"/>
      <c r="M863" s="48"/>
      <c r="N863" s="48"/>
      <c r="O863" s="48"/>
      <c r="P863" s="48"/>
      <c r="Q863" s="48"/>
      <c r="R863" s="48"/>
      <c r="S863" s="48"/>
      <c r="T863" s="48"/>
      <c r="U863" s="48"/>
      <c r="V863" s="54" t="s">
        <v>271</v>
      </c>
      <c r="W863" s="1653">
        <f>SUM(W859:W862)</f>
        <v>120300</v>
      </c>
      <c r="X863" s="1653"/>
      <c r="Y863" s="1653"/>
      <c r="Z863" s="1653"/>
      <c r="AA863" s="1653"/>
      <c r="AB863" s="1653"/>
      <c r="AC863" s="1653"/>
      <c r="AZ863" s="34"/>
      <c r="BA863" s="34"/>
      <c r="BB863" s="34"/>
      <c r="BC863" s="34"/>
    </row>
    <row r="864" spans="1:64" ht="13" customHeight="1">
      <c r="AZ864" s="34"/>
      <c r="BA864" s="34"/>
      <c r="BB864" s="34"/>
      <c r="BC864" s="34"/>
    </row>
    <row r="865" spans="3:55" ht="13" customHeight="1">
      <c r="C865" s="2" t="s">
        <v>345</v>
      </c>
      <c r="J865" s="45" t="s">
        <v>618</v>
      </c>
      <c r="K865" s="5"/>
      <c r="L865" s="5"/>
      <c r="M865" s="5"/>
      <c r="N865" s="5"/>
      <c r="O865" s="5"/>
      <c r="P865" s="5"/>
      <c r="Q865" s="5"/>
      <c r="R865" s="5"/>
      <c r="S865" s="5"/>
      <c r="T865" s="5"/>
      <c r="U865" s="5"/>
      <c r="V865" s="46"/>
      <c r="W865" s="1649">
        <v>62880</v>
      </c>
      <c r="X865" s="1650"/>
      <c r="Y865" s="1650"/>
      <c r="Z865" s="1650"/>
      <c r="AA865" s="1650"/>
      <c r="AB865" s="1650"/>
      <c r="AC865" s="1651"/>
      <c r="AD865" s="528"/>
      <c r="AZ865" s="34"/>
      <c r="BA865" s="34"/>
      <c r="BB865" s="34"/>
      <c r="BC865" s="34"/>
    </row>
    <row r="866" spans="3:55" ht="13" customHeight="1">
      <c r="C866" s="2" t="s">
        <v>346</v>
      </c>
      <c r="J866" s="121" t="s">
        <v>1642</v>
      </c>
      <c r="K866" s="5"/>
      <c r="L866" s="5"/>
      <c r="M866" s="5"/>
      <c r="N866" s="5"/>
      <c r="O866" s="5"/>
      <c r="P866" s="5"/>
      <c r="Q866" s="5"/>
      <c r="R866" s="5"/>
      <c r="S866" s="5"/>
      <c r="T866" s="1654"/>
      <c r="U866" s="1596"/>
      <c r="V866" s="1655"/>
      <c r="W866" s="870"/>
      <c r="X866" s="871"/>
      <c r="Y866" s="871"/>
      <c r="Z866" s="871"/>
      <c r="AA866" s="871"/>
      <c r="AB866" s="871"/>
      <c r="AC866" s="872"/>
      <c r="AD866" s="528"/>
      <c r="AZ866" s="34"/>
      <c r="BA866" s="34"/>
      <c r="BB866" s="34"/>
      <c r="BC866" s="34"/>
    </row>
    <row r="867" spans="3:55" ht="13" customHeight="1">
      <c r="C867" s="2"/>
      <c r="J867" s="45" t="s">
        <v>617</v>
      </c>
      <c r="K867" s="5"/>
      <c r="L867" s="5"/>
      <c r="M867" s="5"/>
      <c r="N867" s="5"/>
      <c r="O867" s="5"/>
      <c r="P867" s="5"/>
      <c r="Q867" s="5"/>
      <c r="R867" s="5"/>
      <c r="S867" s="5"/>
      <c r="T867" s="5"/>
      <c r="U867" s="5"/>
      <c r="V867" s="46"/>
      <c r="W867" s="1649">
        <v>59000</v>
      </c>
      <c r="X867" s="1650"/>
      <c r="Y867" s="1650"/>
      <c r="Z867" s="1650"/>
      <c r="AA867" s="1650"/>
      <c r="AB867" s="1650"/>
      <c r="AC867" s="1651"/>
      <c r="AD867" s="533"/>
      <c r="AZ867" s="34"/>
      <c r="BA867" s="34"/>
      <c r="BB867" s="34"/>
      <c r="BC867" s="34"/>
    </row>
    <row r="868" spans="3:55" ht="13" customHeight="1">
      <c r="C868" s="2"/>
      <c r="J868" s="121" t="s">
        <v>1643</v>
      </c>
      <c r="K868" s="5"/>
      <c r="L868" s="5"/>
      <c r="M868" s="5"/>
      <c r="N868" s="5"/>
      <c r="O868" s="5"/>
      <c r="P868" s="5"/>
      <c r="Q868" s="5"/>
      <c r="R868" s="5"/>
      <c r="S868" s="5"/>
      <c r="T868" s="1654"/>
      <c r="U868" s="1596"/>
      <c r="V868" s="1655"/>
      <c r="W868" s="870"/>
      <c r="X868" s="871"/>
      <c r="Y868" s="871"/>
      <c r="Z868" s="871"/>
      <c r="AA868" s="871"/>
      <c r="AB868" s="871"/>
      <c r="AC868" s="872"/>
      <c r="AD868" s="533"/>
      <c r="AZ868" s="34"/>
      <c r="BA868" s="34"/>
      <c r="BB868" s="34"/>
      <c r="BC868" s="34"/>
    </row>
    <row r="869" spans="3:55" ht="13" customHeight="1">
      <c r="J869" s="45" t="s">
        <v>169</v>
      </c>
      <c r="K869" s="5"/>
      <c r="L869" s="5"/>
      <c r="M869" s="1621" t="s">
        <v>2754</v>
      </c>
      <c r="N869" s="1622"/>
      <c r="O869" s="1622"/>
      <c r="P869" s="1622"/>
      <c r="Q869" s="1622"/>
      <c r="R869" s="1622"/>
      <c r="S869" s="1622"/>
      <c r="T869" s="1622"/>
      <c r="U869" s="1622"/>
      <c r="V869" s="1623"/>
      <c r="W869" s="1649">
        <v>30000</v>
      </c>
      <c r="X869" s="1650"/>
      <c r="Y869" s="1650"/>
      <c r="Z869" s="1650"/>
      <c r="AA869" s="1650"/>
      <c r="AB869" s="1650"/>
      <c r="AC869" s="1651"/>
      <c r="AD869" s="528"/>
      <c r="AU869" s="14"/>
      <c r="AZ869" s="34"/>
      <c r="BA869" s="34"/>
      <c r="BB869" s="34"/>
      <c r="BC869" s="34"/>
    </row>
    <row r="870" spans="3:55" ht="13" customHeight="1">
      <c r="J870" s="45"/>
      <c r="K870" s="5"/>
      <c r="L870" s="5"/>
      <c r="M870" s="5"/>
      <c r="N870" s="5"/>
      <c r="O870" s="5"/>
      <c r="P870" s="5"/>
      <c r="Q870" s="5"/>
      <c r="R870" s="5"/>
      <c r="S870" s="5"/>
      <c r="T870" s="5"/>
      <c r="U870" s="5"/>
      <c r="V870" s="54" t="s">
        <v>272</v>
      </c>
      <c r="W870" s="1659">
        <f>SUM(W865:W869)</f>
        <v>151880</v>
      </c>
      <c r="X870" s="1660"/>
      <c r="Y870" s="1660"/>
      <c r="Z870" s="1660"/>
      <c r="AA870" s="1660"/>
      <c r="AB870" s="1660"/>
      <c r="AC870" s="1661"/>
      <c r="AD870" s="533"/>
      <c r="AU870" s="14"/>
      <c r="AZ870" s="34"/>
      <c r="BA870" s="34"/>
      <c r="BB870" s="34"/>
      <c r="BC870" s="34"/>
    </row>
    <row r="871" spans="3:55" ht="13" customHeight="1">
      <c r="AU871" s="14"/>
      <c r="AZ871" s="34"/>
      <c r="BA871" s="34"/>
      <c r="BB871" s="34"/>
      <c r="BC871" s="34"/>
    </row>
    <row r="872" spans="3:55" ht="13" customHeight="1">
      <c r="C872" s="2" t="s">
        <v>155</v>
      </c>
      <c r="J872" s="45"/>
      <c r="K872" s="5"/>
      <c r="L872" s="5"/>
      <c r="M872" s="5"/>
      <c r="N872" s="5"/>
      <c r="O872" s="5"/>
      <c r="P872" s="5"/>
      <c r="Q872" s="5"/>
      <c r="R872" s="5"/>
      <c r="S872" s="5"/>
      <c r="T872" s="5"/>
      <c r="U872" s="5"/>
      <c r="V872" s="54" t="s">
        <v>273</v>
      </c>
      <c r="W872" s="1649">
        <v>65000</v>
      </c>
      <c r="X872" s="1650"/>
      <c r="Y872" s="1650"/>
      <c r="Z872" s="1650"/>
      <c r="AA872" s="1650"/>
      <c r="AB872" s="1650"/>
      <c r="AC872" s="1651"/>
      <c r="AU872" s="14"/>
      <c r="AZ872" s="34"/>
      <c r="BA872" s="34"/>
      <c r="BB872" s="34"/>
      <c r="BC872" s="34"/>
    </row>
    <row r="873" spans="3:55" ht="13" customHeight="1">
      <c r="J873" s="512"/>
      <c r="AU873" s="14"/>
      <c r="AZ873" s="34"/>
      <c r="BA873" s="34"/>
      <c r="BB873" s="34"/>
      <c r="BC873" s="34"/>
    </row>
    <row r="874" spans="3:55" ht="13" customHeight="1">
      <c r="C874" s="2" t="s">
        <v>389</v>
      </c>
      <c r="J874" s="45" t="s">
        <v>616</v>
      </c>
      <c r="K874" s="5"/>
      <c r="L874" s="5"/>
      <c r="M874" s="5"/>
      <c r="N874" s="5"/>
      <c r="O874" s="5"/>
      <c r="P874" s="5"/>
      <c r="Q874" s="5"/>
      <c r="R874" s="5"/>
      <c r="S874" s="5"/>
      <c r="T874" s="5"/>
      <c r="U874" s="5"/>
      <c r="V874" s="46"/>
      <c r="W874" s="1625">
        <v>6550</v>
      </c>
      <c r="X874" s="1625"/>
      <c r="Y874" s="1625"/>
      <c r="Z874" s="1625"/>
      <c r="AA874" s="1625"/>
      <c r="AB874" s="1625"/>
      <c r="AC874" s="1625"/>
      <c r="AU874" s="14"/>
      <c r="AZ874" s="34"/>
      <c r="BA874" s="34"/>
      <c r="BB874" s="34"/>
      <c r="BC874" s="34"/>
    </row>
    <row r="875" spans="3:55" ht="13" customHeight="1">
      <c r="J875" s="45" t="s">
        <v>521</v>
      </c>
      <c r="K875" s="5"/>
      <c r="L875" s="5"/>
      <c r="M875" s="5"/>
      <c r="N875" s="5"/>
      <c r="O875" s="5"/>
      <c r="P875" s="5"/>
      <c r="Q875" s="5"/>
      <c r="R875" s="5"/>
      <c r="S875" s="5"/>
      <c r="T875" s="5"/>
      <c r="U875" s="5"/>
      <c r="V875" s="46"/>
      <c r="W875" s="1625">
        <v>94310</v>
      </c>
      <c r="X875" s="1625"/>
      <c r="Y875" s="1625"/>
      <c r="Z875" s="1625"/>
      <c r="AA875" s="1625"/>
      <c r="AB875" s="1625"/>
      <c r="AC875" s="1625"/>
      <c r="AU875" s="4"/>
      <c r="AZ875" s="34"/>
      <c r="BA875" s="34"/>
      <c r="BB875" s="34"/>
      <c r="BC875" s="34"/>
    </row>
    <row r="876" spans="3:55" ht="13" customHeight="1">
      <c r="J876" s="45" t="s">
        <v>520</v>
      </c>
      <c r="K876" s="5"/>
      <c r="L876" s="5"/>
      <c r="M876" s="5"/>
      <c r="N876" s="5"/>
      <c r="O876" s="5"/>
      <c r="P876" s="5"/>
      <c r="Q876" s="5"/>
      <c r="R876" s="5"/>
      <c r="S876" s="5"/>
      <c r="T876" s="5"/>
      <c r="U876" s="5"/>
      <c r="V876" s="46"/>
      <c r="W876" s="1625">
        <v>49100</v>
      </c>
      <c r="X876" s="1625"/>
      <c r="Y876" s="1625"/>
      <c r="Z876" s="1625"/>
      <c r="AA876" s="1625"/>
      <c r="AB876" s="1625"/>
      <c r="AC876" s="1625"/>
      <c r="AU876" s="4"/>
      <c r="AZ876" s="34"/>
      <c r="BA876" s="34"/>
      <c r="BB876" s="34"/>
      <c r="BC876" s="34"/>
    </row>
    <row r="877" spans="3:55" ht="13" customHeight="1">
      <c r="J877" s="45" t="s">
        <v>519</v>
      </c>
      <c r="K877" s="5"/>
      <c r="L877" s="5"/>
      <c r="M877" s="5"/>
      <c r="N877" s="5"/>
      <c r="O877" s="5"/>
      <c r="P877" s="5"/>
      <c r="Q877" s="5"/>
      <c r="R877" s="5"/>
      <c r="S877" s="5"/>
      <c r="T877" s="5"/>
      <c r="U877" s="5"/>
      <c r="V877" s="46"/>
      <c r="W877" s="1625">
        <v>1800</v>
      </c>
      <c r="X877" s="1625"/>
      <c r="Y877" s="1625"/>
      <c r="Z877" s="1625"/>
      <c r="AA877" s="1625"/>
      <c r="AB877" s="1625"/>
      <c r="AC877" s="1625"/>
      <c r="AU877" s="4"/>
      <c r="AZ877" s="34"/>
      <c r="BA877" s="34"/>
      <c r="BB877" s="34"/>
      <c r="BC877" s="34"/>
    </row>
    <row r="878" spans="3:55" ht="13" customHeight="1">
      <c r="J878" s="45" t="s">
        <v>518</v>
      </c>
      <c r="K878" s="5"/>
      <c r="L878" s="5"/>
      <c r="M878" s="5"/>
      <c r="N878" s="5"/>
      <c r="O878" s="5"/>
      <c r="P878" s="5"/>
      <c r="Q878" s="5"/>
      <c r="R878" s="5"/>
      <c r="S878" s="5"/>
      <c r="T878" s="5"/>
      <c r="U878" s="5"/>
      <c r="V878" s="46"/>
      <c r="W878" s="1625">
        <v>59000</v>
      </c>
      <c r="X878" s="1625"/>
      <c r="Y878" s="1625"/>
      <c r="Z878" s="1625"/>
      <c r="AA878" s="1625"/>
      <c r="AB878" s="1625"/>
      <c r="AC878" s="1625"/>
      <c r="AU878" s="4"/>
      <c r="AZ878" s="34"/>
      <c r="BA878" s="34"/>
      <c r="BB878" s="34"/>
      <c r="BC878" s="34"/>
    </row>
    <row r="879" spans="3:55" ht="13" customHeight="1">
      <c r="J879" s="45" t="s">
        <v>517</v>
      </c>
      <c r="K879" s="5"/>
      <c r="L879" s="5"/>
      <c r="M879" s="5"/>
      <c r="N879" s="5"/>
      <c r="O879" s="5"/>
      <c r="P879" s="5"/>
      <c r="Q879" s="5"/>
      <c r="R879" s="5"/>
      <c r="S879" s="5"/>
      <c r="T879" s="5"/>
      <c r="U879" s="5"/>
      <c r="V879" s="46"/>
      <c r="W879" s="1625">
        <v>22000</v>
      </c>
      <c r="X879" s="1625"/>
      <c r="Y879" s="1625"/>
      <c r="Z879" s="1625"/>
      <c r="AA879" s="1625"/>
      <c r="AB879" s="1625"/>
      <c r="AC879" s="1625"/>
      <c r="AU879" s="4"/>
      <c r="AZ879" s="34"/>
      <c r="BA879" s="34"/>
      <c r="BB879" s="34"/>
      <c r="BC879" s="34"/>
    </row>
    <row r="880" spans="3:55" ht="13" customHeight="1">
      <c r="J880" s="45" t="s">
        <v>169</v>
      </c>
      <c r="K880" s="5"/>
      <c r="L880" s="5"/>
      <c r="M880" s="1621" t="s">
        <v>2753</v>
      </c>
      <c r="N880" s="1622"/>
      <c r="O880" s="1622"/>
      <c r="P880" s="1622"/>
      <c r="Q880" s="1622"/>
      <c r="R880" s="1622"/>
      <c r="S880" s="1622"/>
      <c r="T880" s="1622"/>
      <c r="U880" s="1622"/>
      <c r="V880" s="1623"/>
      <c r="W880" s="1625">
        <v>68800</v>
      </c>
      <c r="X880" s="1625"/>
      <c r="Y880" s="1625"/>
      <c r="Z880" s="1625"/>
      <c r="AA880" s="1625"/>
      <c r="AB880" s="1625"/>
      <c r="AC880" s="1625"/>
      <c r="AD880" s="533"/>
      <c r="AU880" s="4"/>
      <c r="AV880" s="14"/>
      <c r="AW880" s="14"/>
      <c r="AX880" s="14"/>
      <c r="AY880" s="14"/>
      <c r="AZ880" s="34"/>
      <c r="BA880" s="34"/>
      <c r="BB880" s="34"/>
      <c r="BC880" s="34"/>
    </row>
    <row r="881" spans="3:55" ht="13" customHeight="1">
      <c r="J881" s="45"/>
      <c r="K881" s="5"/>
      <c r="L881" s="5"/>
      <c r="M881" s="5"/>
      <c r="N881" s="5"/>
      <c r="O881" s="5"/>
      <c r="P881" s="5"/>
      <c r="Q881" s="5"/>
      <c r="R881" s="5"/>
      <c r="S881" s="5"/>
      <c r="T881" s="5"/>
      <c r="U881" s="5"/>
      <c r="V881" s="54" t="s">
        <v>274</v>
      </c>
      <c r="W881" s="1604">
        <f>SUM(W874:W880)</f>
        <v>301560</v>
      </c>
      <c r="X881" s="1604"/>
      <c r="Y881" s="1604"/>
      <c r="Z881" s="1604"/>
      <c r="AA881" s="1604"/>
      <c r="AB881" s="1604"/>
      <c r="AC881" s="1604"/>
      <c r="AU881" s="4"/>
      <c r="AV881" s="14"/>
      <c r="AW881" s="14"/>
      <c r="AX881" s="14"/>
      <c r="AY881" s="14"/>
      <c r="AZ881" s="34"/>
      <c r="BA881" s="34"/>
      <c r="BB881" s="34"/>
      <c r="BC881" s="34"/>
    </row>
    <row r="882" spans="3:55" ht="13" customHeight="1">
      <c r="AU882" s="4"/>
      <c r="AV882" s="14"/>
      <c r="AW882" s="14"/>
      <c r="AX882" s="14"/>
      <c r="AY882" s="14"/>
      <c r="AZ882" s="34"/>
      <c r="BA882" s="34"/>
      <c r="BB882" s="34"/>
      <c r="BC882" s="34"/>
    </row>
    <row r="883" spans="3:55" ht="13" customHeight="1">
      <c r="C883" s="2" t="s">
        <v>1241</v>
      </c>
      <c r="J883" s="45" t="s">
        <v>169</v>
      </c>
      <c r="K883" s="5"/>
      <c r="L883" s="5"/>
      <c r="M883" s="1621" t="s">
        <v>333</v>
      </c>
      <c r="N883" s="1622"/>
      <c r="O883" s="1622"/>
      <c r="P883" s="1622"/>
      <c r="Q883" s="1622"/>
      <c r="R883" s="1622"/>
      <c r="S883" s="1622"/>
      <c r="T883" s="1622"/>
      <c r="U883" s="1622"/>
      <c r="V883" s="1623"/>
      <c r="W883" s="1474"/>
      <c r="X883" s="1345"/>
      <c r="Y883" s="1345"/>
      <c r="Z883" s="1345"/>
      <c r="AA883" s="1345"/>
      <c r="AB883" s="1345"/>
      <c r="AC883" s="1346"/>
      <c r="AD883" s="533"/>
      <c r="AV883" s="14"/>
      <c r="AW883" s="14"/>
      <c r="AX883" s="14"/>
      <c r="AY883" s="14"/>
      <c r="AZ883" s="34"/>
      <c r="BA883" s="34"/>
      <c r="BB883" s="34"/>
      <c r="BC883" s="34"/>
    </row>
    <row r="884" spans="3:55" ht="13" customHeight="1">
      <c r="C884" s="2" t="s">
        <v>1242</v>
      </c>
      <c r="J884" s="45" t="s">
        <v>169</v>
      </c>
      <c r="K884" s="5"/>
      <c r="L884" s="5"/>
      <c r="M884" s="1621" t="s">
        <v>333</v>
      </c>
      <c r="N884" s="1622"/>
      <c r="O884" s="1622"/>
      <c r="P884" s="1622"/>
      <c r="Q884" s="1622"/>
      <c r="R884" s="1622"/>
      <c r="S884" s="1622"/>
      <c r="T884" s="1622"/>
      <c r="U884" s="1622"/>
      <c r="V884" s="1623"/>
      <c r="W884" s="1474"/>
      <c r="X884" s="1345"/>
      <c r="Y884" s="1345"/>
      <c r="Z884" s="1345"/>
      <c r="AA884" s="1345"/>
      <c r="AB884" s="1345"/>
      <c r="AC884" s="1346"/>
      <c r="AD884" s="533"/>
      <c r="AV884" s="14"/>
      <c r="AW884" s="14"/>
      <c r="AX884" s="14"/>
      <c r="AY884" s="14"/>
      <c r="AZ884" s="34"/>
      <c r="BA884" s="34"/>
      <c r="BB884" s="34"/>
      <c r="BC884" s="34"/>
    </row>
    <row r="885" spans="3:55" ht="13" customHeight="1">
      <c r="J885" s="45" t="s">
        <v>169</v>
      </c>
      <c r="K885" s="5"/>
      <c r="L885" s="5"/>
      <c r="M885" s="1621" t="s">
        <v>333</v>
      </c>
      <c r="N885" s="1622"/>
      <c r="O885" s="1622"/>
      <c r="P885" s="1622"/>
      <c r="Q885" s="1622"/>
      <c r="R885" s="1622"/>
      <c r="S885" s="1622"/>
      <c r="T885" s="1622"/>
      <c r="U885" s="1622"/>
      <c r="V885" s="1623"/>
      <c r="W885" s="1474"/>
      <c r="X885" s="1345"/>
      <c r="Y885" s="1345"/>
      <c r="Z885" s="1345"/>
      <c r="AA885" s="1345"/>
      <c r="AB885" s="1345"/>
      <c r="AC885" s="1346"/>
      <c r="AL885" s="14"/>
      <c r="AM885" s="14"/>
      <c r="AN885" s="14"/>
      <c r="AO885" s="14"/>
      <c r="AP885" s="14"/>
      <c r="AQ885" s="14"/>
      <c r="AR885" s="14"/>
      <c r="AS885" s="14"/>
      <c r="AT885" s="14"/>
      <c r="AV885" s="4"/>
      <c r="AW885" s="4"/>
      <c r="AX885" s="4"/>
      <c r="AY885" s="4"/>
      <c r="AZ885" s="34"/>
      <c r="BA885" s="34"/>
      <c r="BB885" s="34"/>
      <c r="BC885" s="34"/>
    </row>
    <row r="886" spans="3:55" ht="13" customHeight="1">
      <c r="J886" s="45" t="s">
        <v>169</v>
      </c>
      <c r="K886" s="5"/>
      <c r="L886" s="5"/>
      <c r="M886" s="1621" t="s">
        <v>333</v>
      </c>
      <c r="N886" s="1622"/>
      <c r="O886" s="1622"/>
      <c r="P886" s="1622"/>
      <c r="Q886" s="1622"/>
      <c r="R886" s="1622"/>
      <c r="S886" s="1622"/>
      <c r="T886" s="1622"/>
      <c r="U886" s="1622"/>
      <c r="V886" s="1623"/>
      <c r="W886" s="1474"/>
      <c r="X886" s="1345"/>
      <c r="Y886" s="1345"/>
      <c r="Z886" s="1345"/>
      <c r="AA886" s="1345"/>
      <c r="AB886" s="1345"/>
      <c r="AC886" s="1346"/>
      <c r="AL886" s="14"/>
      <c r="AM886" s="14"/>
      <c r="AN886" s="14"/>
      <c r="AO886" s="14"/>
      <c r="AP886" s="14"/>
      <c r="AQ886" s="14"/>
      <c r="AR886" s="14"/>
      <c r="AS886" s="14"/>
      <c r="AT886" s="14"/>
      <c r="AV886" s="4"/>
      <c r="AW886" s="4"/>
      <c r="AX886" s="4"/>
      <c r="AY886" s="4"/>
      <c r="AZ886" s="34"/>
      <c r="BA886" s="34"/>
      <c r="BB886" s="34"/>
      <c r="BC886" s="34"/>
    </row>
    <row r="887" spans="3:55" ht="13" customHeight="1">
      <c r="J887" s="45" t="s">
        <v>169</v>
      </c>
      <c r="K887" s="5"/>
      <c r="L887" s="5"/>
      <c r="M887" s="1621" t="s">
        <v>333</v>
      </c>
      <c r="N887" s="1622"/>
      <c r="O887" s="1622"/>
      <c r="P887" s="1622"/>
      <c r="Q887" s="1622"/>
      <c r="R887" s="1622"/>
      <c r="S887" s="1622"/>
      <c r="T887" s="1622"/>
      <c r="U887" s="1622"/>
      <c r="V887" s="1623"/>
      <c r="W887" s="1474"/>
      <c r="X887" s="1345"/>
      <c r="Y887" s="1345"/>
      <c r="Z887" s="1345"/>
      <c r="AA887" s="1345"/>
      <c r="AB887" s="1345"/>
      <c r="AC887" s="1346"/>
      <c r="AL887" s="14"/>
      <c r="AM887" s="14"/>
      <c r="AN887" s="14"/>
      <c r="AO887" s="14"/>
      <c r="AP887" s="14"/>
      <c r="AQ887" s="14"/>
      <c r="AR887" s="14"/>
      <c r="AS887" s="14"/>
      <c r="AT887" s="14"/>
      <c r="AV887" s="4"/>
      <c r="AW887" s="4"/>
      <c r="AX887" s="4"/>
      <c r="AY887" s="4"/>
      <c r="AZ887" s="34"/>
      <c r="BA887" s="34"/>
      <c r="BB887" s="34"/>
      <c r="BC887" s="34"/>
    </row>
    <row r="888" spans="3:55" ht="13" customHeight="1">
      <c r="J888" s="45"/>
      <c r="K888" s="5"/>
      <c r="L888" s="5"/>
      <c r="M888" s="5"/>
      <c r="N888" s="5"/>
      <c r="O888" s="5"/>
      <c r="P888" s="5"/>
      <c r="Q888" s="5"/>
      <c r="R888" s="5"/>
      <c r="S888" s="5"/>
      <c r="T888" s="5"/>
      <c r="U888" s="5"/>
      <c r="V888" s="54" t="s">
        <v>275</v>
      </c>
      <c r="W888" s="1471">
        <f>SUM(W883:W887)</f>
        <v>0</v>
      </c>
      <c r="X888" s="1472"/>
      <c r="Y888" s="1472"/>
      <c r="Z888" s="1472"/>
      <c r="AA888" s="1472"/>
      <c r="AB888" s="1472"/>
      <c r="AC888" s="1473"/>
      <c r="AL888" s="14"/>
      <c r="AM888" s="14"/>
      <c r="AN888" s="14"/>
      <c r="AO888" s="14"/>
      <c r="AP888" s="14"/>
      <c r="AQ888" s="14"/>
      <c r="AR888" s="14"/>
      <c r="AS888" s="14"/>
      <c r="AT888" s="14"/>
      <c r="AV888" s="4"/>
      <c r="AW888" s="4"/>
      <c r="AX888" s="4"/>
      <c r="AY888" s="4"/>
      <c r="AZ888" s="34"/>
      <c r="BA888" s="34"/>
      <c r="BB888" s="34"/>
      <c r="BC888" s="34"/>
    </row>
    <row r="889" spans="3:55" ht="13"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3" customHeight="1">
      <c r="C890" s="2" t="s">
        <v>177</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3"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3"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276</v>
      </c>
      <c r="AC892" s="1472">
        <f>W855+W863+W870+W872+W881+W888+W857</f>
        <v>931960</v>
      </c>
      <c r="AD892" s="1472"/>
      <c r="AE892" s="1472"/>
      <c r="AF892" s="1472"/>
      <c r="AG892" s="1472"/>
      <c r="AH892" s="1473"/>
      <c r="AL892" s="4"/>
      <c r="AM892" s="4"/>
      <c r="AN892" s="4"/>
      <c r="AO892" s="4"/>
      <c r="AP892" s="4"/>
      <c r="AQ892" s="4"/>
      <c r="AR892" s="4"/>
      <c r="AS892" s="4"/>
      <c r="AT892" s="4"/>
      <c r="AV892" s="4"/>
      <c r="AW892" s="4"/>
      <c r="AX892" s="4"/>
      <c r="AY892" s="4"/>
      <c r="AZ892" s="34"/>
      <c r="BA892" s="34"/>
      <c r="BB892" s="34"/>
      <c r="BC892" s="34"/>
    </row>
    <row r="893" spans="3:55" ht="13"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645">
        <f>O805+O785+G761</f>
        <v>131</v>
      </c>
      <c r="AD893" s="1645"/>
      <c r="AE893" s="1645"/>
      <c r="AF893" s="1645"/>
      <c r="AG893" s="1645"/>
      <c r="AH893" s="1646"/>
      <c r="AL893" s="4"/>
      <c r="AM893" s="4"/>
      <c r="AN893" s="4"/>
      <c r="AO893" s="4"/>
      <c r="AP893" s="4"/>
      <c r="AQ893" s="4"/>
      <c r="AR893" s="4"/>
      <c r="AS893" s="4"/>
      <c r="AT893" s="4"/>
      <c r="AZ893" s="34"/>
      <c r="BA893" s="34"/>
      <c r="BB893" s="34"/>
      <c r="BC893" s="34"/>
    </row>
    <row r="894" spans="3:55" ht="13" customHeight="1">
      <c r="C894" s="41"/>
      <c r="D894" s="42"/>
      <c r="E894" s="1639" t="s">
        <v>32</v>
      </c>
      <c r="F894" s="1639"/>
      <c r="G894" s="1639"/>
      <c r="H894" s="1639"/>
      <c r="I894" s="1639"/>
      <c r="J894" s="1639"/>
      <c r="K894" s="1639"/>
      <c r="L894" s="1639"/>
      <c r="M894" s="1639"/>
      <c r="N894" s="1639"/>
      <c r="O894" s="1639"/>
      <c r="P894" s="1639"/>
      <c r="Q894" s="1639"/>
      <c r="R894" s="1639"/>
      <c r="S894" s="1639"/>
      <c r="T894" s="1639"/>
      <c r="U894" s="1639"/>
      <c r="V894" s="1639"/>
      <c r="W894" s="1639"/>
      <c r="X894" s="1639"/>
      <c r="Y894" s="1639"/>
      <c r="Z894" s="1639"/>
      <c r="AA894" s="1639"/>
      <c r="AB894" s="1640"/>
      <c r="AC894" s="1604">
        <f>IF(ISERROR((ROUNDDOWN(AC892/AC893,0))),0,(ROUNDDOWN(AC892/AC893,0)))</f>
        <v>7114</v>
      </c>
      <c r="AD894" s="1604"/>
      <c r="AE894" s="1604"/>
      <c r="AF894" s="1604"/>
      <c r="AG894" s="1604"/>
      <c r="AH894" s="1604"/>
      <c r="AL894" s="4"/>
      <c r="AM894" s="4"/>
      <c r="AN894" s="4"/>
      <c r="AO894" s="4"/>
      <c r="AP894" s="4"/>
      <c r="AQ894" s="4"/>
      <c r="AR894" s="4"/>
      <c r="AS894" s="4"/>
      <c r="AT894" s="4"/>
      <c r="AZ894" s="34"/>
      <c r="BA894" s="34"/>
      <c r="BB894" s="34"/>
      <c r="BC894" s="34"/>
    </row>
    <row r="895" spans="3:55" ht="13"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760</v>
      </c>
      <c r="AC895" s="1647">
        <v>544209</v>
      </c>
      <c r="AD895" s="1648"/>
      <c r="AE895" s="1648"/>
      <c r="AF895" s="1648"/>
      <c r="AG895" s="1648"/>
      <c r="AH895" s="1648"/>
      <c r="AL895" s="4"/>
      <c r="AM895" s="4"/>
      <c r="AN895" s="4"/>
      <c r="AO895" s="4"/>
      <c r="AP895" s="4"/>
      <c r="AQ895" s="4"/>
      <c r="AR895" s="4"/>
      <c r="AS895" s="4"/>
      <c r="AT895" s="4"/>
      <c r="AZ895" s="34"/>
      <c r="BA895" s="34"/>
      <c r="BB895" s="34"/>
      <c r="BC895" s="34"/>
    </row>
    <row r="896" spans="3:55" ht="13"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1158</v>
      </c>
      <c r="AC896" s="1346"/>
      <c r="AD896" s="1625"/>
      <c r="AE896" s="1625"/>
      <c r="AF896" s="1625"/>
      <c r="AG896" s="1625"/>
      <c r="AH896" s="1625"/>
      <c r="AL896" s="4"/>
      <c r="AM896" s="4"/>
      <c r="AN896" s="4"/>
      <c r="AO896" s="4"/>
      <c r="AP896" s="4"/>
      <c r="AQ896" s="4"/>
      <c r="AR896" s="4"/>
      <c r="AS896" s="4"/>
      <c r="AT896" s="4"/>
      <c r="AZ896" s="34"/>
      <c r="BA896" s="34"/>
      <c r="BB896" s="34"/>
      <c r="BC896" s="34"/>
    </row>
    <row r="897" spans="1:58" ht="13"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345">
        <v>19000</v>
      </c>
      <c r="AD897" s="1345"/>
      <c r="AE897" s="1345"/>
      <c r="AF897" s="1345"/>
      <c r="AG897" s="1345"/>
      <c r="AH897" s="1346"/>
      <c r="AL897" s="4"/>
      <c r="AM897" s="4"/>
      <c r="AN897" s="4"/>
      <c r="AO897" s="4"/>
      <c r="AP897" s="4"/>
      <c r="AQ897" s="4"/>
      <c r="AR897" s="4"/>
      <c r="AS897" s="4"/>
      <c r="AT897" s="4"/>
      <c r="AZ897" s="34"/>
      <c r="BA897" s="34"/>
      <c r="BB897" s="34"/>
      <c r="BC897" s="34"/>
    </row>
    <row r="898" spans="1:58" ht="13"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45">
        <v>32750</v>
      </c>
      <c r="AD898" s="1345"/>
      <c r="AE898" s="1345"/>
      <c r="AF898" s="1345"/>
      <c r="AG898" s="1345"/>
      <c r="AH898" s="1346"/>
      <c r="AZ898" s="34"/>
      <c r="BA898" s="34"/>
      <c r="BB898" s="34"/>
      <c r="BC898" s="34"/>
    </row>
    <row r="899" spans="1:58" ht="13"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1665</v>
      </c>
      <c r="AC899" s="1510"/>
      <c r="AD899" s="1511"/>
      <c r="AE899" s="1511"/>
      <c r="AF899" s="1511"/>
      <c r="AG899" s="1511"/>
      <c r="AH899" s="1512"/>
      <c r="AZ899" s="34"/>
      <c r="BA899" s="34"/>
      <c r="BB899" s="34"/>
      <c r="BC899" s="34"/>
    </row>
    <row r="900" spans="1:58" ht="13"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45">
        <v>12800</v>
      </c>
      <c r="AD900" s="1345"/>
      <c r="AE900" s="1345"/>
      <c r="AF900" s="1345"/>
      <c r="AG900" s="1345"/>
      <c r="AH900" s="1346"/>
      <c r="AZ900" s="34"/>
      <c r="BA900" s="34"/>
      <c r="BB900" s="34"/>
      <c r="BC900" s="34"/>
    </row>
    <row r="901" spans="1:58" ht="13" hidden="1" customHeight="1">
      <c r="C901" s="1402" t="s">
        <v>2185</v>
      </c>
      <c r="D901" s="1403"/>
      <c r="E901" s="1403"/>
      <c r="F901" s="1403"/>
      <c r="G901" s="1403"/>
      <c r="H901" s="1403"/>
      <c r="I901" s="1403"/>
      <c r="J901" s="1403"/>
      <c r="K901" s="1403"/>
      <c r="L901" s="1403"/>
      <c r="M901" s="1403"/>
      <c r="N901" s="1403"/>
      <c r="O901" s="1403"/>
      <c r="P901" s="1403"/>
      <c r="Q901" s="1403"/>
      <c r="R901" s="1403"/>
      <c r="S901" s="1403"/>
      <c r="T901" s="1403"/>
      <c r="U901" s="1403"/>
      <c r="V901" s="1403"/>
      <c r="W901" s="1403"/>
      <c r="X901" s="1403"/>
      <c r="Y901" s="1403"/>
      <c r="Z901" s="1403"/>
      <c r="AA901" s="1403"/>
      <c r="AB901" s="1405"/>
      <c r="AC901" s="1345"/>
      <c r="AD901" s="1345"/>
      <c r="AE901" s="1345"/>
      <c r="AF901" s="1345"/>
      <c r="AG901" s="1345"/>
      <c r="AH901" s="1346"/>
      <c r="AZ901" s="34"/>
      <c r="BA901" s="34"/>
      <c r="BB901" s="34"/>
      <c r="BC901" s="34"/>
    </row>
    <row r="902" spans="1:58" ht="13"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1644</v>
      </c>
      <c r="AC902" s="1345"/>
      <c r="AD902" s="1345"/>
      <c r="AE902" s="1345"/>
      <c r="AF902" s="1345"/>
      <c r="AG902" s="1345"/>
      <c r="AH902" s="1346"/>
      <c r="AZ902" s="34"/>
      <c r="BA902" s="34"/>
      <c r="BB902" s="34"/>
      <c r="BC902" s="34"/>
    </row>
    <row r="903" spans="1:58" ht="13" customHeight="1">
      <c r="C903" s="1692" t="s">
        <v>955</v>
      </c>
      <c r="D903" s="1693"/>
      <c r="E903" s="1693"/>
      <c r="F903" s="1693"/>
      <c r="G903" s="1693"/>
      <c r="H903" s="1693"/>
      <c r="I903" s="1693"/>
      <c r="J903" s="1693"/>
      <c r="K903" s="1693"/>
      <c r="L903" s="1693"/>
      <c r="M903" s="1693"/>
      <c r="N903" s="1693"/>
      <c r="O903" s="1693"/>
      <c r="P903" s="1693"/>
      <c r="Q903" s="1693"/>
      <c r="R903" s="1693"/>
      <c r="S903" s="1693"/>
      <c r="T903" s="1693"/>
      <c r="U903" s="1693"/>
      <c r="V903" s="1693"/>
      <c r="W903" s="1693"/>
      <c r="X903" s="1693"/>
      <c r="Y903" s="1693"/>
      <c r="Z903" s="1693"/>
      <c r="AA903" s="1693"/>
      <c r="AB903" s="1694"/>
      <c r="AC903" s="1625"/>
      <c r="AD903" s="1625"/>
      <c r="AE903" s="1625"/>
      <c r="AF903" s="1625"/>
      <c r="AG903" s="1625"/>
      <c r="AH903" s="1625"/>
      <c r="AZ903" s="34"/>
      <c r="BA903" s="34"/>
      <c r="BB903" s="34"/>
      <c r="BC903" s="34"/>
    </row>
    <row r="904" spans="1:58" ht="13" customHeight="1">
      <c r="C904" s="1692" t="s">
        <v>955</v>
      </c>
      <c r="D904" s="1693"/>
      <c r="E904" s="1693"/>
      <c r="F904" s="1693"/>
      <c r="G904" s="1693"/>
      <c r="H904" s="1693"/>
      <c r="I904" s="1693"/>
      <c r="J904" s="1693"/>
      <c r="K904" s="1693"/>
      <c r="L904" s="1693"/>
      <c r="M904" s="1693"/>
      <c r="N904" s="1693"/>
      <c r="O904" s="1693"/>
      <c r="P904" s="1693"/>
      <c r="Q904" s="1693"/>
      <c r="R904" s="1693"/>
      <c r="S904" s="1693"/>
      <c r="T904" s="1693"/>
      <c r="U904" s="1693"/>
      <c r="V904" s="1693"/>
      <c r="W904" s="1693"/>
      <c r="X904" s="1693"/>
      <c r="Y904" s="1693"/>
      <c r="Z904" s="1693"/>
      <c r="AA904" s="1693"/>
      <c r="AB904" s="1694"/>
      <c r="AC904" s="1625"/>
      <c r="AD904" s="1625"/>
      <c r="AE904" s="1625"/>
      <c r="AF904" s="1625"/>
      <c r="AG904" s="1625"/>
      <c r="AH904" s="1625"/>
      <c r="AU904" s="95"/>
      <c r="AZ904" s="34"/>
      <c r="BA904" s="34"/>
      <c r="BB904" s="34"/>
      <c r="BC904" s="34"/>
    </row>
    <row r="905" spans="1:58" ht="13" customHeight="1">
      <c r="E905" s="512"/>
      <c r="AB905" s="56"/>
      <c r="AC905" s="123"/>
      <c r="AD905" s="123"/>
      <c r="AE905" s="123"/>
      <c r="AF905" s="123"/>
      <c r="AG905" s="123"/>
      <c r="AH905" s="123"/>
      <c r="AU905" s="95"/>
      <c r="AZ905" s="34"/>
      <c r="BA905" s="34"/>
      <c r="BB905" s="34"/>
      <c r="BC905" s="34"/>
    </row>
    <row r="906" spans="1:58" ht="13" customHeight="1">
      <c r="A906" s="2" t="s">
        <v>612</v>
      </c>
      <c r="C906" s="2" t="s">
        <v>236</v>
      </c>
      <c r="X906" s="12"/>
      <c r="Y906" s="12"/>
      <c r="Z906" s="12"/>
      <c r="AA906" s="12"/>
      <c r="AB906" s="12"/>
      <c r="AC906" s="12"/>
      <c r="AD906" s="12"/>
      <c r="AU906" s="95"/>
      <c r="AZ906" s="34"/>
      <c r="BB906" s="30"/>
      <c r="BC906" s="30"/>
    </row>
    <row r="907" spans="1:58" ht="13" customHeight="1">
      <c r="X907" s="12"/>
      <c r="Y907" s="12"/>
      <c r="Z907" s="12"/>
      <c r="AA907" s="12"/>
      <c r="AB907" s="12"/>
      <c r="AC907" s="12"/>
      <c r="AD907" s="12"/>
      <c r="AF907" s="533"/>
      <c r="AG907" s="180"/>
      <c r="AH907" s="180"/>
      <c r="AI907" s="180"/>
      <c r="AU907" s="95"/>
      <c r="AZ907" s="34"/>
      <c r="BB907" s="30"/>
      <c r="BC907" s="30"/>
      <c r="BD907" s="14"/>
      <c r="BE907" s="14"/>
      <c r="BF907" s="14"/>
    </row>
    <row r="908" spans="1:58" ht="13" customHeight="1">
      <c r="B908" s="2"/>
      <c r="H908" s="121" t="s">
        <v>237</v>
      </c>
      <c r="I908" s="5"/>
      <c r="J908" s="5"/>
      <c r="K908" s="5"/>
      <c r="L908" s="5"/>
      <c r="M908" s="5"/>
      <c r="N908" s="5"/>
      <c r="O908" s="5"/>
      <c r="P908" s="5"/>
      <c r="Q908" s="5"/>
      <c r="R908" s="5"/>
      <c r="S908" s="5"/>
      <c r="T908" s="5"/>
      <c r="U908" s="5"/>
      <c r="V908" s="5"/>
      <c r="W908" s="5"/>
      <c r="X908" s="5"/>
      <c r="Y908" s="46"/>
      <c r="Z908" s="1474"/>
      <c r="AA908" s="1345"/>
      <c r="AB908" s="1345"/>
      <c r="AC908" s="1345"/>
      <c r="AD908" s="1345"/>
      <c r="AE908" s="1346"/>
      <c r="AF908" s="533"/>
      <c r="AZ908" s="34"/>
      <c r="BB908" s="30"/>
      <c r="BC908" s="812"/>
      <c r="BD908" s="1629"/>
      <c r="BE908" s="1629"/>
      <c r="BF908" s="14"/>
    </row>
    <row r="909" spans="1:58" ht="13" customHeight="1">
      <c r="H909" s="121" t="s">
        <v>238</v>
      </c>
      <c r="I909" s="5"/>
      <c r="J909" s="5"/>
      <c r="K909" s="5"/>
      <c r="L909" s="5"/>
      <c r="M909" s="5"/>
      <c r="N909" s="5"/>
      <c r="O909" s="5"/>
      <c r="P909" s="5"/>
      <c r="Q909" s="5"/>
      <c r="R909" s="5"/>
      <c r="S909" s="5"/>
      <c r="T909" s="5"/>
      <c r="U909" s="5"/>
      <c r="V909" s="5"/>
      <c r="W909" s="5"/>
      <c r="X909" s="5"/>
      <c r="Y909" s="5"/>
      <c r="Z909" s="1474"/>
      <c r="AA909" s="1345"/>
      <c r="AB909" s="1345"/>
      <c r="AC909" s="1345"/>
      <c r="AD909" s="1345"/>
      <c r="AE909" s="1346"/>
      <c r="AZ909" s="34"/>
      <c r="BB909" s="30"/>
      <c r="BC909" s="812"/>
      <c r="BD909" s="1629"/>
      <c r="BE909" s="1629"/>
      <c r="BF909" s="14"/>
    </row>
    <row r="910" spans="1:58" ht="13" customHeight="1">
      <c r="H910" s="121" t="s">
        <v>239</v>
      </c>
      <c r="I910" s="5"/>
      <c r="J910" s="5"/>
      <c r="K910" s="5"/>
      <c r="L910" s="5"/>
      <c r="M910" s="5"/>
      <c r="N910" s="5"/>
      <c r="O910" s="5"/>
      <c r="P910" s="5"/>
      <c r="Q910" s="5"/>
      <c r="R910" s="5"/>
      <c r="S910" s="5"/>
      <c r="T910" s="5"/>
      <c r="U910" s="5"/>
      <c r="V910" s="5"/>
      <c r="W910" s="5"/>
      <c r="X910" s="5"/>
      <c r="Y910" s="5"/>
      <c r="Z910" s="1474"/>
      <c r="AA910" s="1345"/>
      <c r="AB910" s="1345"/>
      <c r="AC910" s="1345"/>
      <c r="AD910" s="1345"/>
      <c r="AE910" s="1346"/>
      <c r="AZ910" s="34"/>
      <c r="BB910" s="30"/>
      <c r="BC910" s="812"/>
      <c r="BD910" s="1630"/>
      <c r="BE910" s="1630"/>
      <c r="BF910" s="14"/>
    </row>
    <row r="911" spans="1:58" ht="13" customHeight="1">
      <c r="H911" s="45"/>
      <c r="I911" s="5"/>
      <c r="J911" s="5"/>
      <c r="K911" s="5"/>
      <c r="L911" s="5"/>
      <c r="M911" s="5"/>
      <c r="N911" s="5"/>
      <c r="O911" s="5"/>
      <c r="P911" s="5"/>
      <c r="Q911" s="5"/>
      <c r="R911" s="5"/>
      <c r="S911" s="5"/>
      <c r="T911" s="5"/>
      <c r="U911" s="5"/>
      <c r="V911" s="5"/>
      <c r="W911" s="5"/>
      <c r="X911" s="5"/>
      <c r="Y911" s="181" t="s">
        <v>240</v>
      </c>
      <c r="Z911" s="1471">
        <f>Z908-(Z909+Z910)</f>
        <v>0</v>
      </c>
      <c r="AA911" s="1472"/>
      <c r="AB911" s="1472"/>
      <c r="AC911" s="1472"/>
      <c r="AD911" s="1472"/>
      <c r="AE911" s="1473"/>
      <c r="AZ911" s="34"/>
      <c r="BB911" s="30"/>
      <c r="BC911" s="812"/>
      <c r="BD911" s="1630"/>
      <c r="BE911" s="1630"/>
      <c r="BF911" s="14"/>
    </row>
    <row r="912" spans="1:58" ht="13"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30"/>
      <c r="BE912" s="1630"/>
      <c r="BF912" s="14"/>
    </row>
    <row r="913" spans="1:58" ht="13" customHeight="1">
      <c r="C913" t="s">
        <v>244</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29"/>
      <c r="BE913" s="1630"/>
      <c r="BF913" s="14"/>
    </row>
    <row r="914" spans="1:58" ht="13" customHeight="1">
      <c r="C914" s="182" t="s">
        <v>245</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32"/>
      <c r="BE914" s="1632"/>
      <c r="BF914" s="1632"/>
    </row>
    <row r="915" spans="1:58" ht="13" customHeight="1">
      <c r="C915" s="182" t="s">
        <v>246</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31"/>
      <c r="BE915" s="1631"/>
      <c r="BF915" s="1631"/>
    </row>
    <row r="916" spans="1:58" ht="13" customHeight="1">
      <c r="C916" s="340" t="s">
        <v>1011</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30"/>
      <c r="BE916" s="1630"/>
      <c r="BF916" s="14"/>
    </row>
    <row r="917" spans="1:58" ht="13"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29"/>
      <c r="BE917" s="1630"/>
      <c r="BF917" s="14"/>
    </row>
    <row r="918" spans="1:58" ht="13" customHeight="1">
      <c r="AZ918" s="34"/>
      <c r="BB918" s="30"/>
      <c r="BC918" s="812"/>
    </row>
    <row r="919" spans="1:58" ht="13" customHeight="1">
      <c r="A919" s="1544" t="s">
        <v>96</v>
      </c>
      <c r="B919" s="1544"/>
      <c r="C919" s="1544"/>
      <c r="D919" s="1544"/>
      <c r="E919" s="1544"/>
      <c r="F919" s="1544"/>
      <c r="G919" s="1544"/>
      <c r="H919" s="1544"/>
      <c r="I919" s="1544"/>
      <c r="J919" s="1544"/>
      <c r="K919" s="1544"/>
      <c r="L919" s="1544"/>
      <c r="M919" s="1544"/>
      <c r="N919" s="1544"/>
      <c r="O919" s="1544"/>
      <c r="P919" s="1544"/>
      <c r="Q919" s="1544"/>
      <c r="R919" s="1544"/>
      <c r="S919" s="1544"/>
      <c r="T919" s="1544"/>
      <c r="U919" s="1544"/>
      <c r="V919" s="1544"/>
      <c r="W919" s="1544"/>
      <c r="X919" s="1544"/>
      <c r="Y919" s="1544"/>
      <c r="Z919" s="1544"/>
      <c r="AA919" s="1544"/>
      <c r="AB919" s="1544"/>
      <c r="AC919" s="1544"/>
      <c r="AD919" s="1544"/>
      <c r="AE919" s="1544"/>
      <c r="AF919" s="1544"/>
      <c r="AG919" s="1544"/>
      <c r="AH919" s="1544"/>
      <c r="AI919" s="1544"/>
      <c r="AJ919" s="1544"/>
      <c r="AK919" s="1544"/>
      <c r="AL919" s="1544"/>
      <c r="AM919" s="1544"/>
      <c r="AN919" s="1544"/>
      <c r="AO919" s="1544"/>
      <c r="AP919" s="1544"/>
      <c r="AQ919" s="1544"/>
      <c r="AR919" s="1544"/>
      <c r="AS919" s="1544"/>
      <c r="AT919" s="1544"/>
      <c r="AZ919" s="34"/>
      <c r="BA919" s="34"/>
      <c r="BB919" s="30"/>
      <c r="BC919" s="30"/>
      <c r="BD919" s="1629"/>
      <c r="BE919" s="1630"/>
      <c r="BF919" s="907"/>
    </row>
    <row r="920" spans="1:58" ht="13" customHeight="1">
      <c r="A920" s="1544"/>
      <c r="B920" s="1544"/>
      <c r="C920" s="1544"/>
      <c r="D920" s="1544"/>
      <c r="E920" s="1544"/>
      <c r="F920" s="1544"/>
      <c r="G920" s="1544"/>
      <c r="H920" s="1544"/>
      <c r="I920" s="1544"/>
      <c r="J920" s="1544"/>
      <c r="K920" s="1544"/>
      <c r="L920" s="1544"/>
      <c r="M920" s="1544"/>
      <c r="N920" s="1544"/>
      <c r="O920" s="1544"/>
      <c r="P920" s="1544"/>
      <c r="Q920" s="1544"/>
      <c r="R920" s="1544"/>
      <c r="S920" s="1544"/>
      <c r="T920" s="1544"/>
      <c r="U920" s="1544"/>
      <c r="V920" s="1544"/>
      <c r="W920" s="1544"/>
      <c r="X920" s="1544"/>
      <c r="Y920" s="1544"/>
      <c r="Z920" s="1544"/>
      <c r="AA920" s="1544"/>
      <c r="AB920" s="1544"/>
      <c r="AC920" s="1544"/>
      <c r="AD920" s="1544"/>
      <c r="AE920" s="1544"/>
      <c r="AF920" s="1544"/>
      <c r="AG920" s="1544"/>
      <c r="AH920" s="1544"/>
      <c r="AI920" s="1544"/>
      <c r="AJ920" s="1544"/>
      <c r="AK920" s="1544"/>
      <c r="AL920" s="1544"/>
      <c r="AM920" s="1544"/>
      <c r="AN920" s="1544"/>
      <c r="AO920" s="1544"/>
      <c r="AP920" s="1544"/>
      <c r="AQ920" s="1544"/>
      <c r="AR920" s="1544"/>
      <c r="AS920" s="1544"/>
      <c r="AT920" s="1544"/>
      <c r="AZ920" s="34"/>
      <c r="BA920" s="34"/>
      <c r="BB920" s="34"/>
      <c r="BC920" s="34"/>
      <c r="BD920" s="34"/>
      <c r="BE920" s="34"/>
      <c r="BF920" s="34"/>
    </row>
    <row r="921" spans="1:58" ht="13"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3" customHeight="1">
      <c r="A922" s="2" t="s">
        <v>318</v>
      </c>
      <c r="C922" s="2" t="s">
        <v>263</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3" customHeight="1">
      <c r="AZ923" s="34"/>
      <c r="BA923" s="34"/>
      <c r="BB923" s="34"/>
      <c r="BC923" s="34"/>
    </row>
    <row r="924" spans="1:58" ht="13" customHeight="1">
      <c r="F924" s="1642" t="s">
        <v>791</v>
      </c>
      <c r="G924" s="1643"/>
      <c r="H924" s="1643"/>
      <c r="I924" s="1643"/>
      <c r="J924" s="1643"/>
      <c r="K924" s="1643"/>
      <c r="L924" s="1643"/>
      <c r="M924" s="1643"/>
      <c r="N924" s="1643"/>
      <c r="O924" s="1643"/>
      <c r="P924" s="1643"/>
      <c r="Q924" s="1643"/>
      <c r="R924" s="1643"/>
      <c r="S924" s="1643"/>
      <c r="T924" s="1644"/>
      <c r="U924" s="1777" t="s">
        <v>31</v>
      </c>
      <c r="V924" s="1697"/>
      <c r="W924" s="1697"/>
      <c r="X924" s="1697"/>
      <c r="Y924" s="1697"/>
      <c r="Z924" s="1697"/>
      <c r="AA924" s="43"/>
      <c r="AB924" s="105"/>
      <c r="AC924" s="105"/>
      <c r="AD924" s="105"/>
      <c r="AE924" s="105"/>
      <c r="AF924" s="106"/>
      <c r="AZ924" s="34"/>
      <c r="BA924" s="34"/>
      <c r="BB924" s="34"/>
      <c r="BC924" s="34"/>
    </row>
    <row r="925" spans="1:58" ht="13" customHeight="1">
      <c r="B925" s="2"/>
      <c r="F925" s="1733" t="s">
        <v>817</v>
      </c>
      <c r="G925" s="1734"/>
      <c r="H925" s="1734"/>
      <c r="I925" s="1734"/>
      <c r="J925" s="1734"/>
      <c r="K925" s="1734"/>
      <c r="L925" s="1734"/>
      <c r="M925" s="1734"/>
      <c r="N925" s="1734"/>
      <c r="O925" s="1734"/>
      <c r="P925" s="1734"/>
      <c r="Q925" s="1734"/>
      <c r="R925" s="1734"/>
      <c r="S925" s="1734"/>
      <c r="T925" s="1735"/>
      <c r="U925" s="1733"/>
      <c r="V925" s="1734"/>
      <c r="W925" s="1734"/>
      <c r="X925" s="1734"/>
      <c r="Y925" s="1734"/>
      <c r="Z925" s="1734"/>
      <c r="AA925" s="44"/>
      <c r="AB925" s="4"/>
      <c r="AC925" s="4"/>
      <c r="AD925" s="4"/>
      <c r="AE925" s="4"/>
      <c r="AF925" s="107"/>
      <c r="AZ925" s="34"/>
      <c r="BA925" s="34"/>
      <c r="BB925" s="34"/>
      <c r="BC925" s="34"/>
    </row>
    <row r="926" spans="1:58" ht="13" customHeight="1">
      <c r="B926" s="2"/>
      <c r="F926" s="1736"/>
      <c r="G926" s="1699"/>
      <c r="H926" s="1699"/>
      <c r="I926" s="1699"/>
      <c r="J926" s="1699"/>
      <c r="K926" s="1699"/>
      <c r="L926" s="1699"/>
      <c r="M926" s="1699"/>
      <c r="N926" s="1699"/>
      <c r="O926" s="1699"/>
      <c r="P926" s="1699"/>
      <c r="Q926" s="1699"/>
      <c r="R926" s="1699"/>
      <c r="S926" s="1699"/>
      <c r="T926" s="1700"/>
      <c r="U926" s="1736"/>
      <c r="V926" s="1699"/>
      <c r="W926" s="1699"/>
      <c r="X926" s="1699"/>
      <c r="Y926" s="1699"/>
      <c r="Z926" s="1699"/>
      <c r="AA926" s="108"/>
      <c r="AB926" s="1410" t="s">
        <v>390</v>
      </c>
      <c r="AC926" s="1410"/>
      <c r="AD926" s="1410"/>
      <c r="AE926" s="1410"/>
      <c r="AF926" s="109"/>
      <c r="AZ926" s="34"/>
      <c r="BA926" s="34"/>
      <c r="BB926" s="34"/>
      <c r="BC926" s="34"/>
    </row>
    <row r="927" spans="1:58" ht="13" customHeight="1">
      <c r="B927" s="2"/>
      <c r="F927" s="45" t="s">
        <v>757</v>
      </c>
      <c r="G927" s="48"/>
      <c r="H927" s="48"/>
      <c r="I927" s="48"/>
      <c r="J927" s="48"/>
      <c r="K927" s="48"/>
      <c r="L927" s="48"/>
      <c r="M927" s="48"/>
      <c r="N927" s="48"/>
      <c r="O927" s="48"/>
      <c r="P927" s="48"/>
      <c r="Q927" s="48"/>
      <c r="R927" s="48"/>
      <c r="S927" s="48"/>
      <c r="T927" s="49"/>
      <c r="U927" s="1636" t="s">
        <v>544</v>
      </c>
      <c r="V927" s="1412"/>
      <c r="W927" s="1412"/>
      <c r="X927" s="1412"/>
      <c r="Y927" s="1412"/>
      <c r="Z927" s="1413"/>
      <c r="AA927" s="1637">
        <v>18240960</v>
      </c>
      <c r="AB927" s="1539"/>
      <c r="AC927" s="1539"/>
      <c r="AD927" s="1539"/>
      <c r="AE927" s="1539"/>
      <c r="AF927" s="1638"/>
      <c r="AG927" s="1191" t="str">
        <f>IF(NOT(AA927=AW927),"!","")</f>
        <v/>
      </c>
      <c r="AH927" s="3"/>
      <c r="AW927" s="1399">
        <f>SUMIF($M$562:$M$573,"Loan, Tax-Exempt",$AM$562:$AM$573)</f>
        <v>18240960</v>
      </c>
      <c r="AX927" s="1399"/>
      <c r="AY927" s="1399"/>
      <c r="AZ927" s="3" t="s">
        <v>2536</v>
      </c>
      <c r="BA927" s="34"/>
      <c r="BB927" s="34"/>
      <c r="BC927" s="34"/>
    </row>
    <row r="928" spans="1:58" ht="13" customHeight="1">
      <c r="B928" s="2"/>
      <c r="F928" s="66" t="s">
        <v>674</v>
      </c>
      <c r="G928" s="48"/>
      <c r="H928" s="48"/>
      <c r="I928" s="48"/>
      <c r="J928" s="48"/>
      <c r="K928" s="48"/>
      <c r="L928" s="48"/>
      <c r="M928" s="48"/>
      <c r="N928" s="48"/>
      <c r="O928" s="48"/>
      <c r="P928" s="48"/>
      <c r="Q928" s="48"/>
      <c r="R928" s="48"/>
      <c r="S928" s="48"/>
      <c r="T928" s="49"/>
      <c r="U928" s="1636" t="s">
        <v>544</v>
      </c>
      <c r="V928" s="1412"/>
      <c r="W928" s="1412"/>
      <c r="X928" s="1412"/>
      <c r="Y928" s="1412"/>
      <c r="Z928" s="1413"/>
      <c r="AA928" s="1637">
        <v>18602850</v>
      </c>
      <c r="AB928" s="1539"/>
      <c r="AC928" s="1539"/>
      <c r="AD928" s="1539"/>
      <c r="AE928" s="1539"/>
      <c r="AF928" s="1638"/>
      <c r="AZ928" s="34"/>
      <c r="BA928" s="34"/>
      <c r="BB928" s="34"/>
      <c r="BC928" s="34"/>
    </row>
    <row r="929" spans="6:55" ht="13" customHeight="1">
      <c r="F929" s="45" t="s">
        <v>800</v>
      </c>
      <c r="G929" s="5"/>
      <c r="H929" s="5"/>
      <c r="I929" s="5"/>
      <c r="J929" s="5"/>
      <c r="K929" s="5"/>
      <c r="L929" s="5"/>
      <c r="M929" s="5"/>
      <c r="N929" s="5"/>
      <c r="O929" s="5"/>
      <c r="P929" s="5"/>
      <c r="Q929" s="5"/>
      <c r="R929" s="5"/>
      <c r="S929" s="5"/>
      <c r="T929" s="46"/>
      <c r="U929" s="1636" t="s">
        <v>590</v>
      </c>
      <c r="V929" s="1412"/>
      <c r="W929" s="1412"/>
      <c r="X929" s="1412"/>
      <c r="Y929" s="1412"/>
      <c r="Z929" s="1413"/>
      <c r="AA929" s="1637"/>
      <c r="AB929" s="1539"/>
      <c r="AC929" s="1539"/>
      <c r="AD929" s="1539"/>
      <c r="AE929" s="1539"/>
      <c r="AF929" s="1638"/>
      <c r="AZ929" s="34"/>
      <c r="BA929" s="34"/>
      <c r="BB929" s="34"/>
      <c r="BC929" s="34"/>
    </row>
    <row r="930" spans="6:55" ht="13" customHeight="1">
      <c r="F930" s="45" t="s">
        <v>677</v>
      </c>
      <c r="G930" s="5"/>
      <c r="H930" s="5"/>
      <c r="I930" s="5"/>
      <c r="J930" s="5"/>
      <c r="K930" s="5"/>
      <c r="L930" s="5"/>
      <c r="M930" s="5"/>
      <c r="N930" s="5"/>
      <c r="O930" s="5"/>
      <c r="P930" s="5"/>
      <c r="Q930" s="5"/>
      <c r="R930" s="5"/>
      <c r="S930" s="5"/>
      <c r="T930" s="46"/>
      <c r="U930" s="1636" t="s">
        <v>590</v>
      </c>
      <c r="V930" s="1412"/>
      <c r="W930" s="1412"/>
      <c r="X930" s="1412"/>
      <c r="Y930" s="1412"/>
      <c r="Z930" s="1413"/>
      <c r="AA930" s="1637"/>
      <c r="AB930" s="1539"/>
      <c r="AC930" s="1539"/>
      <c r="AD930" s="1539"/>
      <c r="AE930" s="1539"/>
      <c r="AF930" s="1638"/>
      <c r="AZ930" s="34"/>
      <c r="BA930" s="34"/>
      <c r="BB930" s="34"/>
      <c r="BC930" s="34"/>
    </row>
    <row r="931" spans="6:55" ht="13" customHeight="1">
      <c r="F931" s="66" t="s">
        <v>785</v>
      </c>
      <c r="G931" s="5"/>
      <c r="H931" s="5"/>
      <c r="I931" s="5"/>
      <c r="J931" s="5"/>
      <c r="K931" s="5"/>
      <c r="L931" s="5"/>
      <c r="M931" s="5"/>
      <c r="N931" s="5"/>
      <c r="O931" s="5"/>
      <c r="P931" s="5"/>
      <c r="Q931" s="5"/>
      <c r="R931" s="5"/>
      <c r="S931" s="5"/>
      <c r="T931" s="46"/>
      <c r="U931" s="1636" t="s">
        <v>590</v>
      </c>
      <c r="V931" s="1412"/>
      <c r="W931" s="1412"/>
      <c r="X931" s="1412"/>
      <c r="Y931" s="1412"/>
      <c r="Z931" s="1413"/>
      <c r="AA931" s="1637"/>
      <c r="AB931" s="1539"/>
      <c r="AC931" s="1539"/>
      <c r="AD931" s="1539"/>
      <c r="AE931" s="1539"/>
      <c r="AF931" s="1638"/>
      <c r="AZ931" s="34"/>
      <c r="BA931" s="34"/>
      <c r="BB931" s="34"/>
      <c r="BC931" s="34"/>
    </row>
    <row r="932" spans="6:55" ht="13" customHeight="1">
      <c r="F932" s="66" t="s">
        <v>786</v>
      </c>
      <c r="G932" s="5"/>
      <c r="H932" s="5"/>
      <c r="I932" s="5"/>
      <c r="J932" s="5"/>
      <c r="K932" s="5"/>
      <c r="L932" s="5"/>
      <c r="M932" s="5"/>
      <c r="N932" s="5"/>
      <c r="O932" s="5"/>
      <c r="P932" s="5"/>
      <c r="Q932" s="5"/>
      <c r="R932" s="5"/>
      <c r="S932" s="5"/>
      <c r="T932" s="46"/>
      <c r="U932" s="1636" t="s">
        <v>590</v>
      </c>
      <c r="V932" s="1412"/>
      <c r="W932" s="1412"/>
      <c r="X932" s="1412"/>
      <c r="Y932" s="1412"/>
      <c r="Z932" s="1413"/>
      <c r="AA932" s="1637"/>
      <c r="AB932" s="1539"/>
      <c r="AC932" s="1539"/>
      <c r="AD932" s="1539"/>
      <c r="AE932" s="1539"/>
      <c r="AF932" s="1638"/>
      <c r="AZ932" s="34"/>
      <c r="BA932" s="34"/>
      <c r="BB932" s="34"/>
      <c r="BC932" s="34"/>
    </row>
    <row r="933" spans="6:55" ht="13" customHeight="1">
      <c r="F933" s="66" t="s">
        <v>787</v>
      </c>
      <c r="G933" s="5"/>
      <c r="H933" s="5"/>
      <c r="I933" s="5"/>
      <c r="J933" s="5"/>
      <c r="K933" s="5"/>
      <c r="L933" s="5"/>
      <c r="M933" s="5"/>
      <c r="N933" s="5"/>
      <c r="O933" s="5"/>
      <c r="P933" s="5"/>
      <c r="Q933" s="5"/>
      <c r="R933" s="5"/>
      <c r="S933" s="5"/>
      <c r="T933" s="46"/>
      <c r="U933" s="1636" t="s">
        <v>590</v>
      </c>
      <c r="V933" s="1412"/>
      <c r="W933" s="1412"/>
      <c r="X933" s="1412"/>
      <c r="Y933" s="1412"/>
      <c r="Z933" s="1413"/>
      <c r="AA933" s="1637"/>
      <c r="AB933" s="1539"/>
      <c r="AC933" s="1539"/>
      <c r="AD933" s="1539"/>
      <c r="AE933" s="1539"/>
      <c r="AF933" s="1638"/>
      <c r="AZ933" s="34"/>
      <c r="BA933" s="34"/>
      <c r="BB933" s="34"/>
      <c r="BC933" s="34"/>
    </row>
    <row r="934" spans="6:55" ht="13" customHeight="1">
      <c r="F934" s="45" t="s">
        <v>676</v>
      </c>
      <c r="G934" s="5"/>
      <c r="H934" s="5"/>
      <c r="I934" s="5"/>
      <c r="J934" s="5"/>
      <c r="K934" s="5"/>
      <c r="L934" s="5"/>
      <c r="M934" s="5"/>
      <c r="N934" s="5"/>
      <c r="O934" s="5"/>
      <c r="P934" s="5"/>
      <c r="Q934" s="5"/>
      <c r="R934" s="5"/>
      <c r="S934" s="5"/>
      <c r="T934" s="46"/>
      <c r="U934" s="1636" t="s">
        <v>590</v>
      </c>
      <c r="V934" s="1412"/>
      <c r="W934" s="1412"/>
      <c r="X934" s="1412"/>
      <c r="Y934" s="1412"/>
      <c r="Z934" s="1413"/>
      <c r="AA934" s="1637"/>
      <c r="AB934" s="1539"/>
      <c r="AC934" s="1539"/>
      <c r="AD934" s="1539"/>
      <c r="AE934" s="1539"/>
      <c r="AF934" s="1638"/>
      <c r="AZ934" s="34"/>
      <c r="BA934" s="34"/>
      <c r="BB934" s="34"/>
      <c r="BC934" s="34"/>
    </row>
    <row r="935" spans="6:55" ht="13" customHeight="1">
      <c r="F935" s="1626" t="s">
        <v>2145</v>
      </c>
      <c r="G935" s="1627"/>
      <c r="H935" s="1627"/>
      <c r="I935" s="1627"/>
      <c r="J935" s="1627"/>
      <c r="K935" s="1627"/>
      <c r="L935" s="1627"/>
      <c r="M935" s="1627"/>
      <c r="N935" s="1627"/>
      <c r="O935" s="1627"/>
      <c r="P935" s="1627"/>
      <c r="Q935" s="1627"/>
      <c r="R935" s="1627"/>
      <c r="S935" s="1627"/>
      <c r="T935" s="1628"/>
      <c r="U935" s="1636" t="s">
        <v>590</v>
      </c>
      <c r="V935" s="1412"/>
      <c r="W935" s="1412"/>
      <c r="X935" s="1412"/>
      <c r="Y935" s="1412"/>
      <c r="Z935" s="1413"/>
      <c r="AA935" s="1637"/>
      <c r="AB935" s="1539"/>
      <c r="AC935" s="1539"/>
      <c r="AD935" s="1539"/>
      <c r="AE935" s="1539"/>
      <c r="AF935" s="1638"/>
      <c r="AZ935" s="34"/>
      <c r="BA935" s="34"/>
      <c r="BB935" s="34"/>
      <c r="BC935" s="34"/>
    </row>
    <row r="936" spans="6:55" ht="13" customHeight="1">
      <c r="F936" s="1626" t="s">
        <v>678</v>
      </c>
      <c r="G936" s="1627"/>
      <c r="H936" s="1627"/>
      <c r="I936" s="1627"/>
      <c r="J936" s="1627"/>
      <c r="K936" s="1627"/>
      <c r="L936" s="1627"/>
      <c r="M936" s="1627"/>
      <c r="N936" s="1627"/>
      <c r="O936" s="1627"/>
      <c r="P936" s="1627"/>
      <c r="Q936" s="1627"/>
      <c r="R936" s="1627"/>
      <c r="S936" s="1627"/>
      <c r="T936" s="1628"/>
      <c r="U936" s="1636" t="s">
        <v>590</v>
      </c>
      <c r="V936" s="1412"/>
      <c r="W936" s="1412"/>
      <c r="X936" s="1412"/>
      <c r="Y936" s="1412"/>
      <c r="Z936" s="1413"/>
      <c r="AA936" s="1637"/>
      <c r="AB936" s="1539"/>
      <c r="AC936" s="1539"/>
      <c r="AD936" s="1539"/>
      <c r="AE936" s="1539"/>
      <c r="AF936" s="1638"/>
      <c r="AU936" s="2"/>
      <c r="AZ936" s="34"/>
      <c r="BA936" s="34"/>
      <c r="BB936" s="34"/>
      <c r="BC936" s="34"/>
    </row>
    <row r="937" spans="6:55" ht="13" customHeight="1">
      <c r="F937" s="1626" t="s">
        <v>2146</v>
      </c>
      <c r="G937" s="1627"/>
      <c r="H937" s="1627"/>
      <c r="I937" s="1627"/>
      <c r="J937" s="1627"/>
      <c r="K937" s="1627"/>
      <c r="L937" s="1627"/>
      <c r="M937" s="1627"/>
      <c r="N937" s="1627"/>
      <c r="O937" s="1627"/>
      <c r="P937" s="1627"/>
      <c r="Q937" s="1627"/>
      <c r="R937" s="1627"/>
      <c r="S937" s="1627"/>
      <c r="T937" s="1628"/>
      <c r="U937" s="1636" t="s">
        <v>590</v>
      </c>
      <c r="V937" s="1412"/>
      <c r="W937" s="1412"/>
      <c r="X937" s="1412"/>
      <c r="Y937" s="1412"/>
      <c r="Z937" s="1413"/>
      <c r="AA937" s="1637"/>
      <c r="AB937" s="1539"/>
      <c r="AC937" s="1539"/>
      <c r="AD937" s="1539"/>
      <c r="AE937" s="1539"/>
      <c r="AF937" s="1638"/>
      <c r="AU937" s="2"/>
      <c r="AZ937" s="34"/>
      <c r="BA937" s="34"/>
      <c r="BB937" s="34"/>
      <c r="BC937" s="34"/>
    </row>
    <row r="938" spans="6:55" ht="13" customHeight="1">
      <c r="F938" s="1626" t="s">
        <v>2147</v>
      </c>
      <c r="G938" s="1627"/>
      <c r="H938" s="1627"/>
      <c r="I938" s="1627"/>
      <c r="J938" s="1627"/>
      <c r="K938" s="1627"/>
      <c r="L938" s="1627"/>
      <c r="M938" s="1627"/>
      <c r="N938" s="1627"/>
      <c r="O938" s="1627"/>
      <c r="P938" s="1627"/>
      <c r="Q938" s="1627"/>
      <c r="R938" s="1627"/>
      <c r="S938" s="1627"/>
      <c r="T938" s="1628"/>
      <c r="U938" s="1636" t="s">
        <v>590</v>
      </c>
      <c r="V938" s="1412"/>
      <c r="W938" s="1412"/>
      <c r="X938" s="1412"/>
      <c r="Y938" s="1412"/>
      <c r="Z938" s="1413"/>
      <c r="AA938" s="1637"/>
      <c r="AB938" s="1539"/>
      <c r="AC938" s="1539"/>
      <c r="AD938" s="1539"/>
      <c r="AE938" s="1539"/>
      <c r="AF938" s="1638"/>
      <c r="AU938" s="2"/>
      <c r="AZ938" s="34"/>
      <c r="BA938" s="34"/>
      <c r="BB938" s="34"/>
      <c r="BC938" s="34"/>
    </row>
    <row r="939" spans="6:55" ht="13" customHeight="1">
      <c r="F939" s="1626" t="s">
        <v>2148</v>
      </c>
      <c r="G939" s="1627"/>
      <c r="H939" s="1627"/>
      <c r="I939" s="1627"/>
      <c r="J939" s="1627"/>
      <c r="K939" s="1627"/>
      <c r="L939" s="1627"/>
      <c r="M939" s="1627"/>
      <c r="N939" s="1627"/>
      <c r="O939" s="1627"/>
      <c r="P939" s="1627"/>
      <c r="Q939" s="1627"/>
      <c r="R939" s="1627"/>
      <c r="S939" s="1627"/>
      <c r="T939" s="1628"/>
      <c r="U939" s="1636" t="s">
        <v>590</v>
      </c>
      <c r="V939" s="1412"/>
      <c r="W939" s="1412"/>
      <c r="X939" s="1412"/>
      <c r="Y939" s="1412"/>
      <c r="Z939" s="1413"/>
      <c r="AA939" s="1637"/>
      <c r="AB939" s="1539"/>
      <c r="AC939" s="1539"/>
      <c r="AD939" s="1539"/>
      <c r="AE939" s="1539"/>
      <c r="AF939" s="1638"/>
      <c r="AU939" s="2"/>
      <c r="AZ939" s="34"/>
      <c r="BA939" s="34"/>
      <c r="BB939" s="34"/>
      <c r="BC939" s="34"/>
    </row>
    <row r="940" spans="6:55" ht="13" customHeight="1">
      <c r="F940" s="1626" t="s">
        <v>2149</v>
      </c>
      <c r="G940" s="1627"/>
      <c r="H940" s="1627"/>
      <c r="I940" s="1627"/>
      <c r="J940" s="1627"/>
      <c r="K940" s="1627"/>
      <c r="L940" s="1627"/>
      <c r="M940" s="1627"/>
      <c r="N940" s="1627"/>
      <c r="O940" s="1627"/>
      <c r="P940" s="1627"/>
      <c r="Q940" s="1627"/>
      <c r="R940" s="1627"/>
      <c r="S940" s="1627"/>
      <c r="T940" s="1628"/>
      <c r="U940" s="1636" t="s">
        <v>590</v>
      </c>
      <c r="V940" s="1412"/>
      <c r="W940" s="1412"/>
      <c r="X940" s="1412"/>
      <c r="Y940" s="1412"/>
      <c r="Z940" s="1413"/>
      <c r="AA940" s="1637"/>
      <c r="AB940" s="1539"/>
      <c r="AC940" s="1539"/>
      <c r="AD940" s="1539"/>
      <c r="AE940" s="1539"/>
      <c r="AF940" s="1638"/>
      <c r="AU940" s="2"/>
      <c r="AZ940" s="34"/>
      <c r="BA940" s="34"/>
      <c r="BB940" s="34"/>
      <c r="BC940" s="34"/>
    </row>
    <row r="941" spans="6:55" ht="13" customHeight="1">
      <c r="F941" s="1626" t="s">
        <v>2150</v>
      </c>
      <c r="G941" s="1627"/>
      <c r="H941" s="1627"/>
      <c r="I941" s="1627"/>
      <c r="J941" s="1627"/>
      <c r="K941" s="1627"/>
      <c r="L941" s="1627"/>
      <c r="M941" s="1627"/>
      <c r="N941" s="1627"/>
      <c r="O941" s="1627"/>
      <c r="P941" s="1627"/>
      <c r="Q941" s="1627"/>
      <c r="R941" s="1627"/>
      <c r="S941" s="1627"/>
      <c r="T941" s="1628"/>
      <c r="U941" s="1636" t="s">
        <v>590</v>
      </c>
      <c r="V941" s="1412"/>
      <c r="W941" s="1412"/>
      <c r="X941" s="1412"/>
      <c r="Y941" s="1412"/>
      <c r="Z941" s="1413"/>
      <c r="AA941" s="1637"/>
      <c r="AB941" s="1539"/>
      <c r="AC941" s="1539"/>
      <c r="AD941" s="1539"/>
      <c r="AE941" s="1539"/>
      <c r="AF941" s="1638"/>
      <c r="AZ941" s="30"/>
      <c r="BA941" s="30"/>
    </row>
    <row r="942" spans="6:55" ht="13" customHeight="1">
      <c r="F942" s="178" t="s">
        <v>675</v>
      </c>
      <c r="G942" s="5"/>
      <c r="H942" s="5"/>
      <c r="I942" s="5"/>
      <c r="J942" s="5"/>
      <c r="K942" s="5"/>
      <c r="L942" s="5"/>
      <c r="M942" s="5"/>
      <c r="N942" s="5"/>
      <c r="O942" s="5"/>
      <c r="P942" s="5"/>
      <c r="Q942" s="5"/>
      <c r="R942" s="5"/>
      <c r="S942" s="5"/>
      <c r="T942" s="46"/>
      <c r="U942" s="1636" t="s">
        <v>590</v>
      </c>
      <c r="V942" s="1412"/>
      <c r="W942" s="1412"/>
      <c r="X942" s="1412"/>
      <c r="Y942" s="1412"/>
      <c r="Z942" s="1413"/>
      <c r="AA942" s="1637"/>
      <c r="AB942" s="1539"/>
      <c r="AC942" s="1539"/>
      <c r="AD942" s="1539"/>
      <c r="AE942" s="1539"/>
      <c r="AF942" s="1638"/>
    </row>
    <row r="943" spans="6:55" ht="13" customHeight="1">
      <c r="F943" s="121" t="s">
        <v>1275</v>
      </c>
      <c r="G943" s="5"/>
      <c r="H943" s="5"/>
      <c r="I943" s="5"/>
      <c r="J943" s="5"/>
      <c r="K943" s="5"/>
      <c r="L943" s="5"/>
      <c r="M943" s="5"/>
      <c r="N943" s="5"/>
      <c r="O943" s="5"/>
      <c r="P943" s="5"/>
      <c r="Q943" s="5"/>
      <c r="R943" s="5"/>
      <c r="S943" s="5"/>
      <c r="T943" s="46"/>
      <c r="U943" s="1636" t="s">
        <v>590</v>
      </c>
      <c r="V943" s="1412"/>
      <c r="W943" s="1412"/>
      <c r="X943" s="1412"/>
      <c r="Y943" s="1412"/>
      <c r="Z943" s="1413"/>
      <c r="AA943" s="1637"/>
      <c r="AB943" s="1539"/>
      <c r="AC943" s="1539"/>
      <c r="AD943" s="1539"/>
      <c r="AE943" s="1539"/>
      <c r="AF943" s="1638"/>
      <c r="AZ943" s="30"/>
      <c r="BA943" s="14"/>
    </row>
    <row r="944" spans="6:55" ht="13" customHeight="1">
      <c r="F944" s="66" t="s">
        <v>801</v>
      </c>
      <c r="G944" s="5"/>
      <c r="H944" s="5"/>
      <c r="I944" s="5"/>
      <c r="J944" s="5"/>
      <c r="K944" s="5"/>
      <c r="L944" s="5"/>
      <c r="M944" s="5"/>
      <c r="N944" s="5"/>
      <c r="O944" s="5"/>
      <c r="P944" s="5"/>
      <c r="Q944" s="5"/>
      <c r="R944" s="5"/>
      <c r="S944" s="5"/>
      <c r="T944" s="46"/>
      <c r="U944" s="1636" t="s">
        <v>590</v>
      </c>
      <c r="V944" s="1412"/>
      <c r="W944" s="1412"/>
      <c r="X944" s="1412"/>
      <c r="Y944" s="1412"/>
      <c r="Z944" s="1413"/>
      <c r="AA944" s="1637"/>
      <c r="AB944" s="1539"/>
      <c r="AC944" s="1539"/>
      <c r="AD944" s="1539"/>
      <c r="AE944" s="1539"/>
      <c r="AF944" s="1638"/>
      <c r="AZ944" s="30"/>
      <c r="BA944" s="14"/>
    </row>
    <row r="945" spans="6:55" ht="13" customHeight="1">
      <c r="F945" s="1633" t="s">
        <v>2154</v>
      </c>
      <c r="G945" s="1634"/>
      <c r="H945" s="1634"/>
      <c r="I945" s="1634"/>
      <c r="J945" s="1634"/>
      <c r="K945" s="1634"/>
      <c r="L945" s="1634"/>
      <c r="M945" s="1634"/>
      <c r="N945" s="1634"/>
      <c r="O945" s="1634"/>
      <c r="P945" s="1634"/>
      <c r="Q945" s="1634"/>
      <c r="R945" s="1634"/>
      <c r="S945" s="1634"/>
      <c r="T945" s="1635"/>
      <c r="U945" s="1636" t="s">
        <v>590</v>
      </c>
      <c r="V945" s="1412"/>
      <c r="W945" s="1412"/>
      <c r="X945" s="1412"/>
      <c r="Y945" s="1412"/>
      <c r="Z945" s="1413"/>
      <c r="AA945" s="1637"/>
      <c r="AB945" s="1539"/>
      <c r="AC945" s="1539"/>
      <c r="AD945" s="1539"/>
      <c r="AE945" s="1539"/>
      <c r="AF945" s="1638"/>
      <c r="AZ945" s="30"/>
      <c r="BA945" s="14"/>
    </row>
    <row r="946" spans="6:55" ht="13" customHeight="1">
      <c r="F946" s="1633" t="s">
        <v>2155</v>
      </c>
      <c r="G946" s="1634"/>
      <c r="H946" s="1634"/>
      <c r="I946" s="1634"/>
      <c r="J946" s="1634"/>
      <c r="K946" s="1634"/>
      <c r="L946" s="1634"/>
      <c r="M946" s="1634"/>
      <c r="N946" s="1634"/>
      <c r="O946" s="1634"/>
      <c r="P946" s="1634"/>
      <c r="Q946" s="1634"/>
      <c r="R946" s="1634"/>
      <c r="S946" s="1634"/>
      <c r="T946" s="1635"/>
      <c r="U946" s="1636" t="s">
        <v>590</v>
      </c>
      <c r="V946" s="1412"/>
      <c r="W946" s="1412"/>
      <c r="X946" s="1412"/>
      <c r="Y946" s="1412"/>
      <c r="Z946" s="1413"/>
      <c r="AA946" s="1637"/>
      <c r="AB946" s="1539"/>
      <c r="AC946" s="1539"/>
      <c r="AD946" s="1539"/>
      <c r="AE946" s="1539"/>
      <c r="AF946" s="1638"/>
      <c r="AZ946" s="30"/>
      <c r="BA946" s="30"/>
    </row>
    <row r="947" spans="6:55" ht="13" customHeight="1">
      <c r="F947" s="1626" t="s">
        <v>2151</v>
      </c>
      <c r="G947" s="1627"/>
      <c r="H947" s="1627"/>
      <c r="I947" s="1627"/>
      <c r="J947" s="1627"/>
      <c r="K947" s="1627"/>
      <c r="L947" s="1627"/>
      <c r="M947" s="1627"/>
      <c r="N947" s="1627"/>
      <c r="O947" s="1627"/>
      <c r="P947" s="1627"/>
      <c r="Q947" s="1627"/>
      <c r="R947" s="1627"/>
      <c r="S947" s="1627"/>
      <c r="T947" s="1628"/>
      <c r="U947" s="1636" t="s">
        <v>590</v>
      </c>
      <c r="V947" s="1412"/>
      <c r="W947" s="1412"/>
      <c r="X947" s="1412"/>
      <c r="Y947" s="1412"/>
      <c r="Z947" s="1413"/>
      <c r="AA947" s="1637"/>
      <c r="AB947" s="1539"/>
      <c r="AC947" s="1539"/>
      <c r="AD947" s="1539"/>
      <c r="AE947" s="1539"/>
      <c r="AF947" s="1638"/>
      <c r="AZ947" s="30"/>
      <c r="BA947" s="30"/>
    </row>
    <row r="948" spans="6:55" ht="13" customHeight="1">
      <c r="F948" s="1626" t="s">
        <v>2152</v>
      </c>
      <c r="G948" s="1627"/>
      <c r="H948" s="1627"/>
      <c r="I948" s="1627"/>
      <c r="J948" s="1627"/>
      <c r="K948" s="1627"/>
      <c r="L948" s="1627"/>
      <c r="M948" s="1627"/>
      <c r="N948" s="1627"/>
      <c r="O948" s="1627"/>
      <c r="P948" s="1627"/>
      <c r="Q948" s="1627"/>
      <c r="R948" s="1627"/>
      <c r="S948" s="1627"/>
      <c r="T948" s="1628"/>
      <c r="U948" s="1636" t="s">
        <v>590</v>
      </c>
      <c r="V948" s="1412"/>
      <c r="W948" s="1412"/>
      <c r="X948" s="1412"/>
      <c r="Y948" s="1412"/>
      <c r="Z948" s="1413"/>
      <c r="AA948" s="1637"/>
      <c r="AB948" s="1539"/>
      <c r="AC948" s="1539"/>
      <c r="AD948" s="1539"/>
      <c r="AE948" s="1539"/>
      <c r="AF948" s="1638"/>
      <c r="AZ948" s="30"/>
      <c r="BA948" s="30"/>
    </row>
    <row r="949" spans="6:55" ht="13" customHeight="1">
      <c r="F949" s="1626" t="s">
        <v>2153</v>
      </c>
      <c r="G949" s="1627"/>
      <c r="H949" s="1627"/>
      <c r="I949" s="1627"/>
      <c r="J949" s="1627"/>
      <c r="K949" s="1627"/>
      <c r="L949" s="1627"/>
      <c r="M949" s="1627"/>
      <c r="N949" s="1627"/>
      <c r="O949" s="1627"/>
      <c r="P949" s="1627"/>
      <c r="Q949" s="1627"/>
      <c r="R949" s="1627"/>
      <c r="S949" s="1627"/>
      <c r="T949" s="1628"/>
      <c r="U949" s="1636" t="s">
        <v>590</v>
      </c>
      <c r="V949" s="1412"/>
      <c r="W949" s="1412"/>
      <c r="X949" s="1412"/>
      <c r="Y949" s="1412"/>
      <c r="Z949" s="1413"/>
      <c r="AA949" s="1637"/>
      <c r="AB949" s="1539"/>
      <c r="AC949" s="1539"/>
      <c r="AD949" s="1539"/>
      <c r="AE949" s="1539"/>
      <c r="AF949" s="1638"/>
      <c r="AZ949" s="34"/>
      <c r="BA949" s="34"/>
      <c r="BB949" s="14"/>
      <c r="BC949" s="14"/>
    </row>
    <row r="950" spans="6:55" ht="13" customHeight="1">
      <c r="F950" s="121" t="s">
        <v>1259</v>
      </c>
      <c r="G950" s="5"/>
      <c r="H950" s="5"/>
      <c r="I950" s="5"/>
      <c r="J950" s="5"/>
      <c r="K950" s="5"/>
      <c r="L950" s="5"/>
      <c r="M950" s="5"/>
      <c r="N950" s="5"/>
      <c r="O950" s="5"/>
      <c r="P950" s="5"/>
      <c r="Q950" s="5"/>
      <c r="R950" s="5"/>
      <c r="S950" s="5"/>
      <c r="T950" s="46"/>
      <c r="U950" s="1636" t="s">
        <v>590</v>
      </c>
      <c r="V950" s="1412"/>
      <c r="W950" s="1412"/>
      <c r="X950" s="1412"/>
      <c r="Y950" s="1412"/>
      <c r="Z950" s="1413"/>
      <c r="AA950" s="1637"/>
      <c r="AB950" s="1539"/>
      <c r="AC950" s="1539"/>
      <c r="AD950" s="1539"/>
      <c r="AE950" s="1539"/>
      <c r="AF950" s="1638"/>
      <c r="AZ950" s="34"/>
      <c r="BA950" s="34"/>
      <c r="BB950" s="14"/>
      <c r="BC950" s="14"/>
    </row>
    <row r="951" spans="6:55" ht="13" customHeight="1">
      <c r="F951" s="1633" t="s">
        <v>2156</v>
      </c>
      <c r="G951" s="1634"/>
      <c r="H951" s="1634"/>
      <c r="I951" s="1634"/>
      <c r="J951" s="1634"/>
      <c r="K951" s="1634"/>
      <c r="L951" s="1634"/>
      <c r="M951" s="1634"/>
      <c r="N951" s="1634"/>
      <c r="O951" s="1634"/>
      <c r="P951" s="1634"/>
      <c r="Q951" s="1634"/>
      <c r="R951" s="1634"/>
      <c r="S951" s="1634"/>
      <c r="T951" s="1635"/>
      <c r="U951" s="1636" t="s">
        <v>590</v>
      </c>
      <c r="V951" s="1412"/>
      <c r="W951" s="1412"/>
      <c r="X951" s="1412"/>
      <c r="Y951" s="1412"/>
      <c r="Z951" s="1413"/>
      <c r="AA951" s="1637"/>
      <c r="AB951" s="1539"/>
      <c r="AC951" s="1539"/>
      <c r="AD951" s="1539"/>
      <c r="AE951" s="1539"/>
      <c r="AF951" s="1638"/>
      <c r="AZ951" s="34"/>
      <c r="BA951" s="34"/>
      <c r="BB951" s="34"/>
      <c r="BC951" s="34"/>
    </row>
    <row r="952" spans="6:55" ht="13" customHeight="1">
      <c r="F952" s="121" t="s">
        <v>1260</v>
      </c>
      <c r="G952" s="5"/>
      <c r="H952" s="5"/>
      <c r="I952" s="5"/>
      <c r="J952" s="5"/>
      <c r="K952" s="5"/>
      <c r="L952" s="5"/>
      <c r="M952" s="5"/>
      <c r="N952" s="5"/>
      <c r="O952" s="5"/>
      <c r="P952" s="5"/>
      <c r="Q952" s="5"/>
      <c r="R952" s="5"/>
      <c r="S952" s="5"/>
      <c r="T952" s="46"/>
      <c r="U952" s="1636" t="s">
        <v>590</v>
      </c>
      <c r="V952" s="1412"/>
      <c r="W952" s="1412"/>
      <c r="X952" s="1412"/>
      <c r="Y952" s="1412"/>
      <c r="Z952" s="1413"/>
      <c r="AA952" s="1637"/>
      <c r="AB952" s="1539"/>
      <c r="AC952" s="1539"/>
      <c r="AD952" s="1539"/>
      <c r="AE952" s="1539"/>
      <c r="AF952" s="1638"/>
      <c r="AZ952" s="34"/>
      <c r="BA952" s="34"/>
      <c r="BB952" s="34"/>
      <c r="BC952" s="34"/>
    </row>
    <row r="953" spans="6:55" ht="13" customHeight="1">
      <c r="F953" s="1633" t="s">
        <v>2157</v>
      </c>
      <c r="G953" s="1634"/>
      <c r="H953" s="1634"/>
      <c r="I953" s="1634"/>
      <c r="J953" s="1634"/>
      <c r="K953" s="1634"/>
      <c r="L953" s="1634"/>
      <c r="M953" s="1634"/>
      <c r="N953" s="1634"/>
      <c r="O953" s="1634"/>
      <c r="P953" s="1634"/>
      <c r="Q953" s="1634"/>
      <c r="R953" s="1634"/>
      <c r="S953" s="1634"/>
      <c r="T953" s="1635"/>
      <c r="U953" s="1636" t="s">
        <v>590</v>
      </c>
      <c r="V953" s="1412"/>
      <c r="W953" s="1412"/>
      <c r="X953" s="1412"/>
      <c r="Y953" s="1412"/>
      <c r="Z953" s="1413"/>
      <c r="AA953" s="1637"/>
      <c r="AB953" s="1539"/>
      <c r="AC953" s="1539"/>
      <c r="AD953" s="1539"/>
      <c r="AE953" s="1539"/>
      <c r="AF953" s="1638"/>
      <c r="AZ953" s="34"/>
      <c r="BA953" s="34"/>
      <c r="BB953" s="34"/>
      <c r="BC953" s="34"/>
    </row>
    <row r="954" spans="6:55" ht="13" customHeight="1">
      <c r="F954" s="45" t="s">
        <v>805</v>
      </c>
      <c r="G954" s="5"/>
      <c r="H954" s="5"/>
      <c r="I954" s="5"/>
      <c r="J954" s="5"/>
      <c r="K954" s="5"/>
      <c r="L954" s="5"/>
      <c r="M954" s="5"/>
      <c r="N954" s="5"/>
      <c r="O954" s="5"/>
      <c r="P954" s="1636" t="s">
        <v>668</v>
      </c>
      <c r="Q954" s="1412"/>
      <c r="R954" s="1412"/>
      <c r="S954" s="1412"/>
      <c r="T954" s="1413"/>
      <c r="U954" s="1636" t="s">
        <v>590</v>
      </c>
      <c r="V954" s="1412"/>
      <c r="W954" s="1412"/>
      <c r="X954" s="1412"/>
      <c r="Y954" s="1412"/>
      <c r="Z954" s="1413"/>
      <c r="AA954" s="1637"/>
      <c r="AB954" s="1539"/>
      <c r="AC954" s="1539"/>
      <c r="AD954" s="1539"/>
      <c r="AE954" s="1539"/>
      <c r="AF954" s="1638"/>
      <c r="AZ954" s="34"/>
      <c r="BA954" s="34"/>
      <c r="BB954" s="34"/>
      <c r="BC954" s="34"/>
    </row>
    <row r="955" spans="6:55" ht="13" customHeight="1">
      <c r="F955" s="1626" t="s">
        <v>2144</v>
      </c>
      <c r="G955" s="1627"/>
      <c r="H955" s="1628"/>
      <c r="I955" s="1621" t="s">
        <v>333</v>
      </c>
      <c r="J955" s="1622"/>
      <c r="K955" s="1622"/>
      <c r="L955" s="1622"/>
      <c r="M955" s="1622"/>
      <c r="N955" s="1622"/>
      <c r="O955" s="1622"/>
      <c r="P955" s="1622"/>
      <c r="Q955" s="1622"/>
      <c r="R955" s="1622"/>
      <c r="S955" s="1622"/>
      <c r="T955" s="1623"/>
      <c r="U955" s="1636" t="s">
        <v>590</v>
      </c>
      <c r="V955" s="1412"/>
      <c r="W955" s="1412"/>
      <c r="X955" s="1412"/>
      <c r="Y955" s="1412"/>
      <c r="Z955" s="1413"/>
      <c r="AA955" s="1637"/>
      <c r="AB955" s="1539"/>
      <c r="AC955" s="1539"/>
      <c r="AD955" s="1539"/>
      <c r="AE955" s="1539"/>
      <c r="AF955" s="1638"/>
      <c r="AZ955" s="34"/>
      <c r="BA955" s="34"/>
      <c r="BB955" s="34"/>
      <c r="BC955" s="34"/>
    </row>
    <row r="956" spans="6:55" ht="13" customHeight="1">
      <c r="F956" s="45" t="s">
        <v>86</v>
      </c>
      <c r="G956" s="48"/>
      <c r="H956" s="48"/>
      <c r="I956" s="1621" t="s">
        <v>333</v>
      </c>
      <c r="J956" s="1622"/>
      <c r="K956" s="1622"/>
      <c r="L956" s="1622"/>
      <c r="M956" s="1622"/>
      <c r="N956" s="1622"/>
      <c r="O956" s="1622"/>
      <c r="P956" s="1622"/>
      <c r="Q956" s="1622"/>
      <c r="R956" s="1622"/>
      <c r="S956" s="1622"/>
      <c r="T956" s="1623"/>
      <c r="U956" s="1636" t="s">
        <v>590</v>
      </c>
      <c r="V956" s="1412"/>
      <c r="W956" s="1412"/>
      <c r="X956" s="1412"/>
      <c r="Y956" s="1412"/>
      <c r="Z956" s="1413"/>
      <c r="AA956" s="1637"/>
      <c r="AB956" s="1539"/>
      <c r="AC956" s="1539"/>
      <c r="AD956" s="1539"/>
      <c r="AE956" s="1539"/>
      <c r="AF956" s="1638"/>
      <c r="AZ956" s="34"/>
      <c r="BA956" s="34"/>
      <c r="BB956" s="34"/>
      <c r="BC956" s="34"/>
    </row>
    <row r="957" spans="6:55" ht="13" customHeight="1">
      <c r="F957" s="45" t="s">
        <v>10</v>
      </c>
      <c r="G957" s="48"/>
      <c r="H957" s="48"/>
      <c r="I957" s="1687" t="s">
        <v>333</v>
      </c>
      <c r="J957" s="1688"/>
      <c r="K957" s="1688"/>
      <c r="L957" s="1688"/>
      <c r="M957" s="1688"/>
      <c r="N957" s="1688"/>
      <c r="O957" s="1688"/>
      <c r="P957" s="1688"/>
      <c r="Q957" s="1688"/>
      <c r="R957" s="1688"/>
      <c r="S957" s="1688"/>
      <c r="T957" s="1689"/>
      <c r="U957" s="1636" t="s">
        <v>590</v>
      </c>
      <c r="V957" s="1412"/>
      <c r="W957" s="1412"/>
      <c r="X957" s="1412"/>
      <c r="Y957" s="1412"/>
      <c r="Z957" s="1413"/>
      <c r="AA957" s="1637"/>
      <c r="AB957" s="1539"/>
      <c r="AC957" s="1539"/>
      <c r="AD957" s="1539"/>
      <c r="AE957" s="1539"/>
      <c r="AF957" s="1638"/>
      <c r="AV957" s="2"/>
      <c r="AW957" s="2"/>
      <c r="AX957" s="2"/>
      <c r="AY957" s="2"/>
      <c r="AZ957" s="34"/>
      <c r="BA957" s="34"/>
      <c r="BB957" s="34"/>
      <c r="BC957" s="34"/>
    </row>
    <row r="958" spans="6:55" ht="13" customHeight="1">
      <c r="F958" s="47" t="s">
        <v>169</v>
      </c>
      <c r="G958" s="48"/>
      <c r="H958" s="48"/>
      <c r="I958" s="1621" t="s">
        <v>2769</v>
      </c>
      <c r="J958" s="1688"/>
      <c r="K958" s="1688"/>
      <c r="L958" s="1688"/>
      <c r="M958" s="1688"/>
      <c r="N958" s="1688"/>
      <c r="O958" s="1688"/>
      <c r="P958" s="1688"/>
      <c r="Q958" s="1688"/>
      <c r="R958" s="1688"/>
      <c r="S958" s="1688"/>
      <c r="T958" s="1689"/>
      <c r="U958" s="1636" t="s">
        <v>544</v>
      </c>
      <c r="V958" s="1412"/>
      <c r="W958" s="1412"/>
      <c r="X958" s="1412"/>
      <c r="Y958" s="1412"/>
      <c r="Z958" s="1413"/>
      <c r="AA958" s="1637">
        <v>5000000</v>
      </c>
      <c r="AB958" s="1539"/>
      <c r="AC958" s="1539"/>
      <c r="AD958" s="1539"/>
      <c r="AE958" s="1539"/>
      <c r="AF958" s="1638"/>
      <c r="AU958" s="2"/>
      <c r="AZ958" s="34"/>
      <c r="BA958" s="34"/>
      <c r="BB958" s="34"/>
      <c r="BC958" s="34"/>
    </row>
    <row r="959" spans="6:55" ht="13" customHeight="1">
      <c r="F959" s="47" t="s">
        <v>169</v>
      </c>
      <c r="G959" s="48"/>
      <c r="H959" s="48"/>
      <c r="I959" s="1687" t="s">
        <v>333</v>
      </c>
      <c r="J959" s="1688"/>
      <c r="K959" s="1688"/>
      <c r="L959" s="1688"/>
      <c r="M959" s="1688"/>
      <c r="N959" s="1688"/>
      <c r="O959" s="1688"/>
      <c r="P959" s="1688"/>
      <c r="Q959" s="1688"/>
      <c r="R959" s="1688"/>
      <c r="S959" s="1688"/>
      <c r="T959" s="1689"/>
      <c r="U959" s="1636" t="s">
        <v>590</v>
      </c>
      <c r="V959" s="1412"/>
      <c r="W959" s="1412"/>
      <c r="X959" s="1412"/>
      <c r="Y959" s="1412"/>
      <c r="Z959" s="1413"/>
      <c r="AA959" s="1637"/>
      <c r="AB959" s="1539"/>
      <c r="AC959" s="1539"/>
      <c r="AD959" s="1539"/>
      <c r="AE959" s="1539"/>
      <c r="AF959" s="1638"/>
      <c r="AU959" s="2"/>
      <c r="AZ959" s="34"/>
      <c r="BA959" s="34"/>
      <c r="BB959" s="34"/>
      <c r="BC959" s="34"/>
    </row>
    <row r="960" spans="6:55" ht="13" customHeight="1">
      <c r="AU960" s="2"/>
      <c r="AZ960" s="34"/>
      <c r="BA960" s="34"/>
      <c r="BB960" s="34"/>
      <c r="BC960" s="34"/>
    </row>
    <row r="961" spans="1:64" ht="13" customHeight="1">
      <c r="A961" s="2" t="s">
        <v>575</v>
      </c>
      <c r="C961" s="2" t="s">
        <v>750</v>
      </c>
      <c r="AZ961" s="34"/>
      <c r="BA961" s="34"/>
      <c r="BB961" s="34"/>
      <c r="BC961" s="34"/>
    </row>
    <row r="962" spans="1:64" ht="13"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3" customHeight="1">
      <c r="AZ963" s="34"/>
      <c r="BA963" s="34"/>
      <c r="BB963" s="34"/>
      <c r="BC963" s="34"/>
    </row>
    <row r="964" spans="1:64" ht="13" customHeight="1">
      <c r="C964" s="66" t="s">
        <v>11</v>
      </c>
      <c r="D964" s="5"/>
      <c r="E964" s="5"/>
      <c r="F964" s="5"/>
      <c r="G964" s="5"/>
      <c r="H964" s="5"/>
      <c r="I964" s="5"/>
      <c r="J964" s="5"/>
      <c r="K964" s="5"/>
      <c r="L964" s="46"/>
      <c r="M964" s="1691"/>
      <c r="N964" s="1526"/>
      <c r="O964" s="1526"/>
      <c r="P964" s="1526"/>
      <c r="Q964" s="1526"/>
      <c r="R964" s="1526"/>
      <c r="S964" s="1620"/>
      <c r="U964" s="66" t="s">
        <v>11</v>
      </c>
      <c r="V964" s="5"/>
      <c r="W964" s="5"/>
      <c r="X964" s="5"/>
      <c r="Y964" s="5"/>
      <c r="Z964" s="5"/>
      <c r="AA964" s="5"/>
      <c r="AB964" s="5"/>
      <c r="AC964" s="5"/>
      <c r="AD964" s="46"/>
      <c r="AE964" s="1691"/>
      <c r="AF964" s="1526"/>
      <c r="AG964" s="1526"/>
      <c r="AH964" s="1526"/>
      <c r="AI964" s="1526"/>
      <c r="AJ964" s="1526"/>
      <c r="AK964" s="1620"/>
      <c r="AZ964" s="34"/>
      <c r="BA964" s="34"/>
      <c r="BB964" s="34"/>
      <c r="BC964" s="34"/>
    </row>
    <row r="965" spans="1:64" ht="13" customHeight="1">
      <c r="C965" s="66" t="s">
        <v>12</v>
      </c>
      <c r="D965" s="5"/>
      <c r="E965" s="5"/>
      <c r="F965" s="5"/>
      <c r="G965" s="5"/>
      <c r="H965" s="5"/>
      <c r="I965" s="5"/>
      <c r="J965" s="5"/>
      <c r="K965" s="5"/>
      <c r="L965" s="46"/>
      <c r="M965" s="1695"/>
      <c r="N965" s="1542"/>
      <c r="O965" s="1542"/>
      <c r="P965" s="1542"/>
      <c r="Q965" s="1542"/>
      <c r="R965" s="1542"/>
      <c r="S965" s="1696"/>
      <c r="U965" s="66" t="s">
        <v>12</v>
      </c>
      <c r="V965" s="5"/>
      <c r="W965" s="5"/>
      <c r="X965" s="5"/>
      <c r="Y965" s="5"/>
      <c r="Z965" s="5"/>
      <c r="AA965" s="5"/>
      <c r="AB965" s="5"/>
      <c r="AC965" s="5"/>
      <c r="AD965" s="46"/>
      <c r="AE965" s="1695"/>
      <c r="AF965" s="1542"/>
      <c r="AG965" s="1542"/>
      <c r="AH965" s="1542"/>
      <c r="AI965" s="1542"/>
      <c r="AJ965" s="1542"/>
      <c r="AK965" s="1696"/>
      <c r="AZ965" s="34"/>
      <c r="BA965" s="34"/>
      <c r="BB965" s="34"/>
      <c r="BC965" s="34"/>
    </row>
    <row r="966" spans="1:64" ht="13" customHeight="1">
      <c r="C966" s="66" t="s">
        <v>879</v>
      </c>
      <c r="D966" s="5"/>
      <c r="E966" s="5"/>
      <c r="J966" s="1738" t="s">
        <v>306</v>
      </c>
      <c r="K966" s="1739"/>
      <c r="L966" s="1739"/>
      <c r="M966" s="1739"/>
      <c r="N966" s="1739"/>
      <c r="O966" s="1739"/>
      <c r="P966" s="1739"/>
      <c r="Q966" s="1739"/>
      <c r="R966" s="1739"/>
      <c r="S966" s="1740"/>
      <c r="U966" s="66" t="s">
        <v>879</v>
      </c>
      <c r="V966" s="5"/>
      <c r="W966" s="5"/>
      <c r="AB966" s="1738" t="s">
        <v>306</v>
      </c>
      <c r="AC966" s="1739"/>
      <c r="AD966" s="1739"/>
      <c r="AE966" s="1739"/>
      <c r="AF966" s="1739"/>
      <c r="AG966" s="1739"/>
      <c r="AH966" s="1739"/>
      <c r="AI966" s="1739"/>
      <c r="AJ966" s="1739"/>
      <c r="AK966" s="1740"/>
      <c r="AZ966" s="34"/>
      <c r="BA966" s="34"/>
      <c r="BB966" s="34"/>
      <c r="BC966" s="34"/>
    </row>
    <row r="967" spans="1:64" ht="13" customHeight="1">
      <c r="C967" s="66" t="s">
        <v>13</v>
      </c>
      <c r="D967" s="5"/>
      <c r="E967" s="5"/>
      <c r="F967" s="5"/>
      <c r="G967" s="5"/>
      <c r="H967" s="5"/>
      <c r="I967" s="5"/>
      <c r="J967" s="5"/>
      <c r="K967" s="5"/>
      <c r="L967" s="46"/>
      <c r="M967" s="1704"/>
      <c r="N967" s="1705"/>
      <c r="O967" s="1705"/>
      <c r="P967" s="1705"/>
      <c r="Q967" s="1705"/>
      <c r="R967" s="1705"/>
      <c r="S967" s="1706"/>
      <c r="U967" s="66" t="s">
        <v>13</v>
      </c>
      <c r="V967" s="5"/>
      <c r="W967" s="5"/>
      <c r="X967" s="5"/>
      <c r="Y967" s="5"/>
      <c r="Z967" s="5"/>
      <c r="AA967" s="5"/>
      <c r="AB967" s="5"/>
      <c r="AC967" s="5"/>
      <c r="AD967" s="46"/>
      <c r="AE967" s="1732"/>
      <c r="AF967" s="1705"/>
      <c r="AG967" s="1705"/>
      <c r="AH967" s="1705"/>
      <c r="AI967" s="1705"/>
      <c r="AJ967" s="1705"/>
      <c r="AK967" s="1706"/>
      <c r="AZ967" s="34"/>
      <c r="BA967" s="34"/>
      <c r="BB967" s="34"/>
      <c r="BC967" s="34"/>
    </row>
    <row r="968" spans="1:64" ht="13" customHeight="1">
      <c r="C968" s="66" t="s">
        <v>14</v>
      </c>
      <c r="D968" s="5"/>
      <c r="E968" s="5"/>
      <c r="F968" s="5"/>
      <c r="G968" s="5"/>
      <c r="H968" s="5"/>
      <c r="I968" s="5"/>
      <c r="J968" s="5"/>
      <c r="K968" s="5"/>
      <c r="L968" s="46"/>
      <c r="M968" s="1611"/>
      <c r="N968" s="1612"/>
      <c r="O968" s="1612"/>
      <c r="P968" s="1612"/>
      <c r="Q968" s="1612"/>
      <c r="R968" s="1612"/>
      <c r="S968" s="1613"/>
      <c r="U968" s="66" t="s">
        <v>14</v>
      </c>
      <c r="V968" s="5"/>
      <c r="W968" s="5"/>
      <c r="X968" s="5"/>
      <c r="Y968" s="5"/>
      <c r="Z968" s="5"/>
      <c r="AA968" s="5"/>
      <c r="AB968" s="5"/>
      <c r="AC968" s="5"/>
      <c r="AD968" s="46"/>
      <c r="AE968" s="1611"/>
      <c r="AF968" s="1612"/>
      <c r="AG968" s="1612"/>
      <c r="AH968" s="1612"/>
      <c r="AI968" s="1612"/>
      <c r="AJ968" s="1612"/>
      <c r="AK968" s="1613"/>
      <c r="AV968" s="2"/>
      <c r="AW968" s="2"/>
      <c r="AX968" s="2"/>
      <c r="AY968" s="2"/>
      <c r="AZ968" s="34"/>
      <c r="BA968" s="34"/>
      <c r="BB968" s="34"/>
      <c r="BC968" s="34"/>
    </row>
    <row r="969" spans="1:64" ht="13" customHeight="1">
      <c r="C969" s="66" t="s">
        <v>15</v>
      </c>
      <c r="D969" s="5"/>
      <c r="E969" s="5"/>
      <c r="F969" s="5"/>
      <c r="G969" s="5"/>
      <c r="H969" s="5"/>
      <c r="I969" s="5"/>
      <c r="J969" s="5"/>
      <c r="K969" s="5"/>
      <c r="L969" s="46"/>
      <c r="M969" s="1637"/>
      <c r="N969" s="1539"/>
      <c r="O969" s="1539"/>
      <c r="P969" s="1539"/>
      <c r="Q969" s="1539"/>
      <c r="R969" s="1539"/>
      <c r="S969" s="1638"/>
      <c r="U969" s="66" t="s">
        <v>15</v>
      </c>
      <c r="V969" s="5"/>
      <c r="W969" s="5"/>
      <c r="X969" s="5"/>
      <c r="Y969" s="5"/>
      <c r="Z969" s="5"/>
      <c r="AA969" s="5"/>
      <c r="AB969" s="5"/>
      <c r="AC969" s="5"/>
      <c r="AD969" s="46"/>
      <c r="AE969" s="1637"/>
      <c r="AF969" s="1539"/>
      <c r="AG969" s="1539"/>
      <c r="AH969" s="1539"/>
      <c r="AI969" s="1539"/>
      <c r="AJ969" s="1539"/>
      <c r="AK969" s="1638"/>
      <c r="AV969" s="2"/>
      <c r="AW969" s="2"/>
      <c r="AX969" s="2"/>
      <c r="AY969" s="2"/>
      <c r="AZ969" s="34"/>
      <c r="BA969" s="34"/>
      <c r="BB969" s="34"/>
      <c r="BC969" s="34"/>
    </row>
    <row r="970" spans="1:64" ht="13" customHeight="1">
      <c r="C970" s="66" t="s">
        <v>16</v>
      </c>
      <c r="D970" s="5"/>
      <c r="E970" s="5"/>
      <c r="F970" s="5"/>
      <c r="G970" s="5"/>
      <c r="H970" s="5"/>
      <c r="I970" s="5"/>
      <c r="J970" s="5"/>
      <c r="K970" s="5"/>
      <c r="L970" s="46"/>
      <c r="M970" s="1637"/>
      <c r="N970" s="1539"/>
      <c r="O970" s="1539"/>
      <c r="P970" s="1539"/>
      <c r="Q970" s="1539"/>
      <c r="R970" s="1539"/>
      <c r="S970" s="1638"/>
      <c r="U970" s="66" t="s">
        <v>16</v>
      </c>
      <c r="V970" s="5"/>
      <c r="W970" s="5"/>
      <c r="X970" s="5"/>
      <c r="Y970" s="5"/>
      <c r="Z970" s="5"/>
      <c r="AA970" s="5"/>
      <c r="AB970" s="5"/>
      <c r="AC970" s="5"/>
      <c r="AD970" s="46"/>
      <c r="AE970" s="1637"/>
      <c r="AF970" s="1539"/>
      <c r="AG970" s="1539"/>
      <c r="AH970" s="1539"/>
      <c r="AI970" s="1539"/>
      <c r="AJ970" s="1539"/>
      <c r="AK970" s="1638"/>
      <c r="AV970" s="2"/>
      <c r="AW970" s="2"/>
      <c r="AX970" s="2"/>
      <c r="AY970" s="2"/>
      <c r="AZ970" s="34"/>
      <c r="BB970" s="34"/>
      <c r="BC970" s="34"/>
    </row>
    <row r="971" spans="1:64" ht="13" customHeight="1">
      <c r="C971" s="121" t="s">
        <v>1648</v>
      </c>
      <c r="D971" s="5"/>
      <c r="E971" s="5"/>
      <c r="F971" s="5"/>
      <c r="G971" s="5"/>
      <c r="H971" s="5"/>
      <c r="I971" s="5"/>
      <c r="J971" s="5"/>
      <c r="K971" s="5"/>
      <c r="L971" s="46"/>
      <c r="M971" s="1729"/>
      <c r="N971" s="1730"/>
      <c r="O971" s="1730"/>
      <c r="P971" s="1730"/>
      <c r="Q971" s="1730"/>
      <c r="R971" s="1730"/>
      <c r="S971" s="1731"/>
      <c r="U971" s="121" t="s">
        <v>1648</v>
      </c>
      <c r="V971" s="5"/>
      <c r="W971" s="5"/>
      <c r="X971" s="5"/>
      <c r="Y971" s="5"/>
      <c r="Z971" s="5"/>
      <c r="AA971" s="5"/>
      <c r="AB971" s="5"/>
      <c r="AC971" s="5"/>
      <c r="AD971" s="46"/>
      <c r="AE971" s="1729"/>
      <c r="AF971" s="1730"/>
      <c r="AG971" s="1730"/>
      <c r="AH971" s="1730"/>
      <c r="AI971" s="1730"/>
      <c r="AJ971" s="1730"/>
      <c r="AK971" s="1731"/>
      <c r="AZ971" s="34"/>
      <c r="BB971" s="34"/>
      <c r="BC971" s="34"/>
      <c r="BD971" s="34"/>
      <c r="BE971" s="34"/>
      <c r="BF971" s="34"/>
      <c r="BG971" s="34"/>
      <c r="BH971" s="34"/>
      <c r="BI971" s="34"/>
      <c r="BJ971" s="34"/>
      <c r="BK971" s="34"/>
      <c r="BL971" s="34"/>
    </row>
    <row r="972" spans="1:64" ht="13" customHeight="1">
      <c r="AZ972" s="34"/>
      <c r="BB972" s="34"/>
      <c r="BC972" s="34"/>
      <c r="BD972" s="34"/>
      <c r="BE972" s="34"/>
      <c r="BF972" s="34"/>
      <c r="BG972" s="34"/>
      <c r="BH972" s="34"/>
      <c r="BI972" s="34"/>
      <c r="BJ972" s="34"/>
      <c r="BK972" s="34"/>
      <c r="BL972" s="34"/>
    </row>
    <row r="973" spans="1:64" ht="13" customHeight="1">
      <c r="A973" s="2" t="s">
        <v>585</v>
      </c>
      <c r="C973" s="2" t="s">
        <v>649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3" customHeight="1">
      <c r="A974"/>
      <c r="B974" s="2"/>
      <c r="C974" s="22" t="s">
        <v>179</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3"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3" customHeight="1">
      <c r="A976"/>
      <c r="B976"/>
      <c r="C976"/>
      <c r="D976"/>
      <c r="E976"/>
      <c r="F976" s="45" t="s">
        <v>570</v>
      </c>
      <c r="G976" s="5"/>
      <c r="H976" s="5"/>
      <c r="I976" s="5"/>
      <c r="J976" s="5"/>
      <c r="K976" s="5"/>
      <c r="L976" s="46"/>
      <c r="M976" s="1684"/>
      <c r="N976" s="1685"/>
      <c r="O976" s="1685"/>
      <c r="P976" s="1685"/>
      <c r="Q976" s="1685"/>
      <c r="R976" s="1685"/>
      <c r="S976" s="1686"/>
      <c r="T976" s="66" t="s">
        <v>789</v>
      </c>
      <c r="U976" s="5"/>
      <c r="V976" s="5"/>
      <c r="W976" s="5"/>
      <c r="X976" s="5"/>
      <c r="Y976" s="5"/>
      <c r="Z976" s="46"/>
      <c r="AA976" s="1684"/>
      <c r="AB976" s="1685"/>
      <c r="AC976" s="1685"/>
      <c r="AD976" s="1685"/>
      <c r="AE976" s="1685"/>
      <c r="AF976" s="1685"/>
      <c r="AG976" s="1686"/>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3" customHeight="1">
      <c r="A977"/>
      <c r="B977"/>
      <c r="C977"/>
      <c r="D977"/>
      <c r="E977"/>
      <c r="F977" s="45" t="s">
        <v>571</v>
      </c>
      <c r="G977" s="5"/>
      <c r="H977" s="5"/>
      <c r="I977" s="5"/>
      <c r="J977" s="5"/>
      <c r="K977" s="5"/>
      <c r="L977" s="46"/>
      <c r="M977" s="1684"/>
      <c r="N977" s="1685"/>
      <c r="O977" s="1685"/>
      <c r="P977" s="1685"/>
      <c r="Q977" s="1685"/>
      <c r="R977" s="1685"/>
      <c r="S977" s="1686"/>
      <c r="T977" s="66" t="s">
        <v>788</v>
      </c>
      <c r="U977" s="5"/>
      <c r="V977" s="5"/>
      <c r="W977" s="5"/>
      <c r="X977" s="5"/>
      <c r="Y977" s="5"/>
      <c r="Z977" s="46"/>
      <c r="AA977" s="1684"/>
      <c r="AB977" s="1685"/>
      <c r="AC977" s="1685"/>
      <c r="AD977" s="1685"/>
      <c r="AE977" s="1685"/>
      <c r="AF977" s="1685"/>
      <c r="AG977" s="1686"/>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3" customHeight="1">
      <c r="A978"/>
      <c r="B978"/>
      <c r="C978"/>
      <c r="D978"/>
      <c r="E978"/>
      <c r="F978" s="45" t="s">
        <v>900</v>
      </c>
      <c r="G978" s="5"/>
      <c r="H978" s="5"/>
      <c r="I978" s="5"/>
      <c r="J978" s="5"/>
      <c r="K978" s="5"/>
      <c r="L978" s="46"/>
      <c r="M978" s="1707" t="s">
        <v>590</v>
      </c>
      <c r="N978" s="1708"/>
      <c r="O978" s="1708"/>
      <c r="P978" s="1708"/>
      <c r="Q978" s="1708"/>
      <c r="R978" s="1708"/>
      <c r="S978" s="1709"/>
      <c r="T978" s="45" t="s">
        <v>336</v>
      </c>
      <c r="U978" s="5"/>
      <c r="V978" s="5"/>
      <c r="W978" s="5"/>
      <c r="X978" s="5"/>
      <c r="Y978" s="5"/>
      <c r="Z978" s="46"/>
      <c r="AA978" s="1684"/>
      <c r="AB978" s="1685"/>
      <c r="AC978" s="1685"/>
      <c r="AD978" s="1685"/>
      <c r="AE978" s="1685"/>
      <c r="AF978" s="1685"/>
      <c r="AG978" s="1686"/>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3" customHeight="1">
      <c r="A979"/>
      <c r="B979"/>
      <c r="C979"/>
      <c r="D979"/>
      <c r="E979"/>
      <c r="F979" s="45" t="s">
        <v>572</v>
      </c>
      <c r="G979" s="5"/>
      <c r="H979" s="5"/>
      <c r="I979" s="5"/>
      <c r="J979" s="5"/>
      <c r="K979" s="5"/>
      <c r="L979" s="46"/>
      <c r="M979" s="1684"/>
      <c r="N979" s="1685"/>
      <c r="O979" s="1685"/>
      <c r="P979" s="1685"/>
      <c r="Q979" s="1685"/>
      <c r="R979" s="1685"/>
      <c r="S979" s="1686"/>
      <c r="T979" s="45" t="s">
        <v>337</v>
      </c>
      <c r="U979" s="5"/>
      <c r="V979" s="5"/>
      <c r="W979" s="5"/>
      <c r="X979" s="5"/>
      <c r="Y979" s="5"/>
      <c r="Z979" s="46"/>
      <c r="AA979" s="1684"/>
      <c r="AB979" s="1685"/>
      <c r="AC979" s="1685"/>
      <c r="AD979" s="1685"/>
      <c r="AE979" s="1685"/>
      <c r="AF979" s="1685"/>
      <c r="AG979" s="1686"/>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3" customHeight="1">
      <c r="A980"/>
      <c r="B980"/>
      <c r="C980"/>
      <c r="D980"/>
      <c r="E980"/>
      <c r="F980" s="45" t="s">
        <v>463</v>
      </c>
      <c r="G980" s="5"/>
      <c r="H980" s="5"/>
      <c r="I980" s="5"/>
      <c r="J980" s="5"/>
      <c r="K980" s="5"/>
      <c r="L980" s="46"/>
      <c r="M980" s="1684"/>
      <c r="N980" s="1685"/>
      <c r="O980" s="1685"/>
      <c r="P980" s="1685"/>
      <c r="Q980" s="1685"/>
      <c r="R980" s="1685"/>
      <c r="S980" s="1686"/>
      <c r="T980" s="45" t="s">
        <v>375</v>
      </c>
      <c r="U980" s="5"/>
      <c r="V980" s="5"/>
      <c r="W980" s="5"/>
      <c r="X980" s="5"/>
      <c r="Y980" s="5"/>
      <c r="Z980" s="46"/>
      <c r="AA980" s="1684"/>
      <c r="AB980" s="1685"/>
      <c r="AC980" s="1685"/>
      <c r="AD980" s="1685"/>
      <c r="AE980" s="1685"/>
      <c r="AF980" s="1685"/>
      <c r="AG980" s="1686"/>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3" customHeight="1">
      <c r="A981"/>
      <c r="B981"/>
      <c r="C981"/>
      <c r="D981"/>
      <c r="E981"/>
      <c r="F981" s="242" t="s">
        <v>879</v>
      </c>
      <c r="G981" s="42"/>
      <c r="H981" s="42"/>
      <c r="I981" s="42"/>
      <c r="J981" s="42"/>
      <c r="K981" s="42"/>
      <c r="L981" s="58"/>
      <c r="M981" s="1738" t="s">
        <v>306</v>
      </c>
      <c r="N981" s="1739"/>
      <c r="O981" s="1739"/>
      <c r="P981" s="1739"/>
      <c r="Q981" s="1739"/>
      <c r="R981" s="1739"/>
      <c r="S981" s="1740"/>
      <c r="T981" s="1717"/>
      <c r="U981" s="1718"/>
      <c r="V981" s="1718"/>
      <c r="W981" s="1718"/>
      <c r="X981" s="1718"/>
      <c r="Y981" s="1718"/>
      <c r="Z981" s="1719"/>
      <c r="AA981" s="1684"/>
      <c r="AB981" s="1685"/>
      <c r="AC981" s="1685"/>
      <c r="AD981" s="1685"/>
      <c r="AE981" s="1685"/>
      <c r="AF981" s="1685"/>
      <c r="AG981" s="1686"/>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3" customHeight="1">
      <c r="A982"/>
      <c r="B982"/>
      <c r="C982"/>
      <c r="D982"/>
      <c r="E982"/>
      <c r="F982" s="41" t="s">
        <v>464</v>
      </c>
      <c r="G982" s="42"/>
      <c r="H982" s="42"/>
      <c r="I982" s="42"/>
      <c r="J982" s="42"/>
      <c r="K982" s="42"/>
      <c r="L982" s="58"/>
      <c r="M982" s="1684"/>
      <c r="N982" s="1685"/>
      <c r="O982" s="1685"/>
      <c r="P982" s="1685"/>
      <c r="Q982" s="1685"/>
      <c r="R982" s="1685"/>
      <c r="S982" s="1686"/>
      <c r="T982" s="1717"/>
      <c r="U982" s="1718"/>
      <c r="V982" s="1718"/>
      <c r="W982" s="1718"/>
      <c r="X982" s="1718"/>
      <c r="Y982" s="1718"/>
      <c r="Z982" s="1719"/>
      <c r="AA982" s="1684"/>
      <c r="AB982" s="1685"/>
      <c r="AC982" s="1685"/>
      <c r="AD982" s="1685"/>
      <c r="AE982" s="1685"/>
      <c r="AF982" s="1685"/>
      <c r="AG982" s="1686"/>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3" customHeight="1">
      <c r="F983" s="41" t="s">
        <v>335</v>
      </c>
      <c r="G983" s="42"/>
      <c r="H983" s="42"/>
      <c r="I983" s="42"/>
      <c r="J983" s="42"/>
      <c r="K983" s="42"/>
      <c r="L983" s="42"/>
      <c r="M983" s="42"/>
      <c r="N983" s="42"/>
      <c r="O983" s="1427" t="s">
        <v>668</v>
      </c>
      <c r="P983" s="1429"/>
      <c r="Q983" s="92"/>
      <c r="R983" s="92"/>
      <c r="S983" s="93"/>
      <c r="T983" s="41" t="s">
        <v>169</v>
      </c>
      <c r="U983" s="42"/>
      <c r="V983" s="42"/>
      <c r="W983" s="1808" t="s">
        <v>333</v>
      </c>
      <c r="X983" s="1809"/>
      <c r="Y983" s="1809"/>
      <c r="Z983" s="1809"/>
      <c r="AA983" s="1809"/>
      <c r="AB983" s="1809"/>
      <c r="AC983" s="1809"/>
      <c r="AD983" s="1809"/>
      <c r="AE983" s="1809"/>
      <c r="AF983" s="1809"/>
      <c r="AG983" s="1810"/>
      <c r="AU983" s="68"/>
      <c r="AV983" s="95"/>
      <c r="AW983" s="95"/>
      <c r="AX983" s="95"/>
      <c r="AY983" s="95"/>
      <c r="AZ983" s="34"/>
      <c r="BB983" s="34"/>
      <c r="BC983" s="34"/>
      <c r="BD983" s="34"/>
      <c r="BE983" s="34"/>
      <c r="BF983" s="34"/>
      <c r="BG983" s="34"/>
      <c r="BH983" s="34"/>
      <c r="BI983" s="34"/>
      <c r="BJ983" s="34"/>
      <c r="BK983" s="34"/>
      <c r="BL983" s="34"/>
    </row>
    <row r="984" spans="1:64" ht="13" customHeight="1">
      <c r="F984" s="1608" t="s">
        <v>33</v>
      </c>
      <c r="G984" s="1479"/>
      <c r="H984" s="1479"/>
      <c r="I984" s="1479"/>
      <c r="J984" s="1479"/>
      <c r="K984" s="1479"/>
      <c r="L984" s="1479"/>
      <c r="M984" s="1684"/>
      <c r="N984" s="1685"/>
      <c r="O984" s="1685"/>
      <c r="P984" s="1685"/>
      <c r="Q984" s="1685"/>
      <c r="R984" s="1685"/>
      <c r="S984" s="1686"/>
      <c r="T984" s="47"/>
      <c r="U984" s="48"/>
      <c r="V984" s="48"/>
      <c r="W984" s="48"/>
      <c r="X984" s="48"/>
      <c r="Y984" s="48"/>
      <c r="Z984" s="124" t="s">
        <v>134</v>
      </c>
      <c r="AA984" s="1778"/>
      <c r="AB984" s="1779"/>
      <c r="AC984" s="1779"/>
      <c r="AD984" s="1779"/>
      <c r="AE984" s="1779"/>
      <c r="AF984" s="1779"/>
      <c r="AG984" s="1780"/>
      <c r="AU984" s="68"/>
      <c r="AV984" s="95"/>
      <c r="AW984" s="95"/>
      <c r="AX984" s="95"/>
      <c r="AY984" s="95"/>
      <c r="AZ984" s="14"/>
      <c r="BA984" s="14"/>
      <c r="BB984" s="34"/>
      <c r="BC984" s="34"/>
      <c r="BD984" s="34"/>
      <c r="BE984" s="34"/>
      <c r="BF984" s="34"/>
      <c r="BG984" s="14"/>
      <c r="BH984" s="14"/>
      <c r="BI984" s="14"/>
      <c r="BJ984" s="14"/>
      <c r="BK984" s="14"/>
      <c r="BL984" s="14"/>
    </row>
    <row r="985" spans="1:64" ht="13" customHeight="1">
      <c r="AU985" s="68"/>
      <c r="AV985" s="68"/>
      <c r="AW985" s="68"/>
      <c r="AX985" s="68"/>
      <c r="AY985" s="68"/>
      <c r="AZ985" s="14"/>
      <c r="BA985" s="14"/>
      <c r="BB985" s="14"/>
      <c r="BC985" s="14"/>
      <c r="BD985" s="14"/>
      <c r="BE985" s="14"/>
      <c r="BF985" s="14"/>
      <c r="BG985" s="1630"/>
      <c r="BH985" s="1630"/>
      <c r="BI985" s="1630"/>
      <c r="BJ985" s="1630"/>
      <c r="BK985" s="1630"/>
      <c r="BL985" s="1630"/>
    </row>
    <row r="986" spans="1:64" ht="13" customHeight="1">
      <c r="AU986" s="68"/>
      <c r="AV986" s="68"/>
      <c r="AW986" s="68"/>
      <c r="AX986" s="68"/>
      <c r="AY986" s="68"/>
      <c r="AZ986" s="14"/>
      <c r="BA986" s="14"/>
      <c r="BB986" s="908"/>
      <c r="BC986" s="908"/>
      <c r="BD986" s="14"/>
      <c r="BE986" s="14"/>
      <c r="BF986" s="14"/>
      <c r="BG986" s="14"/>
      <c r="BH986" s="14"/>
      <c r="BI986" s="14"/>
      <c r="BJ986" s="14"/>
      <c r="BK986" s="14"/>
      <c r="BL986" s="14"/>
    </row>
    <row r="987" spans="1:64" ht="13" customHeight="1">
      <c r="AU987" s="68"/>
      <c r="AV987" s="68"/>
      <c r="AW987" s="68"/>
      <c r="AX987" s="68"/>
      <c r="AY987" s="68"/>
      <c r="AZ987" s="14"/>
      <c r="BA987" s="14"/>
      <c r="BB987" s="908"/>
      <c r="BC987" s="908"/>
    </row>
    <row r="988" spans="1:64" ht="13" customHeight="1">
      <c r="A988" s="1544" t="s">
        <v>547</v>
      </c>
      <c r="B988" s="1544"/>
      <c r="C988" s="1544"/>
      <c r="D988" s="1544"/>
      <c r="E988" s="1544"/>
      <c r="F988" s="1544"/>
      <c r="G988" s="1544"/>
      <c r="H988" s="1544"/>
      <c r="I988" s="1544"/>
      <c r="J988" s="1544"/>
      <c r="K988" s="1544"/>
      <c r="L988" s="1544"/>
      <c r="M988" s="1544"/>
      <c r="N988" s="1544"/>
      <c r="O988" s="1544"/>
      <c r="P988" s="1544"/>
      <c r="Q988" s="1544"/>
      <c r="R988" s="1544"/>
      <c r="S988" s="1544"/>
      <c r="T988" s="1544"/>
      <c r="U988" s="1544"/>
      <c r="V988" s="1544"/>
      <c r="W988" s="1544"/>
      <c r="X988" s="1544"/>
      <c r="Y988" s="1544"/>
      <c r="Z988" s="1544"/>
      <c r="AA988" s="1544"/>
      <c r="AB988" s="1544"/>
      <c r="AC988" s="1544"/>
      <c r="AD988" s="1544"/>
      <c r="AE988" s="1544"/>
      <c r="AF988" s="1544"/>
      <c r="AG988" s="1544"/>
      <c r="AH988" s="1544"/>
      <c r="AI988" s="1544"/>
      <c r="AJ988" s="1544"/>
      <c r="AK988" s="1544"/>
      <c r="AL988" s="1544"/>
      <c r="AM988" s="1544"/>
      <c r="AN988" s="1544"/>
      <c r="AO988" s="1544"/>
      <c r="AP988" s="1544"/>
      <c r="AQ988" s="1544"/>
      <c r="AR988" s="1544"/>
      <c r="AS988" s="1544"/>
      <c r="AT988" s="1544"/>
      <c r="AU988" s="68"/>
      <c r="AV988" s="68"/>
      <c r="AW988" s="68"/>
      <c r="AX988" s="68"/>
      <c r="AY988" s="68"/>
      <c r="AZ988" s="14"/>
      <c r="BA988" s="14"/>
      <c r="BB988" s="908"/>
      <c r="BC988" s="908"/>
    </row>
    <row r="989" spans="1:64" ht="13" customHeight="1">
      <c r="A989" s="1544"/>
      <c r="B989" s="1544"/>
      <c r="C989" s="1544"/>
      <c r="D989" s="1544"/>
      <c r="E989" s="1544"/>
      <c r="F989" s="1544"/>
      <c r="G989" s="1544"/>
      <c r="H989" s="1544"/>
      <c r="I989" s="1544"/>
      <c r="J989" s="1544"/>
      <c r="K989" s="1544"/>
      <c r="L989" s="1544"/>
      <c r="M989" s="1544"/>
      <c r="N989" s="1544"/>
      <c r="O989" s="1544"/>
      <c r="P989" s="1544"/>
      <c r="Q989" s="1544"/>
      <c r="R989" s="1544"/>
      <c r="S989" s="1544"/>
      <c r="T989" s="1544"/>
      <c r="U989" s="1544"/>
      <c r="V989" s="1544"/>
      <c r="W989" s="1544"/>
      <c r="X989" s="1544"/>
      <c r="Y989" s="1544"/>
      <c r="Z989" s="1544"/>
      <c r="AA989" s="1544"/>
      <c r="AB989" s="1544"/>
      <c r="AC989" s="1544"/>
      <c r="AD989" s="1544"/>
      <c r="AE989" s="1544"/>
      <c r="AF989" s="1544"/>
      <c r="AG989" s="1544"/>
      <c r="AH989" s="1544"/>
      <c r="AI989" s="1544"/>
      <c r="AJ989" s="1544"/>
      <c r="AK989" s="1544"/>
      <c r="AL989" s="1544"/>
      <c r="AM989" s="1544"/>
      <c r="AN989" s="1544"/>
      <c r="AO989" s="1544"/>
      <c r="AP989" s="1544"/>
      <c r="AQ989" s="1544"/>
      <c r="AR989" s="1544"/>
      <c r="AS989" s="1544"/>
      <c r="AT989" s="1544"/>
      <c r="AU989" s="68"/>
      <c r="AV989" s="68"/>
      <c r="AW989" s="68"/>
      <c r="AX989" s="68"/>
      <c r="AY989" s="68"/>
      <c r="AZ989" s="30"/>
      <c r="BA989" s="14"/>
      <c r="BB989" s="14"/>
      <c r="BC989" s="14"/>
    </row>
    <row r="990" spans="1:64" ht="13" customHeight="1">
      <c r="A990" s="1544"/>
      <c r="B990" s="1544"/>
      <c r="C990" s="1544"/>
      <c r="D990" s="1544"/>
      <c r="E990" s="1544"/>
      <c r="F990" s="1544"/>
      <c r="G990" s="1544"/>
      <c r="H990" s="1544"/>
      <c r="I990" s="1544"/>
      <c r="J990" s="1544"/>
      <c r="K990" s="1544"/>
      <c r="L990" s="1544"/>
      <c r="M990" s="1544"/>
      <c r="N990" s="1544"/>
      <c r="O990" s="1544"/>
      <c r="P990" s="1544"/>
      <c r="Q990" s="1544"/>
      <c r="R990" s="1544"/>
      <c r="S990" s="1544"/>
      <c r="T990" s="1544"/>
      <c r="U990" s="1544"/>
      <c r="V990" s="1544"/>
      <c r="W990" s="1544"/>
      <c r="X990" s="1544"/>
      <c r="Y990" s="1544"/>
      <c r="Z990" s="1544"/>
      <c r="AA990" s="1544"/>
      <c r="AB990" s="1544"/>
      <c r="AC990" s="1544"/>
      <c r="AD990" s="1544"/>
      <c r="AE990" s="1544"/>
      <c r="AF990" s="1544"/>
      <c r="AG990" s="1544"/>
      <c r="AH990" s="1544"/>
      <c r="AI990" s="1544"/>
      <c r="AJ990" s="1544"/>
      <c r="AK990" s="1544"/>
      <c r="AL990" s="1544"/>
      <c r="AM990" s="1544"/>
      <c r="AN990" s="1544"/>
      <c r="AO990" s="1544"/>
      <c r="AP990" s="1544"/>
      <c r="AQ990" s="1544"/>
      <c r="AR990" s="1544"/>
      <c r="AS990" s="1544"/>
      <c r="AT990" s="1544"/>
      <c r="AU990" s="68"/>
      <c r="AV990" s="68"/>
      <c r="AW990" s="68"/>
      <c r="AX990" s="68"/>
      <c r="AY990" s="68"/>
      <c r="AZ990" s="30"/>
      <c r="BA990" s="14"/>
      <c r="BB990" s="14"/>
      <c r="BC990" s="14"/>
    </row>
    <row r="991" spans="1:64" ht="13"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3" customHeight="1">
      <c r="A992" s="2" t="s">
        <v>318</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3"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3" customHeight="1">
      <c r="A994" s="67"/>
      <c r="B994" s="79"/>
      <c r="C994" s="924"/>
      <c r="D994" s="1804" t="s">
        <v>637</v>
      </c>
      <c r="E994" s="1805"/>
      <c r="F994" s="1805"/>
      <c r="G994" s="1805"/>
      <c r="H994" s="1805"/>
      <c r="I994" s="1805"/>
      <c r="J994" s="1805"/>
      <c r="K994" s="1805"/>
      <c r="L994" s="1805"/>
      <c r="M994" s="1805"/>
      <c r="N994" s="1805"/>
      <c r="O994" s="1805"/>
      <c r="P994" s="1805"/>
      <c r="Q994" s="1806"/>
      <c r="R994" s="1804" t="s">
        <v>638</v>
      </c>
      <c r="S994" s="1805"/>
      <c r="T994" s="1805"/>
      <c r="U994" s="1805"/>
      <c r="V994" s="1805"/>
      <c r="W994" s="1805"/>
      <c r="X994" s="1805"/>
      <c r="Y994" s="1805"/>
      <c r="Z994" s="1805"/>
      <c r="AA994" s="1806"/>
      <c r="AB994" s="1804" t="s">
        <v>639</v>
      </c>
      <c r="AC994" s="1805"/>
      <c r="AD994" s="1805"/>
      <c r="AE994" s="1805"/>
      <c r="AF994" s="1805"/>
      <c r="AG994" s="1805"/>
      <c r="AH994" s="1805"/>
      <c r="AI994" s="1806"/>
      <c r="AJ994" s="1804" t="s">
        <v>640</v>
      </c>
      <c r="AK994" s="1805"/>
      <c r="AL994" s="1805"/>
      <c r="AM994" s="1805"/>
      <c r="AN994" s="1805"/>
      <c r="AO994" s="1805"/>
      <c r="AP994" s="1805"/>
      <c r="AQ994" s="1806"/>
      <c r="AR994" s="68"/>
      <c r="AS994" s="68"/>
      <c r="AT994" s="68"/>
      <c r="AU994" s="68"/>
      <c r="AV994" s="68"/>
      <c r="AW994" s="68"/>
      <c r="AX994" s="68"/>
      <c r="AY994" s="68"/>
      <c r="AZ994" s="30"/>
      <c r="BB994" s="14"/>
      <c r="BC994" s="14"/>
    </row>
    <row r="995" spans="1:55" ht="13" customHeight="1">
      <c r="A995" s="14"/>
      <c r="B995" s="73"/>
      <c r="C995" s="925"/>
      <c r="D995" s="1675" t="s">
        <v>632</v>
      </c>
      <c r="E995" s="1676"/>
      <c r="F995" s="1676"/>
      <c r="G995" s="1676"/>
      <c r="H995" s="1676"/>
      <c r="I995" s="1676"/>
      <c r="J995" s="1676"/>
      <c r="K995" s="1676"/>
      <c r="L995" s="1676"/>
      <c r="M995" s="1676"/>
      <c r="N995" s="1676"/>
      <c r="O995" s="1676"/>
      <c r="P995" s="1676"/>
      <c r="Q995" s="1677"/>
      <c r="R995" s="1737">
        <f>IF(ISNA(IF($CU$122="4%",(INDEX($CS$160:$CW$217,MATCH($DG$122,$CR$160:$CR$217,0),MATCH(D995,$CS$159:$CW$159,0))),(INDEX($CZ$160:$DD$217,MATCH($DG$122,$CY$160:$CY$217,0),MATCH(D995,$CZ$159:$DD$159,0))))),0,IF($CU$122="4%",(INDEX($CS$160:$CW$217,MATCH($DG$122,$CR$160:$CR$217,0),MATCH(D995,$CS$159:$CW$159,0))),(INDEX($CZ$160:$DD$217,MATCH($DG$122,$CY$160:$CY$217,0),MATCH(D995,$CZ$159:$DD$159,0)))))</f>
        <v>491221</v>
      </c>
      <c r="S995" s="1737"/>
      <c r="T995" s="1737"/>
      <c r="U995" s="1737"/>
      <c r="V995" s="1737"/>
      <c r="W995" s="1737"/>
      <c r="X995" s="1737"/>
      <c r="Y995" s="1737"/>
      <c r="Z995" s="1737"/>
      <c r="AA995" s="1737"/>
      <c r="AB995" s="1714">
        <f>CP810</f>
        <v>0</v>
      </c>
      <c r="AC995" s="1715"/>
      <c r="AD995" s="1715"/>
      <c r="AE995" s="1715"/>
      <c r="AF995" s="1715"/>
      <c r="AG995" s="1715"/>
      <c r="AH995" s="1715"/>
      <c r="AI995" s="1716"/>
      <c r="AJ995" s="1701">
        <f>IF(ISERROR((R995*AB995)),0,(R995*AB995))</f>
        <v>0</v>
      </c>
      <c r="AK995" s="1702"/>
      <c r="AL995" s="1702"/>
      <c r="AM995" s="1702"/>
      <c r="AN995" s="1702"/>
      <c r="AO995" s="1702"/>
      <c r="AP995" s="1702"/>
      <c r="AQ995" s="1703"/>
      <c r="AR995" s="68"/>
      <c r="AS995" s="68"/>
      <c r="AT995" s="68"/>
      <c r="AU995" s="68"/>
      <c r="AV995" s="68"/>
      <c r="AW995" s="68"/>
      <c r="AX995" s="68"/>
      <c r="AY995" s="68"/>
      <c r="AZ995" s="30"/>
      <c r="BB995" s="14"/>
      <c r="BC995" s="14"/>
    </row>
    <row r="996" spans="1:55" ht="13" customHeight="1">
      <c r="A996" s="14"/>
      <c r="B996" s="73"/>
      <c r="C996" s="83"/>
      <c r="D996" s="1675" t="s">
        <v>324</v>
      </c>
      <c r="E996" s="1676"/>
      <c r="F996" s="1676"/>
      <c r="G996" s="1676"/>
      <c r="H996" s="1676"/>
      <c r="I996" s="1676"/>
      <c r="J996" s="1676"/>
      <c r="K996" s="1676"/>
      <c r="L996" s="1676"/>
      <c r="M996" s="1676"/>
      <c r="N996" s="1676"/>
      <c r="O996" s="1676"/>
      <c r="P996" s="1676"/>
      <c r="Q996" s="1677"/>
      <c r="R996" s="1737">
        <f>IF(ISNA(IF($CU$122="4%",(INDEX($CS$160:$CW$217,MATCH($DG$122,$CR$160:$CR$217,0),MATCH(D996,$CS$159:$CW$159,0))),(INDEX($CZ$160:$DD$217,MATCH($DG$122,$CY$160:$CY$217,0),MATCH(D996,$CZ$159:$DD$159,0))))),0,IF($CU$122="4%",(INDEX($CS$160:$CW$217,MATCH($DG$122,$CR$160:$CR$217,0),MATCH(D996,$CS$159:$CW$159,0))),(INDEX($CZ$160:$DD$217,MATCH($DG$122,$CY$160:$CY$217,0),MATCH(D996,$CZ$159:$DD$159,0)))))</f>
        <v>566373</v>
      </c>
      <c r="S996" s="1737"/>
      <c r="T996" s="1737"/>
      <c r="U996" s="1737"/>
      <c r="V996" s="1737"/>
      <c r="W996" s="1737"/>
      <c r="X996" s="1737"/>
      <c r="Y996" s="1737"/>
      <c r="Z996" s="1737"/>
      <c r="AA996" s="1737"/>
      <c r="AB996" s="1714">
        <f>CU810</f>
        <v>46</v>
      </c>
      <c r="AC996" s="1715"/>
      <c r="AD996" s="1715"/>
      <c r="AE996" s="1715"/>
      <c r="AF996" s="1715"/>
      <c r="AG996" s="1715"/>
      <c r="AH996" s="1715"/>
      <c r="AI996" s="1716"/>
      <c r="AJ996" s="1701">
        <f>IF(ISERROR((R996*AB996)),0,(R996*AB996))</f>
        <v>26053158</v>
      </c>
      <c r="AK996" s="1702"/>
      <c r="AL996" s="1702"/>
      <c r="AM996" s="1702"/>
      <c r="AN996" s="1702"/>
      <c r="AO996" s="1702"/>
      <c r="AP996" s="1702"/>
      <c r="AQ996" s="1703"/>
      <c r="AR996" s="68"/>
      <c r="AS996" s="68"/>
      <c r="AT996" s="68"/>
      <c r="AU996" s="68"/>
      <c r="AV996" s="68"/>
      <c r="AW996" s="68"/>
      <c r="AX996" s="68"/>
      <c r="AY996" s="68"/>
      <c r="AZ996" s="30"/>
      <c r="BB996" s="14"/>
      <c r="BC996" s="14"/>
    </row>
    <row r="997" spans="1:55" ht="13" customHeight="1">
      <c r="A997" s="14"/>
      <c r="B997" s="73"/>
      <c r="C997" s="83"/>
      <c r="D997" s="1675" t="s">
        <v>163</v>
      </c>
      <c r="E997" s="1676"/>
      <c r="F997" s="1676"/>
      <c r="G997" s="1676"/>
      <c r="H997" s="1676"/>
      <c r="I997" s="1676"/>
      <c r="J997" s="1676"/>
      <c r="K997" s="1676"/>
      <c r="L997" s="1676"/>
      <c r="M997" s="1676"/>
      <c r="N997" s="1676"/>
      <c r="O997" s="1676"/>
      <c r="P997" s="1676"/>
      <c r="Q997" s="1677"/>
      <c r="R997" s="1737">
        <f>IF(ISNA(IF($CU$122="4%",(INDEX($CS$160:$CW$217,MATCH($DG$122,$CR$160:$CR$217,0),MATCH(D997,$CS$159:$CW$159,0))),(INDEX($CZ$160:$DD$217,MATCH($DG$122,$CY$160:$CY$217,0),MATCH(D997,$CZ$159:$DD$159,0))))),0,IF($CU$122="4%",(INDEX($CS$160:$CW$217,MATCH($DG$122,$CR$160:$CR$217,0),MATCH(D997,$CS$159:$CW$159,0))),(INDEX($CZ$160:$DD$217,MATCH($DG$122,$CY$160:$CY$217,0),MATCH(D997,$CZ$159:$DD$159,0)))))</f>
        <v>683200</v>
      </c>
      <c r="S997" s="1737"/>
      <c r="T997" s="1737"/>
      <c r="U997" s="1737"/>
      <c r="V997" s="1737"/>
      <c r="W997" s="1737"/>
      <c r="X997" s="1737"/>
      <c r="Y997" s="1737"/>
      <c r="Z997" s="1737"/>
      <c r="AA997" s="1737"/>
      <c r="AB997" s="1714">
        <f>CZ810</f>
        <v>42</v>
      </c>
      <c r="AC997" s="1715"/>
      <c r="AD997" s="1715"/>
      <c r="AE997" s="1715"/>
      <c r="AF997" s="1715"/>
      <c r="AG997" s="1715"/>
      <c r="AH997" s="1715"/>
      <c r="AI997" s="1716"/>
      <c r="AJ997" s="1701">
        <f>IF(ISERROR((R997*AB997)),0,(R997*AB997))</f>
        <v>28694400</v>
      </c>
      <c r="AK997" s="1702"/>
      <c r="AL997" s="1702"/>
      <c r="AM997" s="1702"/>
      <c r="AN997" s="1702"/>
      <c r="AO997" s="1702"/>
      <c r="AP997" s="1702"/>
      <c r="AQ997" s="1703"/>
      <c r="AR997" s="68"/>
      <c r="AS997" s="68"/>
      <c r="AT997" s="68"/>
      <c r="AU997" s="68"/>
      <c r="AV997" s="68"/>
      <c r="AW997" s="68"/>
      <c r="AX997" s="68"/>
      <c r="AY997" s="68"/>
      <c r="AZ997" s="30"/>
      <c r="BB997" s="14"/>
      <c r="BC997" s="14"/>
    </row>
    <row r="998" spans="1:55" ht="13" customHeight="1">
      <c r="A998" s="14"/>
      <c r="B998" s="73"/>
      <c r="C998" s="83"/>
      <c r="D998" s="1675" t="s">
        <v>164</v>
      </c>
      <c r="E998" s="1676"/>
      <c r="F998" s="1676"/>
      <c r="G998" s="1676"/>
      <c r="H998" s="1676"/>
      <c r="I998" s="1676"/>
      <c r="J998" s="1676"/>
      <c r="K998" s="1676"/>
      <c r="L998" s="1676"/>
      <c r="M998" s="1676"/>
      <c r="N998" s="1676"/>
      <c r="O998" s="1676"/>
      <c r="P998" s="1676"/>
      <c r="Q998" s="1677"/>
      <c r="R998" s="1737">
        <f>IF(ISNA(IF($CU$122="4%",(INDEX($CS$160:$CW$217,MATCH($DG$122,$CR$160:$CR$217,0),MATCH(D998,$CS$159:$CW$159,0))),(INDEX($CZ$160:$DD$217,MATCH($DG$122,$CY$160:$CY$217,0),MATCH(D998,$CZ$159:$DD$159,0))))),0,IF($CU$122="4%",(INDEX($CS$160:$CW$217,MATCH($DG$122,$CR$160:$CR$217,0),MATCH(D998,$CS$159:$CW$159,0))),(INDEX($CZ$160:$DD$217,MATCH($DG$122,$CY$160:$CY$217,0),MATCH(D998,$CZ$159:$DD$159,0)))))</f>
        <v>874496</v>
      </c>
      <c r="S998" s="1737"/>
      <c r="T998" s="1737"/>
      <c r="U998" s="1737"/>
      <c r="V998" s="1737"/>
      <c r="W998" s="1737"/>
      <c r="X998" s="1737"/>
      <c r="Y998" s="1737"/>
      <c r="Z998" s="1737"/>
      <c r="AA998" s="1737"/>
      <c r="AB998" s="1714">
        <f>DE810</f>
        <v>43</v>
      </c>
      <c r="AC998" s="1715"/>
      <c r="AD998" s="1715"/>
      <c r="AE998" s="1715"/>
      <c r="AF998" s="1715"/>
      <c r="AG998" s="1715"/>
      <c r="AH998" s="1715"/>
      <c r="AI998" s="1716"/>
      <c r="AJ998" s="1701">
        <f>IF(ISERROR((R998*AB998)),0,(R998*AB998))</f>
        <v>37603328</v>
      </c>
      <c r="AK998" s="1702"/>
      <c r="AL998" s="1702"/>
      <c r="AM998" s="1702"/>
      <c r="AN998" s="1702"/>
      <c r="AO998" s="1702"/>
      <c r="AP998" s="1702"/>
      <c r="AQ998" s="1703"/>
      <c r="AR998" s="68"/>
      <c r="AS998" s="68"/>
      <c r="AT998" s="68"/>
      <c r="AU998" s="68"/>
      <c r="AV998" s="68"/>
      <c r="AW998" s="68"/>
      <c r="AX998" s="68"/>
      <c r="AY998" s="68"/>
      <c r="AZ998" s="30"/>
      <c r="BA998" s="34"/>
      <c r="BB998" s="14"/>
      <c r="BC998" s="14"/>
    </row>
    <row r="999" spans="1:55" ht="13" customHeight="1">
      <c r="A999" s="14"/>
      <c r="B999" s="47"/>
      <c r="C999" s="78"/>
      <c r="D999" s="1675" t="s">
        <v>459</v>
      </c>
      <c r="E999" s="1676"/>
      <c r="F999" s="1676"/>
      <c r="G999" s="1676"/>
      <c r="H999" s="1676"/>
      <c r="I999" s="1676"/>
      <c r="J999" s="1676"/>
      <c r="K999" s="1676"/>
      <c r="L999" s="1676"/>
      <c r="M999" s="1676"/>
      <c r="N999" s="1676"/>
      <c r="O999" s="1676"/>
      <c r="P999" s="1676"/>
      <c r="Q999" s="1677"/>
      <c r="R999" s="1737">
        <f>IF(ISNA(IF($CU$122="4%",(INDEX($CS$160:$CW$217,MATCH($DG$122,$CR$160:$CR$217,0),MATCH(D999,$CS$159:$CW$159,0))),(INDEX($CZ$160:$DD$217,MATCH($DG$122,$CY$160:$CY$217,0),MATCH(D999,$CZ$159:$DD$159,0))))),0,IF($CU$122="4%",(INDEX($CS$160:$CW$217,MATCH($DG$122,$CR$160:$CR$217,0),MATCH(D999,$CS$159:$CW$159,0))),(INDEX($CZ$160:$DD$217,MATCH($DG$122,$CY$160:$CY$217,0),MATCH(D999,$CZ$159:$DD$159,0)))))</f>
        <v>974243</v>
      </c>
      <c r="S999" s="1737"/>
      <c r="T999" s="1737"/>
      <c r="U999" s="1737"/>
      <c r="V999" s="1737"/>
      <c r="W999" s="1737"/>
      <c r="X999" s="1737"/>
      <c r="Y999" s="1737"/>
      <c r="Z999" s="1737"/>
      <c r="AA999" s="1737"/>
      <c r="AB999" s="1714">
        <f>DO810+DJ810</f>
        <v>0</v>
      </c>
      <c r="AC999" s="1715"/>
      <c r="AD999" s="1715"/>
      <c r="AE999" s="1715"/>
      <c r="AF999" s="1715"/>
      <c r="AG999" s="1715"/>
      <c r="AH999" s="1715"/>
      <c r="AI999" s="1716"/>
      <c r="AJ999" s="1701">
        <f>IF(ISERROR((R999*AB999)),0,(R999*AB999))</f>
        <v>0</v>
      </c>
      <c r="AK999" s="1702"/>
      <c r="AL999" s="1702"/>
      <c r="AM999" s="1702"/>
      <c r="AN999" s="1702"/>
      <c r="AO999" s="1702"/>
      <c r="AP999" s="1702"/>
      <c r="AQ999" s="1703"/>
      <c r="AR999" s="68"/>
      <c r="AS999" s="68"/>
      <c r="AT999" s="68"/>
      <c r="AU999" s="68"/>
      <c r="AV999" s="68"/>
      <c r="AW999" s="68"/>
      <c r="AX999" s="68"/>
      <c r="AY999" s="68"/>
      <c r="AZ999" s="30"/>
      <c r="BB999" s="14"/>
      <c r="BC999" s="14"/>
    </row>
    <row r="1000" spans="1:55" ht="13" customHeight="1">
      <c r="A1000" s="14"/>
      <c r="B1000" s="1723" t="s">
        <v>790</v>
      </c>
      <c r="C1000" s="1724"/>
      <c r="D1000" s="1724"/>
      <c r="E1000" s="1724"/>
      <c r="F1000" s="1724"/>
      <c r="G1000" s="1724"/>
      <c r="H1000" s="1724"/>
      <c r="I1000" s="1724"/>
      <c r="J1000" s="1724"/>
      <c r="K1000" s="1724"/>
      <c r="L1000" s="1724"/>
      <c r="M1000" s="1724"/>
      <c r="N1000" s="1724"/>
      <c r="O1000" s="1724"/>
      <c r="P1000" s="1724"/>
      <c r="Q1000" s="1724"/>
      <c r="R1000" s="1724"/>
      <c r="S1000" s="1724"/>
      <c r="T1000" s="1724"/>
      <c r="U1000" s="1724"/>
      <c r="V1000" s="1724"/>
      <c r="W1000" s="1724"/>
      <c r="X1000" s="1724"/>
      <c r="Y1000" s="1724"/>
      <c r="Z1000" s="1724"/>
      <c r="AA1000" s="1725"/>
      <c r="AB1000" s="1714">
        <f>SUM(AB995:AI999)</f>
        <v>131</v>
      </c>
      <c r="AC1000" s="1715"/>
      <c r="AD1000" s="1715"/>
      <c r="AE1000" s="1715"/>
      <c r="AF1000" s="1715"/>
      <c r="AG1000" s="1715"/>
      <c r="AH1000" s="1715"/>
      <c r="AI1000" s="1716"/>
      <c r="AJ1000" s="1701"/>
      <c r="AK1000" s="1702"/>
      <c r="AL1000" s="1702"/>
      <c r="AM1000" s="1702"/>
      <c r="AN1000" s="1702"/>
      <c r="AO1000" s="1702"/>
      <c r="AP1000" s="1702"/>
      <c r="AQ1000" s="1703"/>
      <c r="AR1000" s="68"/>
      <c r="AS1000" s="68"/>
      <c r="AT1000" s="68"/>
      <c r="AU1000" s="68"/>
      <c r="AV1000" s="68"/>
      <c r="AW1000" s="68"/>
      <c r="AX1000" s="68"/>
      <c r="AY1000" s="68"/>
      <c r="AZ1000" s="34"/>
      <c r="BA1000" s="34"/>
      <c r="BB1000" s="14"/>
      <c r="BC1000" s="14"/>
    </row>
    <row r="1001" spans="1:55" ht="13" customHeight="1">
      <c r="A1001" s="14"/>
      <c r="B1001" s="1763" t="s">
        <v>511</v>
      </c>
      <c r="C1001" s="1764"/>
      <c r="D1001" s="1764"/>
      <c r="E1001" s="1764"/>
      <c r="F1001" s="1764"/>
      <c r="G1001" s="1764"/>
      <c r="H1001" s="1764"/>
      <c r="I1001" s="1764"/>
      <c r="J1001" s="1764"/>
      <c r="K1001" s="1764"/>
      <c r="L1001" s="1764"/>
      <c r="M1001" s="1764"/>
      <c r="N1001" s="1764"/>
      <c r="O1001" s="1764"/>
      <c r="P1001" s="1764"/>
      <c r="Q1001" s="1764"/>
      <c r="R1001" s="1764"/>
      <c r="S1001" s="1764"/>
      <c r="T1001" s="1764"/>
      <c r="U1001" s="1764"/>
      <c r="V1001" s="1764"/>
      <c r="W1001" s="1764"/>
      <c r="X1001" s="1764"/>
      <c r="Y1001" s="1764"/>
      <c r="Z1001" s="1764"/>
      <c r="AA1001" s="1764"/>
      <c r="AB1001" s="1764"/>
      <c r="AC1001" s="1764"/>
      <c r="AD1001" s="1764"/>
      <c r="AE1001" s="1764"/>
      <c r="AF1001" s="1764"/>
      <c r="AG1001" s="1764"/>
      <c r="AH1001" s="1764"/>
      <c r="AI1001" s="1765"/>
      <c r="AJ1001" s="1701">
        <f>SUM(AJ995:AQ999)</f>
        <v>92350886</v>
      </c>
      <c r="AK1001" s="1702"/>
      <c r="AL1001" s="1702"/>
      <c r="AM1001" s="1702"/>
      <c r="AN1001" s="1702"/>
      <c r="AO1001" s="1702"/>
      <c r="AP1001" s="1702"/>
      <c r="AQ1001" s="1703"/>
      <c r="AR1001" s="68"/>
      <c r="AS1001" s="68"/>
      <c r="AT1001" s="68"/>
      <c r="AU1001" s="68"/>
      <c r="AV1001" s="68"/>
      <c r="AW1001" s="68"/>
      <c r="AX1001" s="68"/>
      <c r="AY1001" s="68"/>
      <c r="AZ1001" s="34"/>
      <c r="BB1001" s="34"/>
      <c r="BC1001" s="34"/>
    </row>
    <row r="1002" spans="1:55" ht="13" customHeight="1">
      <c r="A1002" s="14"/>
      <c r="B1002" s="1760"/>
      <c r="C1002" s="1761"/>
      <c r="D1002" s="1761"/>
      <c r="E1002" s="1761"/>
      <c r="F1002" s="1761"/>
      <c r="G1002" s="1761"/>
      <c r="H1002" s="1761"/>
      <c r="I1002" s="1761"/>
      <c r="J1002" s="1761"/>
      <c r="K1002" s="1761"/>
      <c r="L1002" s="1761"/>
      <c r="M1002" s="1761"/>
      <c r="N1002" s="1761"/>
      <c r="O1002" s="1761"/>
      <c r="P1002" s="1761"/>
      <c r="Q1002" s="1761"/>
      <c r="R1002" s="1761"/>
      <c r="S1002" s="1761"/>
      <c r="T1002" s="1761"/>
      <c r="U1002" s="1761"/>
      <c r="V1002" s="1761"/>
      <c r="W1002" s="1761"/>
      <c r="X1002" s="1761"/>
      <c r="Y1002" s="1761"/>
      <c r="Z1002" s="1761"/>
      <c r="AA1002" s="1761"/>
      <c r="AB1002" s="1761"/>
      <c r="AC1002" s="1761"/>
      <c r="AD1002" s="1761"/>
      <c r="AE1002" s="1762"/>
      <c r="AF1002" s="1781" t="s">
        <v>665</v>
      </c>
      <c r="AG1002" s="1782"/>
      <c r="AH1002" s="1782"/>
      <c r="AI1002" s="1783"/>
      <c r="AJ1002" s="1760"/>
      <c r="AK1002" s="1761"/>
      <c r="AL1002" s="1761"/>
      <c r="AM1002" s="1761"/>
      <c r="AN1002" s="1761"/>
      <c r="AO1002" s="1761"/>
      <c r="AP1002" s="1761"/>
      <c r="AQ1002" s="1762"/>
      <c r="AR1002" s="68"/>
      <c r="AS1002" s="68"/>
      <c r="AT1002" s="68"/>
      <c r="AU1002" s="68"/>
      <c r="AV1002" s="68"/>
      <c r="AW1002" s="68"/>
      <c r="AX1002" s="68"/>
      <c r="AY1002" s="68"/>
      <c r="AZ1002" s="34"/>
      <c r="BA1002" s="34"/>
      <c r="BB1002" s="34"/>
      <c r="BC1002" s="34"/>
    </row>
    <row r="1003" spans="1:55" ht="13" customHeight="1">
      <c r="A1003" s="14"/>
      <c r="B1003" s="73"/>
      <c r="C1003" s="923" t="s">
        <v>667</v>
      </c>
      <c r="D1003" s="1720" t="s">
        <v>1218</v>
      </c>
      <c r="E1003" s="1721"/>
      <c r="F1003" s="1721"/>
      <c r="G1003" s="1721"/>
      <c r="H1003" s="1721"/>
      <c r="I1003" s="1721"/>
      <c r="J1003" s="1721"/>
      <c r="K1003" s="1721"/>
      <c r="L1003" s="1721"/>
      <c r="M1003" s="1721"/>
      <c r="N1003" s="1721"/>
      <c r="O1003" s="1721"/>
      <c r="P1003" s="1721"/>
      <c r="Q1003" s="1721"/>
      <c r="R1003" s="1721"/>
      <c r="S1003" s="1721"/>
      <c r="T1003" s="1721"/>
      <c r="U1003" s="1721"/>
      <c r="V1003" s="1721"/>
      <c r="W1003" s="1721"/>
      <c r="X1003" s="1721"/>
      <c r="Y1003" s="1721"/>
      <c r="Z1003" s="1721"/>
      <c r="AA1003" s="1721"/>
      <c r="AB1003" s="1721"/>
      <c r="AC1003" s="1721"/>
      <c r="AD1003" s="1721"/>
      <c r="AE1003" s="1722"/>
      <c r="AF1003" s="79"/>
      <c r="AG1003" s="1784" t="s">
        <v>668</v>
      </c>
      <c r="AH1003" s="1785"/>
      <c r="AI1003" s="87"/>
      <c r="AJ1003" s="1745">
        <f>ROUND(IF(AND(AG1003="yes",D1009&gt;0),AJ1001*0.2,0),0)</f>
        <v>0</v>
      </c>
      <c r="AK1003" s="1746"/>
      <c r="AL1003" s="1746"/>
      <c r="AM1003" s="1746"/>
      <c r="AN1003" s="1746"/>
      <c r="AO1003" s="1746"/>
      <c r="AP1003" s="1746"/>
      <c r="AQ1003" s="1747"/>
      <c r="AR1003" s="68"/>
      <c r="AS1003" s="68"/>
      <c r="AT1003" s="68"/>
      <c r="AU1003" s="68"/>
      <c r="AV1003" s="68"/>
      <c r="AW1003" s="68"/>
      <c r="AX1003" s="68"/>
      <c r="AY1003" s="68"/>
      <c r="AZ1003" s="34"/>
      <c r="BA1003" s="34"/>
      <c r="BB1003" s="34"/>
      <c r="BC1003" s="34"/>
    </row>
    <row r="1004" spans="1:55" ht="13" customHeight="1">
      <c r="A1004" s="14"/>
      <c r="B1004" s="257"/>
      <c r="C1004" s="256"/>
      <c r="D1004" s="1795" t="s">
        <v>2187</v>
      </c>
      <c r="E1004" s="1796"/>
      <c r="F1004" s="1796"/>
      <c r="G1004" s="1796"/>
      <c r="H1004" s="1796"/>
      <c r="I1004" s="1796"/>
      <c r="J1004" s="1796"/>
      <c r="K1004" s="1796"/>
      <c r="L1004" s="1796"/>
      <c r="M1004" s="1796"/>
      <c r="N1004" s="1796"/>
      <c r="O1004" s="1796"/>
      <c r="P1004" s="1796"/>
      <c r="Q1004" s="1796"/>
      <c r="R1004" s="1796"/>
      <c r="S1004" s="1796"/>
      <c r="T1004" s="1796"/>
      <c r="U1004" s="1796"/>
      <c r="V1004" s="1796"/>
      <c r="W1004" s="1796"/>
      <c r="X1004" s="1796"/>
      <c r="Y1004" s="1796"/>
      <c r="Z1004" s="1796"/>
      <c r="AA1004" s="1796"/>
      <c r="AB1004" s="1796"/>
      <c r="AC1004" s="1796"/>
      <c r="AD1004" s="1796"/>
      <c r="AE1004" s="1797"/>
      <c r="AF1004" s="73"/>
      <c r="AG1004" s="14"/>
      <c r="AH1004" s="14"/>
      <c r="AI1004" s="83"/>
      <c r="AJ1004" s="1748"/>
      <c r="AK1004" s="1749"/>
      <c r="AL1004" s="1749"/>
      <c r="AM1004" s="1749"/>
      <c r="AN1004" s="1749"/>
      <c r="AO1004" s="1749"/>
      <c r="AP1004" s="1749"/>
      <c r="AQ1004" s="1750"/>
      <c r="AR1004" s="68"/>
      <c r="AS1004" s="68"/>
      <c r="AT1004" s="68"/>
      <c r="AU1004" s="68"/>
      <c r="AV1004" s="68"/>
      <c r="AW1004" s="68"/>
      <c r="AX1004" s="68"/>
      <c r="AY1004" s="68"/>
      <c r="AZ1004" s="34"/>
      <c r="BA1004" s="34"/>
      <c r="BB1004" s="34"/>
      <c r="BC1004" s="34"/>
    </row>
    <row r="1005" spans="1:55" ht="13" customHeight="1">
      <c r="A1005" s="14"/>
      <c r="B1005" s="257"/>
      <c r="C1005" s="256"/>
      <c r="D1005" s="1795"/>
      <c r="E1005" s="1796"/>
      <c r="F1005" s="1796"/>
      <c r="G1005" s="1796"/>
      <c r="H1005" s="1796"/>
      <c r="I1005" s="1796"/>
      <c r="J1005" s="1796"/>
      <c r="K1005" s="1796"/>
      <c r="L1005" s="1796"/>
      <c r="M1005" s="1796"/>
      <c r="N1005" s="1796"/>
      <c r="O1005" s="1796"/>
      <c r="P1005" s="1796"/>
      <c r="Q1005" s="1796"/>
      <c r="R1005" s="1796"/>
      <c r="S1005" s="1796"/>
      <c r="T1005" s="1796"/>
      <c r="U1005" s="1796"/>
      <c r="V1005" s="1796"/>
      <c r="W1005" s="1796"/>
      <c r="X1005" s="1796"/>
      <c r="Y1005" s="1796"/>
      <c r="Z1005" s="1796"/>
      <c r="AA1005" s="1796"/>
      <c r="AB1005" s="1796"/>
      <c r="AC1005" s="1796"/>
      <c r="AD1005" s="1796"/>
      <c r="AE1005" s="1797"/>
      <c r="AF1005" s="73"/>
      <c r="AG1005" s="14"/>
      <c r="AH1005" s="14"/>
      <c r="AI1005" s="83"/>
      <c r="AJ1005" s="1748"/>
      <c r="AK1005" s="1749"/>
      <c r="AL1005" s="1749"/>
      <c r="AM1005" s="1749"/>
      <c r="AN1005" s="1749"/>
      <c r="AO1005" s="1749"/>
      <c r="AP1005" s="1749"/>
      <c r="AQ1005" s="1750"/>
      <c r="AR1005" s="68"/>
      <c r="AS1005" s="68"/>
      <c r="AT1005" s="68"/>
      <c r="AU1005" s="68"/>
      <c r="AV1005" s="68"/>
      <c r="AW1005" s="68"/>
      <c r="AX1005" s="68"/>
      <c r="AY1005" s="68"/>
      <c r="AZ1005" s="34"/>
      <c r="BA1005" s="34"/>
      <c r="BB1005" s="34"/>
      <c r="BC1005" s="34"/>
    </row>
    <row r="1006" spans="1:55" ht="13" customHeight="1">
      <c r="A1006" s="14"/>
      <c r="B1006" s="257"/>
      <c r="C1006" s="256"/>
      <c r="D1006" s="1795"/>
      <c r="E1006" s="1796"/>
      <c r="F1006" s="1796"/>
      <c r="G1006" s="1796"/>
      <c r="H1006" s="1796"/>
      <c r="I1006" s="1796"/>
      <c r="J1006" s="1796"/>
      <c r="K1006" s="1796"/>
      <c r="L1006" s="1796"/>
      <c r="M1006" s="1796"/>
      <c r="N1006" s="1796"/>
      <c r="O1006" s="1796"/>
      <c r="P1006" s="1796"/>
      <c r="Q1006" s="1796"/>
      <c r="R1006" s="1796"/>
      <c r="S1006" s="1796"/>
      <c r="T1006" s="1796"/>
      <c r="U1006" s="1796"/>
      <c r="V1006" s="1796"/>
      <c r="W1006" s="1796"/>
      <c r="X1006" s="1796"/>
      <c r="Y1006" s="1796"/>
      <c r="Z1006" s="1796"/>
      <c r="AA1006" s="1796"/>
      <c r="AB1006" s="1796"/>
      <c r="AC1006" s="1796"/>
      <c r="AD1006" s="1796"/>
      <c r="AE1006" s="1797"/>
      <c r="AF1006" s="73"/>
      <c r="AG1006" s="14"/>
      <c r="AH1006" s="14"/>
      <c r="AI1006" s="83"/>
      <c r="AJ1006" s="1748"/>
      <c r="AK1006" s="1749"/>
      <c r="AL1006" s="1749"/>
      <c r="AM1006" s="1749"/>
      <c r="AN1006" s="1749"/>
      <c r="AO1006" s="1749"/>
      <c r="AP1006" s="1749"/>
      <c r="AQ1006" s="1750"/>
      <c r="AR1006" s="68"/>
      <c r="AS1006" s="68"/>
      <c r="AT1006" s="68"/>
      <c r="AU1006" s="68"/>
      <c r="AV1006" s="68"/>
      <c r="AW1006" s="68"/>
      <c r="AX1006" s="68"/>
      <c r="AY1006" s="68"/>
      <c r="AZ1006" s="34"/>
      <c r="BA1006" s="34"/>
      <c r="BB1006" s="34"/>
      <c r="BC1006" s="34"/>
    </row>
    <row r="1007" spans="1:55" ht="13" customHeight="1">
      <c r="A1007" s="14"/>
      <c r="B1007" s="257"/>
      <c r="C1007" s="256"/>
      <c r="D1007" s="1795"/>
      <c r="E1007" s="1796"/>
      <c r="F1007" s="1796"/>
      <c r="G1007" s="1796"/>
      <c r="H1007" s="1796"/>
      <c r="I1007" s="1796"/>
      <c r="J1007" s="1796"/>
      <c r="K1007" s="1796"/>
      <c r="L1007" s="1796"/>
      <c r="M1007" s="1796"/>
      <c r="N1007" s="1796"/>
      <c r="O1007" s="1796"/>
      <c r="P1007" s="1796"/>
      <c r="Q1007" s="1796"/>
      <c r="R1007" s="1796"/>
      <c r="S1007" s="1796"/>
      <c r="T1007" s="1796"/>
      <c r="U1007" s="1796"/>
      <c r="V1007" s="1796"/>
      <c r="W1007" s="1796"/>
      <c r="X1007" s="1796"/>
      <c r="Y1007" s="1796"/>
      <c r="Z1007" s="1796"/>
      <c r="AA1007" s="1796"/>
      <c r="AB1007" s="1796"/>
      <c r="AC1007" s="1796"/>
      <c r="AD1007" s="1796"/>
      <c r="AE1007" s="1797"/>
      <c r="AF1007" s="73"/>
      <c r="AG1007" s="14"/>
      <c r="AH1007" s="14"/>
      <c r="AI1007" s="83"/>
      <c r="AJ1007" s="1748"/>
      <c r="AK1007" s="1749"/>
      <c r="AL1007" s="1749"/>
      <c r="AM1007" s="1749"/>
      <c r="AN1007" s="1749"/>
      <c r="AO1007" s="1749"/>
      <c r="AP1007" s="1749"/>
      <c r="AQ1007" s="1750"/>
      <c r="AR1007" s="68"/>
      <c r="AS1007" s="68"/>
      <c r="AT1007" s="68"/>
      <c r="AU1007" s="68"/>
      <c r="AV1007" s="68"/>
      <c r="AW1007" s="68"/>
      <c r="AX1007" s="68"/>
      <c r="AY1007" s="68"/>
      <c r="AZ1007" s="34"/>
      <c r="BA1007" s="34"/>
      <c r="BB1007" s="34"/>
      <c r="BC1007" s="34"/>
    </row>
    <row r="1008" spans="1:55" ht="13" customHeight="1">
      <c r="A1008" s="14"/>
      <c r="B1008" s="257"/>
      <c r="C1008" s="256"/>
      <c r="D1008" s="1741" t="s">
        <v>2158</v>
      </c>
      <c r="E1008" s="1742"/>
      <c r="F1008" s="1742"/>
      <c r="G1008" s="1742"/>
      <c r="H1008" s="1742"/>
      <c r="I1008" s="1742"/>
      <c r="J1008" s="1742"/>
      <c r="K1008" s="1742"/>
      <c r="L1008" s="1742"/>
      <c r="M1008" s="1742"/>
      <c r="N1008" s="1742"/>
      <c r="O1008" s="1742"/>
      <c r="P1008" s="1742"/>
      <c r="Q1008" s="1742"/>
      <c r="R1008" s="1742"/>
      <c r="S1008" s="1742"/>
      <c r="T1008" s="1742"/>
      <c r="U1008" s="1742"/>
      <c r="V1008" s="1742"/>
      <c r="W1008" s="1742"/>
      <c r="X1008" s="1742"/>
      <c r="Y1008" s="1742"/>
      <c r="Z1008" s="1742"/>
      <c r="AA1008" s="1742"/>
      <c r="AB1008" s="1742"/>
      <c r="AC1008" s="1742"/>
      <c r="AD1008" s="1742"/>
      <c r="AE1008" s="1743"/>
      <c r="AF1008" s="73"/>
      <c r="AG1008" s="14"/>
      <c r="AH1008" s="14"/>
      <c r="AI1008" s="83"/>
      <c r="AJ1008" s="1748"/>
      <c r="AK1008" s="1749"/>
      <c r="AL1008" s="1749"/>
      <c r="AM1008" s="1749"/>
      <c r="AN1008" s="1749"/>
      <c r="AO1008" s="1749"/>
      <c r="AP1008" s="1749"/>
      <c r="AQ1008" s="1750"/>
      <c r="AR1008" s="68"/>
      <c r="AS1008" s="68"/>
      <c r="AT1008" s="68"/>
      <c r="AU1008" s="68"/>
      <c r="AV1008" s="68"/>
      <c r="AW1008" s="68"/>
      <c r="AX1008" s="68"/>
      <c r="AY1008" s="68"/>
      <c r="AZ1008" s="34"/>
      <c r="BA1008" s="34"/>
      <c r="BB1008" s="34"/>
      <c r="BC1008" s="34"/>
    </row>
    <row r="1009" spans="1:55" ht="13" customHeight="1">
      <c r="A1009" s="14"/>
      <c r="B1009" s="257"/>
      <c r="C1009" s="256"/>
      <c r="D1009" s="1817"/>
      <c r="E1009" s="1818"/>
      <c r="F1009" s="1818"/>
      <c r="G1009" s="1818"/>
      <c r="H1009" s="1818"/>
      <c r="I1009" s="1818"/>
      <c r="J1009" s="1818"/>
      <c r="K1009" s="1818"/>
      <c r="L1009" s="1818"/>
      <c r="M1009" s="1818"/>
      <c r="N1009" s="1818"/>
      <c r="O1009" s="1818"/>
      <c r="P1009" s="1818"/>
      <c r="Q1009" s="1818"/>
      <c r="R1009" s="1818"/>
      <c r="S1009" s="1818"/>
      <c r="T1009" s="1818"/>
      <c r="U1009" s="1818"/>
      <c r="V1009" s="1818"/>
      <c r="W1009" s="1818"/>
      <c r="X1009" s="1818"/>
      <c r="Y1009" s="1818"/>
      <c r="Z1009" s="1818"/>
      <c r="AA1009" s="1818"/>
      <c r="AB1009" s="1818"/>
      <c r="AC1009" s="1818"/>
      <c r="AD1009" s="1818"/>
      <c r="AE1009" s="1819"/>
      <c r="AF1009" s="77"/>
      <c r="AG1009" s="7"/>
      <c r="AH1009" s="7"/>
      <c r="AI1009" s="78"/>
      <c r="AJ1009" s="1757"/>
      <c r="AK1009" s="1758"/>
      <c r="AL1009" s="1758"/>
      <c r="AM1009" s="1758"/>
      <c r="AN1009" s="1758"/>
      <c r="AO1009" s="1758"/>
      <c r="AP1009" s="1758"/>
      <c r="AQ1009" s="1759"/>
      <c r="AR1009" s="68"/>
      <c r="AS1009" s="68"/>
      <c r="AT1009" s="68"/>
      <c r="AU1009" s="68"/>
      <c r="AV1009" s="68"/>
      <c r="AW1009" s="68"/>
      <c r="AX1009" s="68"/>
      <c r="AY1009" s="68"/>
      <c r="AZ1009" s="34"/>
      <c r="BA1009" s="34"/>
      <c r="BB1009" s="34"/>
      <c r="BC1009" s="34"/>
    </row>
    <row r="1010" spans="1:55" ht="13" customHeight="1">
      <c r="A1010" s="14"/>
      <c r="B1010" s="255"/>
      <c r="C1010" s="318"/>
      <c r="D1010" s="1726" t="s">
        <v>1284</v>
      </c>
      <c r="E1010" s="1727"/>
      <c r="F1010" s="1727"/>
      <c r="G1010" s="1727"/>
      <c r="H1010" s="1727"/>
      <c r="I1010" s="1727"/>
      <c r="J1010" s="1727"/>
      <c r="K1010" s="1727"/>
      <c r="L1010" s="1727"/>
      <c r="M1010" s="1727"/>
      <c r="N1010" s="1727"/>
      <c r="O1010" s="1727"/>
      <c r="P1010" s="1727"/>
      <c r="Q1010" s="1727"/>
      <c r="R1010" s="1727"/>
      <c r="S1010" s="1727"/>
      <c r="T1010" s="1727"/>
      <c r="U1010" s="1727"/>
      <c r="V1010" s="1727"/>
      <c r="W1010" s="1727"/>
      <c r="X1010" s="1727"/>
      <c r="Y1010" s="1727"/>
      <c r="Z1010" s="1727"/>
      <c r="AA1010" s="1727"/>
      <c r="AB1010" s="1727"/>
      <c r="AC1010" s="1727"/>
      <c r="AD1010" s="1727"/>
      <c r="AE1010" s="1728"/>
      <c r="AF1010" s="79"/>
      <c r="AG1010" s="1766" t="s">
        <v>668</v>
      </c>
      <c r="AH1010" s="1767"/>
      <c r="AI1010" s="87"/>
      <c r="AJ1010" s="1745">
        <f>ROUND(IF(AG1010="yes",AJ1001*0.05,0),0)</f>
        <v>0</v>
      </c>
      <c r="AK1010" s="1746"/>
      <c r="AL1010" s="1746"/>
      <c r="AM1010" s="1746"/>
      <c r="AN1010" s="1746"/>
      <c r="AO1010" s="1746"/>
      <c r="AP1010" s="1746"/>
      <c r="AQ1010" s="1747"/>
      <c r="AR1010" s="68"/>
      <c r="AS1010" s="68"/>
      <c r="AT1010" s="68"/>
      <c r="AU1010" s="68"/>
      <c r="AV1010" s="68"/>
      <c r="AW1010" s="68"/>
      <c r="AX1010" s="68"/>
      <c r="AY1010" s="68"/>
      <c r="AZ1010" s="34"/>
      <c r="BA1010" s="34"/>
      <c r="BB1010" s="34"/>
      <c r="BC1010" s="34"/>
    </row>
    <row r="1011" spans="1:55" ht="13" customHeight="1">
      <c r="A1011" s="14"/>
      <c r="B1011" s="257"/>
      <c r="C1011" s="82"/>
      <c r="D1011" s="1795" t="s">
        <v>1282</v>
      </c>
      <c r="E1011" s="1796"/>
      <c r="F1011" s="1796"/>
      <c r="G1011" s="1796"/>
      <c r="H1011" s="1796"/>
      <c r="I1011" s="1796"/>
      <c r="J1011" s="1796"/>
      <c r="K1011" s="1796"/>
      <c r="L1011" s="1796"/>
      <c r="M1011" s="1796"/>
      <c r="N1011" s="1796"/>
      <c r="O1011" s="1796"/>
      <c r="P1011" s="1796"/>
      <c r="Q1011" s="1796"/>
      <c r="R1011" s="1796"/>
      <c r="S1011" s="1796"/>
      <c r="T1011" s="1796"/>
      <c r="U1011" s="1796"/>
      <c r="V1011" s="1796"/>
      <c r="W1011" s="1796"/>
      <c r="X1011" s="1796"/>
      <c r="Y1011" s="1796"/>
      <c r="Z1011" s="1796"/>
      <c r="AA1011" s="1796"/>
      <c r="AB1011" s="1796"/>
      <c r="AC1011" s="1796"/>
      <c r="AD1011" s="1796"/>
      <c r="AE1011" s="1797"/>
      <c r="AF1011" s="73"/>
      <c r="AG1011" s="14"/>
      <c r="AH1011" s="14"/>
      <c r="AI1011" s="83"/>
      <c r="AJ1011" s="1748"/>
      <c r="AK1011" s="1749"/>
      <c r="AL1011" s="1749"/>
      <c r="AM1011" s="1749"/>
      <c r="AN1011" s="1749"/>
      <c r="AO1011" s="1749"/>
      <c r="AP1011" s="1749"/>
      <c r="AQ1011" s="1750"/>
      <c r="AR1011" s="68"/>
      <c r="AS1011" s="68"/>
      <c r="AT1011" s="68"/>
      <c r="AU1011" s="68"/>
      <c r="AV1011" s="68"/>
      <c r="AW1011" s="68"/>
      <c r="AX1011" s="68"/>
      <c r="AY1011" s="34"/>
      <c r="AZ1011" s="34"/>
      <c r="BB1011" s="34"/>
    </row>
    <row r="1012" spans="1:55" ht="13" customHeight="1">
      <c r="A1012" s="14"/>
      <c r="B1012" s="257"/>
      <c r="C1012" s="82"/>
      <c r="D1012" s="1795"/>
      <c r="E1012" s="1796"/>
      <c r="F1012" s="1796"/>
      <c r="G1012" s="1796"/>
      <c r="H1012" s="1796"/>
      <c r="I1012" s="1796"/>
      <c r="J1012" s="1796"/>
      <c r="K1012" s="1796"/>
      <c r="L1012" s="1796"/>
      <c r="M1012" s="1796"/>
      <c r="N1012" s="1796"/>
      <c r="O1012" s="1796"/>
      <c r="P1012" s="1796"/>
      <c r="Q1012" s="1796"/>
      <c r="R1012" s="1796"/>
      <c r="S1012" s="1796"/>
      <c r="T1012" s="1796"/>
      <c r="U1012" s="1796"/>
      <c r="V1012" s="1796"/>
      <c r="W1012" s="1796"/>
      <c r="X1012" s="1796"/>
      <c r="Y1012" s="1796"/>
      <c r="Z1012" s="1796"/>
      <c r="AA1012" s="1796"/>
      <c r="AB1012" s="1796"/>
      <c r="AC1012" s="1796"/>
      <c r="AD1012" s="1796"/>
      <c r="AE1012" s="1797"/>
      <c r="AF1012" s="73"/>
      <c r="AG1012" s="14"/>
      <c r="AH1012" s="14"/>
      <c r="AI1012" s="83"/>
      <c r="AJ1012" s="1748"/>
      <c r="AK1012" s="1749"/>
      <c r="AL1012" s="1749"/>
      <c r="AM1012" s="1749"/>
      <c r="AN1012" s="1749"/>
      <c r="AO1012" s="1749"/>
      <c r="AP1012" s="1749"/>
      <c r="AQ1012" s="1750"/>
      <c r="AR1012" s="68"/>
      <c r="AS1012" s="68"/>
      <c r="AT1012" s="68"/>
      <c r="AU1012" s="68"/>
      <c r="AV1012" s="68"/>
      <c r="AW1012" s="68"/>
      <c r="AX1012" s="68"/>
      <c r="AY1012" s="910">
        <f>G761+O805</f>
        <v>130</v>
      </c>
      <c r="AZ1012" s="34"/>
      <c r="BB1012" s="34"/>
    </row>
    <row r="1013" spans="1:55" ht="13" customHeight="1">
      <c r="A1013" s="14"/>
      <c r="B1013" s="257"/>
      <c r="C1013" s="82"/>
      <c r="D1013" s="1795"/>
      <c r="E1013" s="1796"/>
      <c r="F1013" s="1796"/>
      <c r="G1013" s="1796"/>
      <c r="H1013" s="1796"/>
      <c r="I1013" s="1796"/>
      <c r="J1013" s="1796"/>
      <c r="K1013" s="1796"/>
      <c r="L1013" s="1796"/>
      <c r="M1013" s="1796"/>
      <c r="N1013" s="1796"/>
      <c r="O1013" s="1796"/>
      <c r="P1013" s="1796"/>
      <c r="Q1013" s="1796"/>
      <c r="R1013" s="1796"/>
      <c r="S1013" s="1796"/>
      <c r="T1013" s="1796"/>
      <c r="U1013" s="1796"/>
      <c r="V1013" s="1796"/>
      <c r="W1013" s="1796"/>
      <c r="X1013" s="1796"/>
      <c r="Y1013" s="1796"/>
      <c r="Z1013" s="1796"/>
      <c r="AA1013" s="1796"/>
      <c r="AB1013" s="1796"/>
      <c r="AC1013" s="1796"/>
      <c r="AD1013" s="1796"/>
      <c r="AE1013" s="1797"/>
      <c r="AF1013" s="73"/>
      <c r="AG1013" s="14"/>
      <c r="AH1013" s="14"/>
      <c r="AI1013" s="83"/>
      <c r="AJ1013" s="1748"/>
      <c r="AK1013" s="1749"/>
      <c r="AL1013" s="1749"/>
      <c r="AM1013" s="1749"/>
      <c r="AN1013" s="1749"/>
      <c r="AO1013" s="1749"/>
      <c r="AP1013" s="1749"/>
      <c r="AQ1013" s="1750"/>
      <c r="AR1013" s="68"/>
      <c r="AS1013" s="68"/>
      <c r="AT1013" s="68"/>
      <c r="AU1013" s="68"/>
      <c r="AV1013" s="68"/>
      <c r="AW1013" s="68"/>
      <c r="AX1013" s="68"/>
      <c r="AY1013" s="14"/>
      <c r="AZ1013" s="34"/>
      <c r="BB1013" s="34"/>
    </row>
    <row r="1014" spans="1:55" ht="13" customHeight="1">
      <c r="A1014" s="14"/>
      <c r="B1014" s="257"/>
      <c r="C1014" s="82"/>
      <c r="D1014" s="1795"/>
      <c r="E1014" s="1796"/>
      <c r="F1014" s="1796"/>
      <c r="G1014" s="1796"/>
      <c r="H1014" s="1796"/>
      <c r="I1014" s="1796"/>
      <c r="J1014" s="1796"/>
      <c r="K1014" s="1796"/>
      <c r="L1014" s="1796"/>
      <c r="M1014" s="1796"/>
      <c r="N1014" s="1796"/>
      <c r="O1014" s="1796"/>
      <c r="P1014" s="1796"/>
      <c r="Q1014" s="1796"/>
      <c r="R1014" s="1796"/>
      <c r="S1014" s="1796"/>
      <c r="T1014" s="1796"/>
      <c r="U1014" s="1796"/>
      <c r="V1014" s="1796"/>
      <c r="W1014" s="1796"/>
      <c r="X1014" s="1796"/>
      <c r="Y1014" s="1796"/>
      <c r="Z1014" s="1796"/>
      <c r="AA1014" s="1796"/>
      <c r="AB1014" s="1796"/>
      <c r="AC1014" s="1796"/>
      <c r="AD1014" s="1796"/>
      <c r="AE1014" s="1797"/>
      <c r="AF1014" s="73"/>
      <c r="AG1014" s="14"/>
      <c r="AH1014" s="14"/>
      <c r="AI1014" s="83"/>
      <c r="AJ1014" s="1748"/>
      <c r="AK1014" s="1749"/>
      <c r="AL1014" s="1749"/>
      <c r="AM1014" s="1749"/>
      <c r="AN1014" s="1749"/>
      <c r="AO1014" s="1749"/>
      <c r="AP1014" s="1749"/>
      <c r="AQ1014" s="1750"/>
      <c r="AR1014" s="68"/>
      <c r="AS1014" s="68"/>
      <c r="AT1014" s="68"/>
      <c r="AU1014" s="68"/>
      <c r="AV1014" s="68"/>
      <c r="AW1014" s="68"/>
      <c r="AX1014" s="68"/>
      <c r="AY1014" s="909">
        <f>ROUNDDOWN(X1057/I1057,2)</f>
        <v>0.2</v>
      </c>
      <c r="AZ1014" s="34"/>
      <c r="BB1014" s="34"/>
    </row>
    <row r="1015" spans="1:55" ht="13" customHeight="1">
      <c r="A1015" s="14"/>
      <c r="B1015" s="75"/>
      <c r="C1015" s="76"/>
      <c r="D1015" s="1741"/>
      <c r="E1015" s="1742"/>
      <c r="F1015" s="1742"/>
      <c r="G1015" s="1742"/>
      <c r="H1015" s="1742"/>
      <c r="I1015" s="1742"/>
      <c r="J1015" s="1742"/>
      <c r="K1015" s="1742"/>
      <c r="L1015" s="1742"/>
      <c r="M1015" s="1742"/>
      <c r="N1015" s="1742"/>
      <c r="O1015" s="1742"/>
      <c r="P1015" s="1742"/>
      <c r="Q1015" s="1742"/>
      <c r="R1015" s="1742"/>
      <c r="S1015" s="1742"/>
      <c r="T1015" s="1742"/>
      <c r="U1015" s="1742"/>
      <c r="V1015" s="1742"/>
      <c r="W1015" s="1742"/>
      <c r="X1015" s="1742"/>
      <c r="Y1015" s="1742"/>
      <c r="Z1015" s="1742"/>
      <c r="AA1015" s="1742"/>
      <c r="AB1015" s="1742"/>
      <c r="AC1015" s="1742"/>
      <c r="AD1015" s="1742"/>
      <c r="AE1015" s="1743"/>
      <c r="AF1015" s="77"/>
      <c r="AG1015" s="7"/>
      <c r="AH1015" s="7"/>
      <c r="AI1015" s="78"/>
      <c r="AJ1015" s="1757"/>
      <c r="AK1015" s="1758"/>
      <c r="AL1015" s="1758"/>
      <c r="AM1015" s="1758"/>
      <c r="AN1015" s="1758"/>
      <c r="AO1015" s="1758"/>
      <c r="AP1015" s="1758"/>
      <c r="AQ1015" s="1759"/>
      <c r="AR1015" s="68"/>
      <c r="AS1015" s="68"/>
      <c r="AT1015" s="68"/>
      <c r="AU1015" s="68"/>
      <c r="AV1015" s="68"/>
      <c r="AW1015" s="68"/>
      <c r="AX1015" s="68"/>
      <c r="AY1015" s="909">
        <f>ROUNDDOWN(X1061/I1061,2)</f>
        <v>0.17</v>
      </c>
      <c r="AZ1015" s="34"/>
      <c r="BB1015" s="34"/>
    </row>
    <row r="1016" spans="1:55" ht="13" customHeight="1">
      <c r="A1016" s="14"/>
      <c r="B1016" s="255"/>
      <c r="C1016" s="80" t="s">
        <v>671</v>
      </c>
      <c r="D1016" s="1726" t="s">
        <v>1670</v>
      </c>
      <c r="E1016" s="1727"/>
      <c r="F1016" s="1727"/>
      <c r="G1016" s="1727"/>
      <c r="H1016" s="1727"/>
      <c r="I1016" s="1727"/>
      <c r="J1016" s="1727"/>
      <c r="K1016" s="1727"/>
      <c r="L1016" s="1727"/>
      <c r="M1016" s="1727"/>
      <c r="N1016" s="1727"/>
      <c r="O1016" s="1727"/>
      <c r="P1016" s="1727"/>
      <c r="Q1016" s="1727"/>
      <c r="R1016" s="1727"/>
      <c r="S1016" s="1727"/>
      <c r="T1016" s="1727"/>
      <c r="U1016" s="1727"/>
      <c r="V1016" s="1727"/>
      <c r="W1016" s="1727"/>
      <c r="X1016" s="1727"/>
      <c r="Y1016" s="1727"/>
      <c r="Z1016" s="1727"/>
      <c r="AA1016" s="1727"/>
      <c r="AB1016" s="1727"/>
      <c r="AC1016" s="1727"/>
      <c r="AD1016" s="1727"/>
      <c r="AE1016" s="1728"/>
      <c r="AF1016" s="86"/>
      <c r="AG1016" s="1766" t="s">
        <v>668</v>
      </c>
      <c r="AH1016" s="1767"/>
      <c r="AI1016" s="87"/>
      <c r="AJ1016" s="1745">
        <f>ROUND(IF(AG1016="yes",AJ1001*0.1,0),0)</f>
        <v>0</v>
      </c>
      <c r="AK1016" s="1746"/>
      <c r="AL1016" s="1746"/>
      <c r="AM1016" s="1746"/>
      <c r="AN1016" s="1746"/>
      <c r="AO1016" s="1746"/>
      <c r="AP1016" s="1746"/>
      <c r="AQ1016" s="1747"/>
      <c r="AR1016" s="68"/>
      <c r="AS1016" s="68"/>
      <c r="AT1016" s="68"/>
      <c r="AU1016" s="68"/>
      <c r="AV1016" s="68"/>
      <c r="AW1016" s="68"/>
      <c r="AX1016" s="68"/>
      <c r="BB1016" s="34"/>
    </row>
    <row r="1017" spans="1:55" ht="13" customHeight="1">
      <c r="A1017" s="14"/>
      <c r="B1017" s="73"/>
      <c r="C1017" s="74"/>
      <c r="D1017" s="1751" t="s">
        <v>1283</v>
      </c>
      <c r="E1017" s="1752"/>
      <c r="F1017" s="1752"/>
      <c r="G1017" s="1752"/>
      <c r="H1017" s="1752"/>
      <c r="I1017" s="1752"/>
      <c r="J1017" s="1752"/>
      <c r="K1017" s="1752"/>
      <c r="L1017" s="1752"/>
      <c r="M1017" s="1752"/>
      <c r="N1017" s="1752"/>
      <c r="O1017" s="1752"/>
      <c r="P1017" s="1752"/>
      <c r="Q1017" s="1752"/>
      <c r="R1017" s="1752"/>
      <c r="S1017" s="1752"/>
      <c r="T1017" s="1752"/>
      <c r="U1017" s="1752"/>
      <c r="V1017" s="1752"/>
      <c r="W1017" s="1752"/>
      <c r="X1017" s="1752"/>
      <c r="Y1017" s="1752"/>
      <c r="Z1017" s="1752"/>
      <c r="AA1017" s="1752"/>
      <c r="AB1017" s="1752"/>
      <c r="AC1017" s="1752"/>
      <c r="AD1017" s="1752"/>
      <c r="AE1017" s="1753"/>
      <c r="AF1017" s="73"/>
      <c r="AI1017" s="83"/>
      <c r="AJ1017" s="1748"/>
      <c r="AK1017" s="1749"/>
      <c r="AL1017" s="1749"/>
      <c r="AM1017" s="1749"/>
      <c r="AN1017" s="1749"/>
      <c r="AO1017" s="1749"/>
      <c r="AP1017" s="1749"/>
      <c r="AQ1017" s="1750"/>
      <c r="AR1017" s="68"/>
      <c r="AS1017" s="68"/>
      <c r="AT1017" s="68"/>
      <c r="AU1017" s="68"/>
      <c r="AV1017" s="68"/>
      <c r="AW1017" s="68"/>
      <c r="AX1017" s="68"/>
    </row>
    <row r="1018" spans="1:55" ht="13" customHeight="1">
      <c r="A1018" s="14"/>
      <c r="B1018" s="73"/>
      <c r="C1018" s="74"/>
      <c r="D1018" s="1751"/>
      <c r="E1018" s="1752"/>
      <c r="F1018" s="1752"/>
      <c r="G1018" s="1752"/>
      <c r="H1018" s="1752"/>
      <c r="I1018" s="1752"/>
      <c r="J1018" s="1752"/>
      <c r="K1018" s="1752"/>
      <c r="L1018" s="1752"/>
      <c r="M1018" s="1752"/>
      <c r="N1018" s="1752"/>
      <c r="O1018" s="1752"/>
      <c r="P1018" s="1752"/>
      <c r="Q1018" s="1752"/>
      <c r="R1018" s="1752"/>
      <c r="S1018" s="1752"/>
      <c r="T1018" s="1752"/>
      <c r="U1018" s="1752"/>
      <c r="V1018" s="1752"/>
      <c r="W1018" s="1752"/>
      <c r="X1018" s="1752"/>
      <c r="Y1018" s="1752"/>
      <c r="Z1018" s="1752"/>
      <c r="AA1018" s="1752"/>
      <c r="AB1018" s="1752"/>
      <c r="AC1018" s="1752"/>
      <c r="AD1018" s="1752"/>
      <c r="AE1018" s="1753"/>
      <c r="AF1018" s="73"/>
      <c r="AG1018" s="14"/>
      <c r="AH1018" s="14"/>
      <c r="AI1018" s="83"/>
      <c r="AJ1018" s="1748"/>
      <c r="AK1018" s="1749"/>
      <c r="AL1018" s="1749"/>
      <c r="AM1018" s="1749"/>
      <c r="AN1018" s="1749"/>
      <c r="AO1018" s="1749"/>
      <c r="AP1018" s="1749"/>
      <c r="AQ1018" s="1750"/>
      <c r="AR1018" s="68"/>
      <c r="AS1018" s="68"/>
      <c r="AT1018" s="68"/>
      <c r="AU1018" s="68"/>
      <c r="AV1018" s="68"/>
      <c r="AW1018" s="68"/>
      <c r="AX1018" s="68"/>
    </row>
    <row r="1019" spans="1:55" ht="13" customHeight="1">
      <c r="A1019" s="14"/>
      <c r="B1019" s="85"/>
      <c r="C1019" s="76"/>
      <c r="D1019" s="1754"/>
      <c r="E1019" s="1755"/>
      <c r="F1019" s="1755"/>
      <c r="G1019" s="1755"/>
      <c r="H1019" s="1755"/>
      <c r="I1019" s="1755"/>
      <c r="J1019" s="1755"/>
      <c r="K1019" s="1755"/>
      <c r="L1019" s="1755"/>
      <c r="M1019" s="1755"/>
      <c r="N1019" s="1755"/>
      <c r="O1019" s="1755"/>
      <c r="P1019" s="1755"/>
      <c r="Q1019" s="1755"/>
      <c r="R1019" s="1755"/>
      <c r="S1019" s="1755"/>
      <c r="T1019" s="1755"/>
      <c r="U1019" s="1755"/>
      <c r="V1019" s="1755"/>
      <c r="W1019" s="1755"/>
      <c r="X1019" s="1755"/>
      <c r="Y1019" s="1755"/>
      <c r="Z1019" s="1755"/>
      <c r="AA1019" s="1755"/>
      <c r="AB1019" s="1755"/>
      <c r="AC1019" s="1755"/>
      <c r="AD1019" s="1755"/>
      <c r="AE1019" s="1756"/>
      <c r="AF1019" s="77"/>
      <c r="AG1019" s="7"/>
      <c r="AH1019" s="7"/>
      <c r="AI1019" s="78"/>
      <c r="AJ1019" s="1757"/>
      <c r="AK1019" s="1758"/>
      <c r="AL1019" s="1758"/>
      <c r="AM1019" s="1758"/>
      <c r="AN1019" s="1758"/>
      <c r="AO1019" s="1758"/>
      <c r="AP1019" s="1758"/>
      <c r="AQ1019" s="1759"/>
      <c r="AR1019" s="68"/>
      <c r="AS1019" s="68"/>
      <c r="AT1019" s="68"/>
      <c r="AU1019" s="68"/>
      <c r="AV1019" s="68"/>
      <c r="AW1019" s="68"/>
      <c r="AX1019" s="68"/>
    </row>
    <row r="1020" spans="1:55" ht="13" customHeight="1">
      <c r="A1020" s="14"/>
      <c r="B1020" s="79"/>
      <c r="C1020" s="80" t="s">
        <v>211</v>
      </c>
      <c r="D1020" s="1726" t="s">
        <v>1285</v>
      </c>
      <c r="E1020" s="1727"/>
      <c r="F1020" s="1727"/>
      <c r="G1020" s="1727"/>
      <c r="H1020" s="1727"/>
      <c r="I1020" s="1727"/>
      <c r="J1020" s="1727"/>
      <c r="K1020" s="1727"/>
      <c r="L1020" s="1727"/>
      <c r="M1020" s="1727"/>
      <c r="N1020" s="1727"/>
      <c r="O1020" s="1727"/>
      <c r="P1020" s="1727"/>
      <c r="Q1020" s="1727"/>
      <c r="R1020" s="1727"/>
      <c r="S1020" s="1727"/>
      <c r="T1020" s="1727"/>
      <c r="U1020" s="1727"/>
      <c r="V1020" s="1727"/>
      <c r="W1020" s="1727"/>
      <c r="X1020" s="1727"/>
      <c r="Y1020" s="1727"/>
      <c r="Z1020" s="1727"/>
      <c r="AA1020" s="1727"/>
      <c r="AB1020" s="1727"/>
      <c r="AC1020" s="1727"/>
      <c r="AD1020" s="1727"/>
      <c r="AE1020" s="1728"/>
      <c r="AF1020" s="79"/>
      <c r="AG1020" s="1766" t="s">
        <v>668</v>
      </c>
      <c r="AH1020" s="1767"/>
      <c r="AI1020" s="87"/>
      <c r="AJ1020" s="1745">
        <f>ROUND(IF(AG1020="yes",AJ1001*0.02,0),0)</f>
        <v>0</v>
      </c>
      <c r="AK1020" s="1746"/>
      <c r="AL1020" s="1746"/>
      <c r="AM1020" s="1746"/>
      <c r="AN1020" s="1746"/>
      <c r="AO1020" s="1746"/>
      <c r="AP1020" s="1746"/>
      <c r="AQ1020" s="1747"/>
      <c r="AR1020" s="68"/>
      <c r="AS1020" s="68"/>
      <c r="AT1020" s="68"/>
      <c r="AU1020" s="68"/>
      <c r="AV1020" s="68"/>
      <c r="AW1020" s="68"/>
      <c r="AX1020" s="68"/>
    </row>
    <row r="1021" spans="1:55" ht="14.25" customHeight="1">
      <c r="A1021" s="14"/>
      <c r="B1021" s="73"/>
      <c r="C1021" s="74"/>
      <c r="D1021" s="1754" t="s">
        <v>1286</v>
      </c>
      <c r="E1021" s="1755"/>
      <c r="F1021" s="1755"/>
      <c r="G1021" s="1755"/>
      <c r="H1021" s="1755"/>
      <c r="I1021" s="1755"/>
      <c r="J1021" s="1755"/>
      <c r="K1021" s="1755"/>
      <c r="L1021" s="1755"/>
      <c r="M1021" s="1755"/>
      <c r="N1021" s="1755"/>
      <c r="O1021" s="1755"/>
      <c r="P1021" s="1755"/>
      <c r="Q1021" s="1755"/>
      <c r="R1021" s="1755"/>
      <c r="S1021" s="1755"/>
      <c r="T1021" s="1755"/>
      <c r="U1021" s="1755"/>
      <c r="V1021" s="1755"/>
      <c r="W1021" s="1755"/>
      <c r="X1021" s="1755"/>
      <c r="Y1021" s="1755"/>
      <c r="Z1021" s="1755"/>
      <c r="AA1021" s="1755"/>
      <c r="AB1021" s="1755"/>
      <c r="AC1021" s="1755"/>
      <c r="AD1021" s="1755"/>
      <c r="AE1021" s="1756"/>
      <c r="AF1021" s="77"/>
      <c r="AG1021" s="7"/>
      <c r="AH1021" s="7"/>
      <c r="AI1021" s="78"/>
      <c r="AJ1021" s="1757"/>
      <c r="AK1021" s="1758"/>
      <c r="AL1021" s="1758"/>
      <c r="AM1021" s="1758"/>
      <c r="AN1021" s="1758"/>
      <c r="AO1021" s="1758"/>
      <c r="AP1021" s="1758"/>
      <c r="AQ1021" s="1759"/>
      <c r="AR1021" s="68"/>
      <c r="AS1021" s="68"/>
      <c r="AT1021" s="68"/>
      <c r="AU1021" s="68"/>
      <c r="AV1021" s="68"/>
      <c r="AW1021" s="68"/>
      <c r="AX1021" s="3" t="s">
        <v>1816</v>
      </c>
      <c r="AZ1021" s="3" t="s">
        <v>2530</v>
      </c>
    </row>
    <row r="1022" spans="1:55" ht="13" customHeight="1">
      <c r="A1022" s="14"/>
      <c r="B1022" s="79"/>
      <c r="C1022" s="80" t="s">
        <v>214</v>
      </c>
      <c r="D1022" s="1726" t="s">
        <v>1287</v>
      </c>
      <c r="E1022" s="1727"/>
      <c r="F1022" s="1727"/>
      <c r="G1022" s="1727"/>
      <c r="H1022" s="1727"/>
      <c r="I1022" s="1727"/>
      <c r="J1022" s="1727"/>
      <c r="K1022" s="1727"/>
      <c r="L1022" s="1727"/>
      <c r="M1022" s="1727"/>
      <c r="N1022" s="1727"/>
      <c r="O1022" s="1727"/>
      <c r="P1022" s="1727"/>
      <c r="Q1022" s="1727"/>
      <c r="R1022" s="1727"/>
      <c r="S1022" s="1727"/>
      <c r="T1022" s="1727"/>
      <c r="U1022" s="1727"/>
      <c r="V1022" s="1727"/>
      <c r="W1022" s="1727"/>
      <c r="X1022" s="1727"/>
      <c r="Y1022" s="1727"/>
      <c r="Z1022" s="1727"/>
      <c r="AA1022" s="1727"/>
      <c r="AB1022" s="1727"/>
      <c r="AC1022" s="1727"/>
      <c r="AD1022" s="1727"/>
      <c r="AE1022" s="1728"/>
      <c r="AF1022" s="79"/>
      <c r="AG1022" s="1766" t="s">
        <v>668</v>
      </c>
      <c r="AH1022" s="1767"/>
      <c r="AI1022" s="79"/>
      <c r="AJ1022" s="1745">
        <f>ROUND(IF(AG1022="yes",AJ1001*0.02,0),0)</f>
        <v>0</v>
      </c>
      <c r="AK1022" s="1746"/>
      <c r="AL1022" s="1746"/>
      <c r="AM1022" s="1746"/>
      <c r="AN1022" s="1746"/>
      <c r="AO1022" s="1746"/>
      <c r="AP1022" s="1746"/>
      <c r="AQ1022" s="1747"/>
      <c r="AR1022" s="68"/>
      <c r="AS1022" s="68"/>
      <c r="AT1022" s="68"/>
      <c r="AU1022" s="68"/>
      <c r="AV1022" s="68"/>
      <c r="AW1022" s="68"/>
      <c r="AX1022" s="3">
        <v>1</v>
      </c>
      <c r="AY1022" s="200">
        <f>IF((_xlfn.XLOOKUP(AX1022,$C$1074:$C$1112,$A$1074:$A$1112,"",0,1))="Yes",AZ1022,0)</f>
        <v>0</v>
      </c>
      <c r="AZ1022" s="1189">
        <v>0.2</v>
      </c>
    </row>
    <row r="1023" spans="1:55" ht="13" customHeight="1">
      <c r="A1023" s="14"/>
      <c r="B1023" s="73"/>
      <c r="C1023" s="74"/>
      <c r="D1023" s="1751" t="s">
        <v>1288</v>
      </c>
      <c r="E1023" s="1752"/>
      <c r="F1023" s="1752"/>
      <c r="G1023" s="1752"/>
      <c r="H1023" s="1752"/>
      <c r="I1023" s="1752"/>
      <c r="J1023" s="1752"/>
      <c r="K1023" s="1752"/>
      <c r="L1023" s="1752"/>
      <c r="M1023" s="1752"/>
      <c r="N1023" s="1752"/>
      <c r="O1023" s="1752"/>
      <c r="P1023" s="1752"/>
      <c r="Q1023" s="1752"/>
      <c r="R1023" s="1752"/>
      <c r="S1023" s="1752"/>
      <c r="T1023" s="1752"/>
      <c r="U1023" s="1752"/>
      <c r="V1023" s="1752"/>
      <c r="W1023" s="1752"/>
      <c r="X1023" s="1752"/>
      <c r="Y1023" s="1752"/>
      <c r="Z1023" s="1752"/>
      <c r="AA1023" s="1752"/>
      <c r="AB1023" s="1752"/>
      <c r="AC1023" s="1752"/>
      <c r="AD1023" s="1752"/>
      <c r="AE1023" s="1753"/>
      <c r="AF1023" s="1854" t="str">
        <f>IF(AND(AG1022="yes",T212&lt;&gt;1),"The project may not be eligible for this boost","")</f>
        <v/>
      </c>
      <c r="AG1023" s="1855"/>
      <c r="AH1023" s="1855"/>
      <c r="AI1023" s="1856"/>
      <c r="AJ1023" s="1748"/>
      <c r="AK1023" s="1749"/>
      <c r="AL1023" s="1749"/>
      <c r="AM1023" s="1749"/>
      <c r="AN1023" s="1749"/>
      <c r="AO1023" s="1749"/>
      <c r="AP1023" s="1749"/>
      <c r="AQ1023" s="1750"/>
      <c r="AR1023" s="68"/>
      <c r="AS1023" s="68"/>
      <c r="AT1023" s="68"/>
      <c r="AU1023" s="68"/>
      <c r="AV1023" s="68"/>
      <c r="AW1023" s="68"/>
      <c r="AX1023" s="3">
        <v>2</v>
      </c>
      <c r="AY1023" s="200">
        <f t="shared" ref="AY1023:AY1032" si="55">IF((_xlfn.XLOOKUP(AX1023,$C$1074:$C$1112,$A$1074:$A$1112,"",0,1))="Yes",AZ1023,0)</f>
        <v>0</v>
      </c>
      <c r="AZ1023" s="1189">
        <v>0.15</v>
      </c>
    </row>
    <row r="1024" spans="1:55" ht="13" customHeight="1">
      <c r="A1024" s="14"/>
      <c r="B1024" s="75"/>
      <c r="C1024" s="76"/>
      <c r="D1024" s="1754"/>
      <c r="E1024" s="1755"/>
      <c r="F1024" s="1755"/>
      <c r="G1024" s="1755"/>
      <c r="H1024" s="1755"/>
      <c r="I1024" s="1755"/>
      <c r="J1024" s="1755"/>
      <c r="K1024" s="1755"/>
      <c r="L1024" s="1755"/>
      <c r="M1024" s="1755"/>
      <c r="N1024" s="1755"/>
      <c r="O1024" s="1755"/>
      <c r="P1024" s="1755"/>
      <c r="Q1024" s="1755"/>
      <c r="R1024" s="1755"/>
      <c r="S1024" s="1755"/>
      <c r="T1024" s="1755"/>
      <c r="U1024" s="1755"/>
      <c r="V1024" s="1755"/>
      <c r="W1024" s="1755"/>
      <c r="X1024" s="1755"/>
      <c r="Y1024" s="1755"/>
      <c r="Z1024" s="1755"/>
      <c r="AA1024" s="1755"/>
      <c r="AB1024" s="1755"/>
      <c r="AC1024" s="1755"/>
      <c r="AD1024" s="1755"/>
      <c r="AE1024" s="1756"/>
      <c r="AF1024" s="1857"/>
      <c r="AG1024" s="1858"/>
      <c r="AH1024" s="1858"/>
      <c r="AI1024" s="1859"/>
      <c r="AJ1024" s="1757"/>
      <c r="AK1024" s="1758"/>
      <c r="AL1024" s="1758"/>
      <c r="AM1024" s="1758"/>
      <c r="AN1024" s="1758"/>
      <c r="AO1024" s="1758"/>
      <c r="AP1024" s="1758"/>
      <c r="AQ1024" s="1759"/>
      <c r="AR1024" s="68"/>
      <c r="AS1024" s="68"/>
      <c r="AT1024" s="68"/>
      <c r="AU1024" s="68"/>
      <c r="AV1024" s="68"/>
      <c r="AW1024" s="68"/>
      <c r="AX1024" s="3">
        <v>3</v>
      </c>
      <c r="AY1024" s="200">
        <f t="shared" si="55"/>
        <v>0</v>
      </c>
      <c r="AZ1024" s="1189">
        <v>0.05</v>
      </c>
    </row>
    <row r="1025" spans="1:52" ht="13" customHeight="1">
      <c r="A1025" s="14"/>
      <c r="B1025" s="79"/>
      <c r="C1025" s="80" t="s">
        <v>217</v>
      </c>
      <c r="D1025" s="1720" t="s">
        <v>2188</v>
      </c>
      <c r="E1025" s="1721"/>
      <c r="F1025" s="1721"/>
      <c r="G1025" s="1721"/>
      <c r="H1025" s="1721"/>
      <c r="I1025" s="1721"/>
      <c r="J1025" s="1721"/>
      <c r="K1025" s="1721"/>
      <c r="L1025" s="1721"/>
      <c r="M1025" s="1721"/>
      <c r="N1025" s="1721"/>
      <c r="O1025" s="1721"/>
      <c r="P1025" s="1721"/>
      <c r="Q1025" s="1721"/>
      <c r="R1025" s="1721"/>
      <c r="S1025" s="1721"/>
      <c r="T1025" s="1721"/>
      <c r="U1025" s="1721"/>
      <c r="V1025" s="1721"/>
      <c r="W1025" s="1721"/>
      <c r="X1025" s="1721"/>
      <c r="Y1025" s="1721"/>
      <c r="Z1025" s="1721"/>
      <c r="AA1025" s="1721"/>
      <c r="AB1025" s="1721"/>
      <c r="AC1025" s="1721"/>
      <c r="AD1025" s="1721"/>
      <c r="AE1025" s="1722"/>
      <c r="AF1025" s="79"/>
      <c r="AG1025" s="1766" t="s">
        <v>668</v>
      </c>
      <c r="AH1025" s="1767"/>
      <c r="AI1025" s="87"/>
      <c r="AJ1025" s="1745">
        <f>IF(AG1025="yes",AJ1001*AY1033,0)</f>
        <v>0</v>
      </c>
      <c r="AK1025" s="1746"/>
      <c r="AL1025" s="1746"/>
      <c r="AM1025" s="1746"/>
      <c r="AN1025" s="1746"/>
      <c r="AO1025" s="1746"/>
      <c r="AP1025" s="1746"/>
      <c r="AQ1025" s="1747"/>
      <c r="AR1025" s="68"/>
      <c r="AS1025" s="68"/>
      <c r="AT1025" s="68"/>
      <c r="AU1025" s="68"/>
      <c r="AV1025" s="68"/>
      <c r="AW1025" s="68"/>
      <c r="AX1025" s="3">
        <v>4</v>
      </c>
      <c r="AY1025" s="200">
        <f t="shared" si="55"/>
        <v>0</v>
      </c>
      <c r="AZ1025" s="1189">
        <v>0.02</v>
      </c>
    </row>
    <row r="1026" spans="1:52" ht="13" customHeight="1">
      <c r="A1026" s="14"/>
      <c r="B1026" s="73"/>
      <c r="C1026" s="74"/>
      <c r="D1026" s="1751" t="s">
        <v>2596</v>
      </c>
      <c r="E1026" s="1752"/>
      <c r="F1026" s="1752"/>
      <c r="G1026" s="1752"/>
      <c r="H1026" s="1752"/>
      <c r="I1026" s="1752"/>
      <c r="J1026" s="1752"/>
      <c r="K1026" s="1752"/>
      <c r="L1026" s="1752"/>
      <c r="M1026" s="1752"/>
      <c r="N1026" s="1752"/>
      <c r="O1026" s="1752"/>
      <c r="P1026" s="1752"/>
      <c r="Q1026" s="1752"/>
      <c r="R1026" s="1752"/>
      <c r="S1026" s="1752"/>
      <c r="T1026" s="1752"/>
      <c r="U1026" s="1752"/>
      <c r="V1026" s="1752"/>
      <c r="W1026" s="1752"/>
      <c r="X1026" s="1752"/>
      <c r="Y1026" s="1752"/>
      <c r="Z1026" s="1752"/>
      <c r="AA1026" s="1752"/>
      <c r="AB1026" s="1752"/>
      <c r="AC1026" s="1752"/>
      <c r="AD1026" s="1752"/>
      <c r="AE1026" s="1753"/>
      <c r="AF1026" s="1848" t="str">
        <f>IF(AND(AG1025="Yes",AY1033=0),AY1036,"")</f>
        <v/>
      </c>
      <c r="AG1026" s="1849"/>
      <c r="AH1026" s="1849"/>
      <c r="AI1026" s="1850"/>
      <c r="AJ1026" s="1748"/>
      <c r="AK1026" s="1749"/>
      <c r="AL1026" s="1749"/>
      <c r="AM1026" s="1749"/>
      <c r="AN1026" s="1749"/>
      <c r="AO1026" s="1749"/>
      <c r="AP1026" s="1749"/>
      <c r="AQ1026" s="1750"/>
      <c r="AR1026" s="68"/>
      <c r="AS1026" s="68"/>
      <c r="AT1026" s="68"/>
      <c r="AU1026" s="68"/>
      <c r="AV1026" s="68"/>
      <c r="AW1026" s="68"/>
      <c r="AX1026" s="3">
        <v>5</v>
      </c>
      <c r="AY1026" s="200">
        <f t="shared" si="55"/>
        <v>0</v>
      </c>
      <c r="AZ1026" s="1189">
        <v>0.04</v>
      </c>
    </row>
    <row r="1027" spans="1:52" ht="13" customHeight="1">
      <c r="A1027" s="14"/>
      <c r="B1027" s="73"/>
      <c r="C1027" s="74"/>
      <c r="D1027" s="1751"/>
      <c r="E1027" s="1752"/>
      <c r="F1027" s="1752"/>
      <c r="G1027" s="1752"/>
      <c r="H1027" s="1752"/>
      <c r="I1027" s="1752"/>
      <c r="J1027" s="1752"/>
      <c r="K1027" s="1752"/>
      <c r="L1027" s="1752"/>
      <c r="M1027" s="1752"/>
      <c r="N1027" s="1752"/>
      <c r="O1027" s="1752"/>
      <c r="P1027" s="1752"/>
      <c r="Q1027" s="1752"/>
      <c r="R1027" s="1752"/>
      <c r="S1027" s="1752"/>
      <c r="T1027" s="1752"/>
      <c r="U1027" s="1752"/>
      <c r="V1027" s="1752"/>
      <c r="W1027" s="1752"/>
      <c r="X1027" s="1752"/>
      <c r="Y1027" s="1752"/>
      <c r="Z1027" s="1752"/>
      <c r="AA1027" s="1752"/>
      <c r="AB1027" s="1752"/>
      <c r="AC1027" s="1752"/>
      <c r="AD1027" s="1752"/>
      <c r="AE1027" s="1753"/>
      <c r="AF1027" s="1848"/>
      <c r="AG1027" s="1849"/>
      <c r="AH1027" s="1849"/>
      <c r="AI1027" s="1850"/>
      <c r="AJ1027" s="1748"/>
      <c r="AK1027" s="1749"/>
      <c r="AL1027" s="1749"/>
      <c r="AM1027" s="1749"/>
      <c r="AN1027" s="1749"/>
      <c r="AO1027" s="1749"/>
      <c r="AP1027" s="1749"/>
      <c r="AQ1027" s="1750"/>
      <c r="AR1027" s="68"/>
      <c r="AS1027" s="68"/>
      <c r="AT1027" s="68"/>
      <c r="AU1027" s="68"/>
      <c r="AV1027" s="68"/>
      <c r="AW1027" s="68"/>
      <c r="AX1027" s="3">
        <v>6</v>
      </c>
      <c r="AY1027" s="200">
        <f t="shared" si="55"/>
        <v>0</v>
      </c>
      <c r="AZ1027" s="1189">
        <v>0.04</v>
      </c>
    </row>
    <row r="1028" spans="1:52" ht="13" customHeight="1">
      <c r="A1028" s="14"/>
      <c r="B1028" s="81"/>
      <c r="C1028" s="82"/>
      <c r="D1028" s="1754"/>
      <c r="E1028" s="1755"/>
      <c r="F1028" s="1755"/>
      <c r="G1028" s="1755"/>
      <c r="H1028" s="1755"/>
      <c r="I1028" s="1755"/>
      <c r="J1028" s="1755"/>
      <c r="K1028" s="1755"/>
      <c r="L1028" s="1755"/>
      <c r="M1028" s="1755"/>
      <c r="N1028" s="1755"/>
      <c r="O1028" s="1755"/>
      <c r="P1028" s="1755"/>
      <c r="Q1028" s="1755"/>
      <c r="R1028" s="1755"/>
      <c r="S1028" s="1755"/>
      <c r="T1028" s="1755"/>
      <c r="U1028" s="1755"/>
      <c r="V1028" s="1755"/>
      <c r="W1028" s="1755"/>
      <c r="X1028" s="1755"/>
      <c r="Y1028" s="1755"/>
      <c r="Z1028" s="1755"/>
      <c r="AA1028" s="1755"/>
      <c r="AB1028" s="1755"/>
      <c r="AC1028" s="1755"/>
      <c r="AD1028" s="1755"/>
      <c r="AE1028" s="1756"/>
      <c r="AF1028" s="1851"/>
      <c r="AG1028" s="1852"/>
      <c r="AH1028" s="1852"/>
      <c r="AI1028" s="1853"/>
      <c r="AJ1028" s="1757"/>
      <c r="AK1028" s="1758"/>
      <c r="AL1028" s="1758"/>
      <c r="AM1028" s="1758"/>
      <c r="AN1028" s="1758"/>
      <c r="AO1028" s="1758"/>
      <c r="AP1028" s="1758"/>
      <c r="AQ1028" s="1759"/>
      <c r="AR1028" s="68"/>
      <c r="AS1028" s="68"/>
      <c r="AT1028" s="68"/>
      <c r="AU1028" s="68"/>
      <c r="AV1028" s="68"/>
      <c r="AW1028" s="68"/>
      <c r="AX1028" s="3">
        <v>7</v>
      </c>
      <c r="AY1028" s="200">
        <f t="shared" si="55"/>
        <v>0</v>
      </c>
      <c r="AZ1028" s="1189">
        <v>0.01</v>
      </c>
    </row>
    <row r="1029" spans="1:52" ht="13" customHeight="1">
      <c r="A1029" s="14"/>
      <c r="B1029" s="79"/>
      <c r="C1029" s="80" t="s">
        <v>222</v>
      </c>
      <c r="D1029" s="1786" t="s">
        <v>1289</v>
      </c>
      <c r="E1029" s="1787"/>
      <c r="F1029" s="1787"/>
      <c r="G1029" s="1787"/>
      <c r="H1029" s="1787"/>
      <c r="I1029" s="1787"/>
      <c r="J1029" s="1787"/>
      <c r="K1029" s="1787"/>
      <c r="L1029" s="1787"/>
      <c r="M1029" s="1787"/>
      <c r="N1029" s="1787"/>
      <c r="O1029" s="1787"/>
      <c r="P1029" s="1787"/>
      <c r="Q1029" s="1787"/>
      <c r="R1029" s="1787"/>
      <c r="S1029" s="1787"/>
      <c r="T1029" s="1787"/>
      <c r="U1029" s="1787"/>
      <c r="V1029" s="1787"/>
      <c r="W1029" s="1787"/>
      <c r="X1029" s="1787"/>
      <c r="Y1029" s="1787"/>
      <c r="Z1029" s="1787"/>
      <c r="AA1029" s="1787"/>
      <c r="AB1029" s="1787"/>
      <c r="AC1029" s="1787"/>
      <c r="AD1029" s="1787"/>
      <c r="AE1029" s="1788"/>
      <c r="AF1029" s="79"/>
      <c r="AG1029" s="1766" t="s">
        <v>668</v>
      </c>
      <c r="AH1029" s="1767"/>
      <c r="AI1029" s="87"/>
      <c r="AJ1029" s="1745">
        <f>ROUND(IF(AND(AG1029="Yes",J1033&lt;&gt;"N/A",AF1032&lt;&gt;""),MIN(AF1032,(0.15*AJ1001)),0),0)</f>
        <v>0</v>
      </c>
      <c r="AK1029" s="1746"/>
      <c r="AL1029" s="1746"/>
      <c r="AM1029" s="1746"/>
      <c r="AN1029" s="1746"/>
      <c r="AO1029" s="1746"/>
      <c r="AP1029" s="1746"/>
      <c r="AQ1029" s="1747"/>
      <c r="AR1029" s="68"/>
      <c r="AS1029" s="68"/>
      <c r="AT1029" s="68"/>
      <c r="AU1029" s="68"/>
      <c r="AV1029" s="68"/>
      <c r="AW1029" s="68"/>
      <c r="AX1029" s="3">
        <v>8</v>
      </c>
      <c r="AY1029" s="200">
        <f t="shared" si="55"/>
        <v>0</v>
      </c>
      <c r="AZ1029" s="1189">
        <v>0.01</v>
      </c>
    </row>
    <row r="1030" spans="1:52" ht="13" customHeight="1">
      <c r="A1030" s="14"/>
      <c r="B1030" s="81"/>
      <c r="C1030" s="84"/>
      <c r="D1030" s="1789"/>
      <c r="E1030" s="1790"/>
      <c r="F1030" s="1790"/>
      <c r="G1030" s="1790"/>
      <c r="H1030" s="1790"/>
      <c r="I1030" s="1790"/>
      <c r="J1030" s="1790"/>
      <c r="K1030" s="1790"/>
      <c r="L1030" s="1790"/>
      <c r="M1030" s="1790"/>
      <c r="N1030" s="1790"/>
      <c r="O1030" s="1790"/>
      <c r="P1030" s="1790"/>
      <c r="Q1030" s="1790"/>
      <c r="R1030" s="1790"/>
      <c r="S1030" s="1790"/>
      <c r="T1030" s="1790"/>
      <c r="U1030" s="1790"/>
      <c r="V1030" s="1790"/>
      <c r="W1030" s="1790"/>
      <c r="X1030" s="1790"/>
      <c r="Y1030" s="1790"/>
      <c r="Z1030" s="1790"/>
      <c r="AA1030" s="1790"/>
      <c r="AB1030" s="1790"/>
      <c r="AC1030" s="1790"/>
      <c r="AD1030" s="1790"/>
      <c r="AE1030" s="1791"/>
      <c r="AF1030" s="1811" t="str">
        <f>IF(AG1029="yes","Please Select Type and Enter Amount:","")</f>
        <v/>
      </c>
      <c r="AG1030" s="1812"/>
      <c r="AH1030" s="1812"/>
      <c r="AI1030" s="1813"/>
      <c r="AJ1030" s="1748"/>
      <c r="AK1030" s="1749"/>
      <c r="AL1030" s="1749"/>
      <c r="AM1030" s="1749"/>
      <c r="AN1030" s="1749"/>
      <c r="AO1030" s="1749"/>
      <c r="AP1030" s="1749"/>
      <c r="AQ1030" s="1750"/>
      <c r="AR1030" s="68"/>
      <c r="AS1030" s="68"/>
      <c r="AT1030" s="68"/>
      <c r="AU1030" s="68"/>
      <c r="AV1030" s="68"/>
      <c r="AW1030" s="68"/>
      <c r="AX1030" s="3">
        <v>9</v>
      </c>
      <c r="AY1030" s="200">
        <f t="shared" si="55"/>
        <v>0</v>
      </c>
      <c r="AZ1030" s="1189">
        <v>0.01</v>
      </c>
    </row>
    <row r="1031" spans="1:52" ht="13" customHeight="1">
      <c r="A1031" s="14"/>
      <c r="B1031" s="81"/>
      <c r="C1031" s="84"/>
      <c r="D1031" s="1751" t="s">
        <v>1290</v>
      </c>
      <c r="E1031" s="1752"/>
      <c r="F1031" s="1752"/>
      <c r="G1031" s="1752"/>
      <c r="H1031" s="1752"/>
      <c r="I1031" s="1752"/>
      <c r="J1031" s="1752"/>
      <c r="K1031" s="1752"/>
      <c r="L1031" s="1752"/>
      <c r="M1031" s="1752"/>
      <c r="N1031" s="1752"/>
      <c r="O1031" s="1752"/>
      <c r="P1031" s="1752"/>
      <c r="Q1031" s="1752"/>
      <c r="R1031" s="1752"/>
      <c r="S1031" s="1752"/>
      <c r="T1031" s="1752"/>
      <c r="U1031" s="1752"/>
      <c r="V1031" s="1752"/>
      <c r="W1031" s="1752"/>
      <c r="X1031" s="1752"/>
      <c r="Y1031" s="1752"/>
      <c r="Z1031" s="1752"/>
      <c r="AA1031" s="1752"/>
      <c r="AB1031" s="1752"/>
      <c r="AC1031" s="1752"/>
      <c r="AD1031" s="1752"/>
      <c r="AE1031" s="1753"/>
      <c r="AF1031" s="1811"/>
      <c r="AG1031" s="1812"/>
      <c r="AH1031" s="1812"/>
      <c r="AI1031" s="1813"/>
      <c r="AJ1031" s="1748"/>
      <c r="AK1031" s="1749"/>
      <c r="AL1031" s="1749"/>
      <c r="AM1031" s="1749"/>
      <c r="AN1031" s="1749"/>
      <c r="AO1031" s="1749"/>
      <c r="AP1031" s="1749"/>
      <c r="AQ1031" s="1750"/>
      <c r="AR1031" s="68"/>
      <c r="AS1031" s="68"/>
      <c r="AT1031" s="68"/>
      <c r="AU1031" s="68"/>
      <c r="AV1031" s="68"/>
      <c r="AW1031" s="68"/>
      <c r="AX1031" s="3">
        <v>10</v>
      </c>
      <c r="AY1031" s="200">
        <f t="shared" si="55"/>
        <v>0</v>
      </c>
      <c r="AZ1031" s="1189">
        <v>0.02</v>
      </c>
    </row>
    <row r="1032" spans="1:52" ht="13" customHeight="1">
      <c r="A1032" s="14"/>
      <c r="B1032" s="81"/>
      <c r="C1032" s="84"/>
      <c r="D1032" s="1751"/>
      <c r="E1032" s="1752"/>
      <c r="F1032" s="1752"/>
      <c r="G1032" s="1752"/>
      <c r="H1032" s="1752"/>
      <c r="I1032" s="1752"/>
      <c r="J1032" s="1752"/>
      <c r="K1032" s="1752"/>
      <c r="L1032" s="1752"/>
      <c r="M1032" s="1752"/>
      <c r="N1032" s="1752"/>
      <c r="O1032" s="1752"/>
      <c r="P1032" s="1752"/>
      <c r="Q1032" s="1752"/>
      <c r="R1032" s="1752"/>
      <c r="S1032" s="1752"/>
      <c r="T1032" s="1752"/>
      <c r="U1032" s="1752"/>
      <c r="V1032" s="1752"/>
      <c r="W1032" s="1752"/>
      <c r="X1032" s="1752"/>
      <c r="Y1032" s="1752"/>
      <c r="Z1032" s="1752"/>
      <c r="AA1032" s="1752"/>
      <c r="AB1032" s="1752"/>
      <c r="AC1032" s="1752"/>
      <c r="AD1032" s="1752"/>
      <c r="AE1032" s="1753"/>
      <c r="AF1032" s="1807"/>
      <c r="AG1032" s="1807"/>
      <c r="AH1032" s="1807"/>
      <c r="AI1032" s="1807"/>
      <c r="AJ1032" s="1748"/>
      <c r="AK1032" s="1749"/>
      <c r="AL1032" s="1749"/>
      <c r="AM1032" s="1749"/>
      <c r="AN1032" s="1749"/>
      <c r="AO1032" s="1749"/>
      <c r="AP1032" s="1749"/>
      <c r="AQ1032" s="1750"/>
      <c r="AR1032" s="68"/>
      <c r="AS1032" s="68"/>
      <c r="AT1032" s="68"/>
      <c r="AU1032" s="68"/>
      <c r="AV1032" s="68"/>
      <c r="AW1032" s="68"/>
      <c r="AX1032" s="3">
        <v>11</v>
      </c>
      <c r="AY1032" s="200">
        <f t="shared" si="55"/>
        <v>0</v>
      </c>
      <c r="AZ1032" s="1189">
        <v>0.02</v>
      </c>
    </row>
    <row r="1033" spans="1:52" ht="13" customHeight="1">
      <c r="A1033" s="14"/>
      <c r="B1033" s="81"/>
      <c r="C1033" s="84"/>
      <c r="D1033" s="526" t="s">
        <v>358</v>
      </c>
      <c r="E1033" s="90"/>
      <c r="F1033" s="90"/>
      <c r="G1033" s="104"/>
      <c r="H1033" s="104"/>
      <c r="I1033" s="49"/>
      <c r="J1033" s="1844" t="s">
        <v>590</v>
      </c>
      <c r="K1033" s="1845"/>
      <c r="L1033" s="1845"/>
      <c r="M1033" s="1845"/>
      <c r="N1033" s="1845"/>
      <c r="O1033" s="1845"/>
      <c r="P1033" s="1845"/>
      <c r="Q1033" s="1845"/>
      <c r="R1033" s="1845"/>
      <c r="S1033" s="1845"/>
      <c r="T1033" s="1845"/>
      <c r="U1033" s="1845"/>
      <c r="V1033" s="1845"/>
      <c r="W1033" s="1845"/>
      <c r="X1033" s="1845"/>
      <c r="Y1033" s="1845"/>
      <c r="Z1033" s="1845"/>
      <c r="AA1033" s="1845"/>
      <c r="AB1033" s="1845"/>
      <c r="AC1033" s="1845"/>
      <c r="AD1033" s="1845"/>
      <c r="AE1033" s="1846"/>
      <c r="AF1033" s="1807"/>
      <c r="AG1033" s="1807"/>
      <c r="AH1033" s="1807"/>
      <c r="AI1033" s="1807"/>
      <c r="AJ1033" s="1757"/>
      <c r="AK1033" s="1758"/>
      <c r="AL1033" s="1758"/>
      <c r="AM1033" s="1758"/>
      <c r="AN1033" s="1758"/>
      <c r="AO1033" s="1758"/>
      <c r="AP1033" s="1758"/>
      <c r="AQ1033" s="1759"/>
      <c r="AR1033" s="68"/>
      <c r="AS1033" s="68"/>
      <c r="AT1033" s="68"/>
      <c r="AU1033" s="68"/>
      <c r="AV1033" s="68"/>
      <c r="AW1033" s="68"/>
      <c r="AX1033" s="1027" t="s">
        <v>2529</v>
      </c>
      <c r="AY1033" s="201">
        <f>IF(SUM(AY1022:AY1032)&lt;=0.2,SUM(AY1022:AY1032),0.2)</f>
        <v>0</v>
      </c>
    </row>
    <row r="1034" spans="1:52" ht="13" customHeight="1">
      <c r="A1034" s="14"/>
      <c r="B1034" s="79"/>
      <c r="C1034" s="80" t="s">
        <v>228</v>
      </c>
      <c r="D1034" s="1726" t="s">
        <v>1291</v>
      </c>
      <c r="E1034" s="1727"/>
      <c r="F1034" s="1727"/>
      <c r="G1034" s="1727"/>
      <c r="H1034" s="1727"/>
      <c r="I1034" s="1727"/>
      <c r="J1034" s="1727"/>
      <c r="K1034" s="1727"/>
      <c r="L1034" s="1727"/>
      <c r="M1034" s="1727"/>
      <c r="N1034" s="1727"/>
      <c r="O1034" s="1727"/>
      <c r="P1034" s="1727"/>
      <c r="Q1034" s="1727"/>
      <c r="R1034" s="1727"/>
      <c r="S1034" s="1727"/>
      <c r="T1034" s="1727"/>
      <c r="U1034" s="1727"/>
      <c r="V1034" s="1727"/>
      <c r="W1034" s="1727"/>
      <c r="X1034" s="1727"/>
      <c r="Y1034" s="1727"/>
      <c r="Z1034" s="1727"/>
      <c r="AA1034" s="1727"/>
      <c r="AB1034" s="1727"/>
      <c r="AC1034" s="1727"/>
      <c r="AD1034" s="1727"/>
      <c r="AE1034" s="1728"/>
      <c r="AF1034" s="79"/>
      <c r="AG1034" s="1766" t="s">
        <v>544</v>
      </c>
      <c r="AH1034" s="1767"/>
      <c r="AI1034" s="87"/>
      <c r="AJ1034" s="1745">
        <f>ROUND(IF(AG1034="Yes",AF1036,0),0)</f>
        <v>4771651</v>
      </c>
      <c r="AK1034" s="1746"/>
      <c r="AL1034" s="1746"/>
      <c r="AM1034" s="1746"/>
      <c r="AN1034" s="1746"/>
      <c r="AO1034" s="1746"/>
      <c r="AP1034" s="1746"/>
      <c r="AQ1034" s="1747"/>
      <c r="AR1034" s="68"/>
      <c r="AS1034" s="68"/>
      <c r="AT1034" s="68"/>
      <c r="AU1034" s="68"/>
      <c r="AV1034" s="68"/>
      <c r="AW1034" s="68"/>
      <c r="AX1034" s="68"/>
      <c r="AY1034" s="68"/>
    </row>
    <row r="1035" spans="1:52" ht="13" customHeight="1">
      <c r="A1035" s="14"/>
      <c r="B1035" s="73"/>
      <c r="C1035" s="74"/>
      <c r="D1035" s="1751" t="s">
        <v>1677</v>
      </c>
      <c r="E1035" s="1752"/>
      <c r="F1035" s="1752"/>
      <c r="G1035" s="1752"/>
      <c r="H1035" s="1752"/>
      <c r="I1035" s="1752"/>
      <c r="J1035" s="1752"/>
      <c r="K1035" s="1752"/>
      <c r="L1035" s="1752"/>
      <c r="M1035" s="1752"/>
      <c r="N1035" s="1752"/>
      <c r="O1035" s="1752"/>
      <c r="P1035" s="1752"/>
      <c r="Q1035" s="1752"/>
      <c r="R1035" s="1752"/>
      <c r="S1035" s="1752"/>
      <c r="T1035" s="1752"/>
      <c r="U1035" s="1752"/>
      <c r="V1035" s="1752"/>
      <c r="W1035" s="1752"/>
      <c r="X1035" s="1752"/>
      <c r="Y1035" s="1752"/>
      <c r="Z1035" s="1752"/>
      <c r="AA1035" s="1752"/>
      <c r="AB1035" s="1752"/>
      <c r="AC1035" s="1752"/>
      <c r="AD1035" s="1752"/>
      <c r="AE1035" s="1753"/>
      <c r="AF1035" s="1792" t="str">
        <f>IF(AG1034="yes","Enter Amount:","")</f>
        <v>Enter Amount:</v>
      </c>
      <c r="AG1035" s="1793"/>
      <c r="AH1035" s="1793"/>
      <c r="AI1035" s="1794"/>
      <c r="AJ1035" s="1748"/>
      <c r="AK1035" s="1749"/>
      <c r="AL1035" s="1749"/>
      <c r="AM1035" s="1749"/>
      <c r="AN1035" s="1749"/>
      <c r="AO1035" s="1749"/>
      <c r="AP1035" s="1749"/>
      <c r="AQ1035" s="1750"/>
      <c r="AR1035" s="68"/>
      <c r="AS1035" s="68"/>
      <c r="AT1035" s="68"/>
      <c r="AU1035" s="68"/>
      <c r="AV1035" s="68"/>
      <c r="AW1035" s="68"/>
      <c r="AX1035" s="68"/>
      <c r="AY1035" s="68"/>
    </row>
    <row r="1036" spans="1:52" ht="13" customHeight="1">
      <c r="A1036" s="14"/>
      <c r="B1036" s="73"/>
      <c r="C1036" s="74"/>
      <c r="D1036" s="1751"/>
      <c r="E1036" s="1752"/>
      <c r="F1036" s="1752"/>
      <c r="G1036" s="1752"/>
      <c r="H1036" s="1752"/>
      <c r="I1036" s="1752"/>
      <c r="J1036" s="1752"/>
      <c r="K1036" s="1752"/>
      <c r="L1036" s="1752"/>
      <c r="M1036" s="1752"/>
      <c r="N1036" s="1752"/>
      <c r="O1036" s="1752"/>
      <c r="P1036" s="1752"/>
      <c r="Q1036" s="1752"/>
      <c r="R1036" s="1752"/>
      <c r="S1036" s="1752"/>
      <c r="T1036" s="1752"/>
      <c r="U1036" s="1752"/>
      <c r="V1036" s="1752"/>
      <c r="W1036" s="1752"/>
      <c r="X1036" s="1752"/>
      <c r="Y1036" s="1752"/>
      <c r="Z1036" s="1752"/>
      <c r="AA1036" s="1752"/>
      <c r="AB1036" s="1752"/>
      <c r="AC1036" s="1752"/>
      <c r="AD1036" s="1752"/>
      <c r="AE1036" s="1753"/>
      <c r="AF1036" s="1807">
        <v>4771651</v>
      </c>
      <c r="AG1036" s="1807"/>
      <c r="AH1036" s="1807"/>
      <c r="AI1036" s="1807"/>
      <c r="AJ1036" s="1748"/>
      <c r="AK1036" s="1749"/>
      <c r="AL1036" s="1749"/>
      <c r="AM1036" s="1749"/>
      <c r="AN1036" s="1749"/>
      <c r="AO1036" s="1749"/>
      <c r="AP1036" s="1749"/>
      <c r="AQ1036" s="1750"/>
      <c r="AR1036" s="68"/>
      <c r="AS1036" s="68"/>
      <c r="AT1036" s="68"/>
      <c r="AU1036" s="68"/>
      <c r="AV1036" s="68"/>
      <c r="AW1036" s="68"/>
      <c r="AX1036" s="68"/>
      <c r="AY1036" s="14" t="str">
        <f>"Select items beginning on row #"&amp;TEXT(ROW(A1070),"#")&amp;" to claim this boost"</f>
        <v>Select items beginning on row #1070 to claim this boost</v>
      </c>
    </row>
    <row r="1037" spans="1:52" ht="13" customHeight="1">
      <c r="A1037" s="14"/>
      <c r="B1037" s="85"/>
      <c r="C1037" s="84"/>
      <c r="D1037" s="1754"/>
      <c r="E1037" s="1755"/>
      <c r="F1037" s="1755"/>
      <c r="G1037" s="1755"/>
      <c r="H1037" s="1755"/>
      <c r="I1037" s="1755"/>
      <c r="J1037" s="1755"/>
      <c r="K1037" s="1755"/>
      <c r="L1037" s="1755"/>
      <c r="M1037" s="1755"/>
      <c r="N1037" s="1755"/>
      <c r="O1037" s="1755"/>
      <c r="P1037" s="1755"/>
      <c r="Q1037" s="1755"/>
      <c r="R1037" s="1755"/>
      <c r="S1037" s="1755"/>
      <c r="T1037" s="1755"/>
      <c r="U1037" s="1755"/>
      <c r="V1037" s="1755"/>
      <c r="W1037" s="1755"/>
      <c r="X1037" s="1755"/>
      <c r="Y1037" s="1755"/>
      <c r="Z1037" s="1755"/>
      <c r="AA1037" s="1755"/>
      <c r="AB1037" s="1755"/>
      <c r="AC1037" s="1755"/>
      <c r="AD1037" s="1755"/>
      <c r="AE1037" s="1756"/>
      <c r="AF1037" s="1807"/>
      <c r="AG1037" s="1807"/>
      <c r="AH1037" s="1807"/>
      <c r="AI1037" s="1807"/>
      <c r="AJ1037" s="1757"/>
      <c r="AK1037" s="1758"/>
      <c r="AL1037" s="1758"/>
      <c r="AM1037" s="1758"/>
      <c r="AN1037" s="1758"/>
      <c r="AO1037" s="1758"/>
      <c r="AP1037" s="1758"/>
      <c r="AQ1037" s="1759"/>
      <c r="AR1037" s="68"/>
      <c r="AS1037" s="68"/>
      <c r="AT1037" s="68"/>
      <c r="AU1037" s="68"/>
      <c r="AV1037" s="68"/>
      <c r="AW1037" s="68"/>
      <c r="AX1037" s="68"/>
      <c r="AY1037" s="68"/>
    </row>
    <row r="1038" spans="1:52" ht="13" customHeight="1">
      <c r="A1038" s="14"/>
      <c r="B1038" s="79"/>
      <c r="C1038" s="80" t="s">
        <v>233</v>
      </c>
      <c r="D1038" s="1720" t="s">
        <v>1292</v>
      </c>
      <c r="E1038" s="1721"/>
      <c r="F1038" s="1721"/>
      <c r="G1038" s="1721"/>
      <c r="H1038" s="1721"/>
      <c r="I1038" s="1721"/>
      <c r="J1038" s="1721"/>
      <c r="K1038" s="1721"/>
      <c r="L1038" s="1721"/>
      <c r="M1038" s="1721"/>
      <c r="N1038" s="1721"/>
      <c r="O1038" s="1721"/>
      <c r="P1038" s="1721"/>
      <c r="Q1038" s="1721"/>
      <c r="R1038" s="1721"/>
      <c r="S1038" s="1721"/>
      <c r="T1038" s="1721"/>
      <c r="U1038" s="1721"/>
      <c r="V1038" s="1721"/>
      <c r="W1038" s="1721"/>
      <c r="X1038" s="1721"/>
      <c r="Y1038" s="1721"/>
      <c r="Z1038" s="1721"/>
      <c r="AA1038" s="1721"/>
      <c r="AB1038" s="1721"/>
      <c r="AC1038" s="1721"/>
      <c r="AD1038" s="1721"/>
      <c r="AE1038" s="1722"/>
      <c r="AF1038" s="79"/>
      <c r="AG1038" s="1766" t="s">
        <v>544</v>
      </c>
      <c r="AH1038" s="1767"/>
      <c r="AI1038" s="87"/>
      <c r="AJ1038" s="1745">
        <f>ROUND(IF(AG1038="yes",(AJ1001*0.1),0),0)</f>
        <v>9235089</v>
      </c>
      <c r="AK1038" s="1746"/>
      <c r="AL1038" s="1746"/>
      <c r="AM1038" s="1746"/>
      <c r="AN1038" s="1746"/>
      <c r="AO1038" s="1746"/>
      <c r="AP1038" s="1746"/>
      <c r="AQ1038" s="1747"/>
      <c r="AR1038" s="68"/>
      <c r="AS1038" s="68"/>
      <c r="AT1038" s="68"/>
      <c r="AU1038" s="68"/>
      <c r="AV1038" s="68"/>
      <c r="AW1038" s="68"/>
      <c r="AX1038" s="68"/>
      <c r="AY1038" s="68"/>
    </row>
    <row r="1039" spans="1:52" ht="13" customHeight="1">
      <c r="A1039" s="14"/>
      <c r="B1039" s="73"/>
      <c r="C1039" s="74"/>
      <c r="D1039" s="1751" t="s">
        <v>1293</v>
      </c>
      <c r="E1039" s="1752"/>
      <c r="F1039" s="1752"/>
      <c r="G1039" s="1752"/>
      <c r="H1039" s="1752"/>
      <c r="I1039" s="1752"/>
      <c r="J1039" s="1752"/>
      <c r="K1039" s="1752"/>
      <c r="L1039" s="1752"/>
      <c r="M1039" s="1752"/>
      <c r="N1039" s="1752"/>
      <c r="O1039" s="1752"/>
      <c r="P1039" s="1752"/>
      <c r="Q1039" s="1752"/>
      <c r="R1039" s="1752"/>
      <c r="S1039" s="1752"/>
      <c r="T1039" s="1752"/>
      <c r="U1039" s="1752"/>
      <c r="V1039" s="1752"/>
      <c r="W1039" s="1752"/>
      <c r="X1039" s="1752"/>
      <c r="Y1039" s="1752"/>
      <c r="Z1039" s="1752"/>
      <c r="AA1039" s="1752"/>
      <c r="AB1039" s="1752"/>
      <c r="AC1039" s="1752"/>
      <c r="AD1039" s="1752"/>
      <c r="AE1039" s="1753"/>
      <c r="AF1039" s="73"/>
      <c r="AG1039" s="14"/>
      <c r="AH1039" s="14"/>
      <c r="AI1039" s="83"/>
      <c r="AJ1039" s="1748"/>
      <c r="AK1039" s="1749"/>
      <c r="AL1039" s="1749"/>
      <c r="AM1039" s="1749"/>
      <c r="AN1039" s="1749"/>
      <c r="AO1039" s="1749"/>
      <c r="AP1039" s="1749"/>
      <c r="AQ1039" s="1750"/>
      <c r="AR1039" s="68"/>
      <c r="AS1039" s="68"/>
      <c r="AT1039" s="68"/>
      <c r="AU1039" s="68"/>
      <c r="AV1039" s="68"/>
      <c r="AW1039" s="68"/>
      <c r="AX1039" s="68"/>
      <c r="AY1039" s="68"/>
    </row>
    <row r="1040" spans="1:52" ht="13" customHeight="1">
      <c r="A1040" s="14"/>
      <c r="B1040" s="77"/>
      <c r="C1040" s="74"/>
      <c r="D1040" s="1754"/>
      <c r="E1040" s="1755"/>
      <c r="F1040" s="1755"/>
      <c r="G1040" s="1755"/>
      <c r="H1040" s="1755"/>
      <c r="I1040" s="1755"/>
      <c r="J1040" s="1755"/>
      <c r="K1040" s="1755"/>
      <c r="L1040" s="1755"/>
      <c r="M1040" s="1755"/>
      <c r="N1040" s="1755"/>
      <c r="O1040" s="1755"/>
      <c r="P1040" s="1755"/>
      <c r="Q1040" s="1755"/>
      <c r="R1040" s="1755"/>
      <c r="S1040" s="1755"/>
      <c r="T1040" s="1755"/>
      <c r="U1040" s="1755"/>
      <c r="V1040" s="1755"/>
      <c r="W1040" s="1755"/>
      <c r="X1040" s="1755"/>
      <c r="Y1040" s="1755"/>
      <c r="Z1040" s="1755"/>
      <c r="AA1040" s="1755"/>
      <c r="AB1040" s="1755"/>
      <c r="AC1040" s="1755"/>
      <c r="AD1040" s="1755"/>
      <c r="AE1040" s="1756"/>
      <c r="AF1040" s="73"/>
      <c r="AG1040" s="14"/>
      <c r="AH1040" s="14"/>
      <c r="AI1040" s="83"/>
      <c r="AJ1040" s="1757"/>
      <c r="AK1040" s="1758"/>
      <c r="AL1040" s="1758"/>
      <c r="AM1040" s="1758"/>
      <c r="AN1040" s="1758"/>
      <c r="AO1040" s="1758"/>
      <c r="AP1040" s="1758"/>
      <c r="AQ1040" s="1759"/>
      <c r="AR1040" s="68"/>
      <c r="AS1040" s="68"/>
      <c r="AT1040" s="68"/>
      <c r="AU1040" s="68"/>
      <c r="AV1040" s="68"/>
      <c r="AW1040" s="68"/>
      <c r="AX1040" s="68"/>
      <c r="AY1040" s="68"/>
    </row>
    <row r="1041" spans="1:57" ht="13" customHeight="1">
      <c r="A1041" s="14"/>
      <c r="B1041" s="73"/>
      <c r="C1041" s="339" t="s">
        <v>686</v>
      </c>
      <c r="D1041" s="1726" t="s">
        <v>1673</v>
      </c>
      <c r="E1041" s="1727"/>
      <c r="F1041" s="1727"/>
      <c r="G1041" s="1727"/>
      <c r="H1041" s="1727"/>
      <c r="I1041" s="1727"/>
      <c r="J1041" s="1727"/>
      <c r="K1041" s="1727"/>
      <c r="L1041" s="1727"/>
      <c r="M1041" s="1727"/>
      <c r="N1041" s="1727"/>
      <c r="O1041" s="1727"/>
      <c r="P1041" s="1727"/>
      <c r="Q1041" s="1727"/>
      <c r="R1041" s="1727"/>
      <c r="S1041" s="1727"/>
      <c r="T1041" s="1727"/>
      <c r="U1041" s="1727"/>
      <c r="V1041" s="1727"/>
      <c r="W1041" s="1727"/>
      <c r="X1041" s="1727"/>
      <c r="Y1041" s="1727"/>
      <c r="Z1041" s="1727"/>
      <c r="AA1041" s="1727"/>
      <c r="AB1041" s="1727"/>
      <c r="AC1041" s="1727"/>
      <c r="AD1041" s="1727"/>
      <c r="AE1041" s="1728"/>
      <c r="AF1041" s="79"/>
      <c r="AG1041" s="1766" t="s">
        <v>668</v>
      </c>
      <c r="AH1041" s="1767"/>
      <c r="AI1041" s="87"/>
      <c r="AJ1041" s="1745">
        <f>ROUND(IF(AG1041="yes",(AJ1001*0.15),0),0)</f>
        <v>0</v>
      </c>
      <c r="AK1041" s="1746"/>
      <c r="AL1041" s="1746"/>
      <c r="AM1041" s="1746"/>
      <c r="AN1041" s="1746"/>
      <c r="AO1041" s="1746"/>
      <c r="AP1041" s="1746"/>
      <c r="AQ1041" s="1747"/>
      <c r="AR1041" s="68"/>
      <c r="AS1041" s="68"/>
      <c r="AT1041" s="68"/>
      <c r="AU1041" s="68"/>
      <c r="AV1041" s="68"/>
      <c r="AW1041" s="68"/>
      <c r="AX1041" s="68"/>
      <c r="AY1041" s="68"/>
    </row>
    <row r="1042" spans="1:57" ht="13" customHeight="1">
      <c r="A1042" s="14"/>
      <c r="B1042" s="73"/>
      <c r="C1042" s="74"/>
      <c r="D1042" s="1768" t="s">
        <v>1674</v>
      </c>
      <c r="E1042" s="1272"/>
      <c r="F1042" s="1272"/>
      <c r="G1042" s="1272"/>
      <c r="H1042" s="1272"/>
      <c r="I1042" s="1272"/>
      <c r="J1042" s="1272"/>
      <c r="K1042" s="1272"/>
      <c r="L1042" s="1272"/>
      <c r="M1042" s="1272"/>
      <c r="N1042" s="1272"/>
      <c r="O1042" s="1272"/>
      <c r="P1042" s="1272"/>
      <c r="Q1042" s="1272"/>
      <c r="R1042" s="1272"/>
      <c r="S1042" s="1272"/>
      <c r="T1042" s="1272"/>
      <c r="U1042" s="1272"/>
      <c r="V1042" s="1272"/>
      <c r="W1042" s="1272"/>
      <c r="X1042" s="1272"/>
      <c r="Y1042" s="1272"/>
      <c r="Z1042" s="1272"/>
      <c r="AA1042" s="1272"/>
      <c r="AB1042" s="1272"/>
      <c r="AC1042" s="1272"/>
      <c r="AD1042" s="1272"/>
      <c r="AE1042" s="1769"/>
      <c r="AF1042" s="911"/>
      <c r="AG1042" s="912"/>
      <c r="AH1042" s="912"/>
      <c r="AI1042" s="913"/>
      <c r="AJ1042" s="1748"/>
      <c r="AK1042" s="1749"/>
      <c r="AL1042" s="1749"/>
      <c r="AM1042" s="1749"/>
      <c r="AN1042" s="1749"/>
      <c r="AO1042" s="1749"/>
      <c r="AP1042" s="1749"/>
      <c r="AQ1042" s="1750"/>
      <c r="AR1042" s="68"/>
      <c r="AS1042" s="68"/>
      <c r="AT1042" s="68"/>
      <c r="AU1042" s="68"/>
      <c r="AV1042" s="68"/>
      <c r="AW1042" s="68"/>
      <c r="AX1042" s="68"/>
      <c r="AY1042" s="68"/>
    </row>
    <row r="1043" spans="1:57" ht="13" customHeight="1">
      <c r="A1043" s="14"/>
      <c r="B1043" s="73"/>
      <c r="C1043" s="74"/>
      <c r="D1043" s="1768"/>
      <c r="E1043" s="1272"/>
      <c r="F1043" s="1272"/>
      <c r="G1043" s="1272"/>
      <c r="H1043" s="1272"/>
      <c r="I1043" s="1272"/>
      <c r="J1043" s="1272"/>
      <c r="K1043" s="1272"/>
      <c r="L1043" s="1272"/>
      <c r="M1043" s="1272"/>
      <c r="N1043" s="1272"/>
      <c r="O1043" s="1272"/>
      <c r="P1043" s="1272"/>
      <c r="Q1043" s="1272"/>
      <c r="R1043" s="1272"/>
      <c r="S1043" s="1272"/>
      <c r="T1043" s="1272"/>
      <c r="U1043" s="1272"/>
      <c r="V1043" s="1272"/>
      <c r="W1043" s="1272"/>
      <c r="X1043" s="1272"/>
      <c r="Y1043" s="1272"/>
      <c r="Z1043" s="1272"/>
      <c r="AA1043" s="1272"/>
      <c r="AB1043" s="1272"/>
      <c r="AC1043" s="1272"/>
      <c r="AD1043" s="1272"/>
      <c r="AE1043" s="1769"/>
      <c r="AF1043" s="911"/>
      <c r="AG1043" s="912"/>
      <c r="AH1043" s="912"/>
      <c r="AI1043" s="913"/>
      <c r="AJ1043" s="1748"/>
      <c r="AK1043" s="1749"/>
      <c r="AL1043" s="1749"/>
      <c r="AM1043" s="1749"/>
      <c r="AN1043" s="1749"/>
      <c r="AO1043" s="1749"/>
      <c r="AP1043" s="1749"/>
      <c r="AQ1043" s="1750"/>
      <c r="AR1043" s="68"/>
      <c r="AS1043" s="68"/>
      <c r="AT1043" s="68"/>
      <c r="AU1043" s="68"/>
      <c r="AV1043" s="68"/>
      <c r="AW1043" s="68"/>
      <c r="AX1043" s="68"/>
      <c r="AY1043" s="68"/>
    </row>
    <row r="1044" spans="1:57" ht="13" customHeight="1">
      <c r="A1044" s="14"/>
      <c r="B1044" s="73"/>
      <c r="C1044" s="74"/>
      <c r="D1044" s="1770"/>
      <c r="E1044" s="1771"/>
      <c r="F1044" s="1771"/>
      <c r="G1044" s="1771"/>
      <c r="H1044" s="1771"/>
      <c r="I1044" s="1771"/>
      <c r="J1044" s="1771"/>
      <c r="K1044" s="1771"/>
      <c r="L1044" s="1771"/>
      <c r="M1044" s="1771"/>
      <c r="N1044" s="1771"/>
      <c r="O1044" s="1771"/>
      <c r="P1044" s="1771"/>
      <c r="Q1044" s="1771"/>
      <c r="R1044" s="1771"/>
      <c r="S1044" s="1771"/>
      <c r="T1044" s="1771"/>
      <c r="U1044" s="1771"/>
      <c r="V1044" s="1771"/>
      <c r="W1044" s="1771"/>
      <c r="X1044" s="1771"/>
      <c r="Y1044" s="1771"/>
      <c r="Z1044" s="1771"/>
      <c r="AA1044" s="1771"/>
      <c r="AB1044" s="1771"/>
      <c r="AC1044" s="1771"/>
      <c r="AD1044" s="1771"/>
      <c r="AE1044" s="1772"/>
      <c r="AF1044" s="914"/>
      <c r="AG1044" s="915"/>
      <c r="AH1044" s="915"/>
      <c r="AI1044" s="916"/>
      <c r="AJ1044" s="1757"/>
      <c r="AK1044" s="1758"/>
      <c r="AL1044" s="1758"/>
      <c r="AM1044" s="1758"/>
      <c r="AN1044" s="1758"/>
      <c r="AO1044" s="1758"/>
      <c r="AP1044" s="1758"/>
      <c r="AQ1044" s="1759"/>
      <c r="AR1044" s="68"/>
      <c r="AS1044" s="68"/>
      <c r="AT1044" s="68"/>
      <c r="AU1044" s="68"/>
      <c r="AV1044" s="68"/>
      <c r="AW1044" s="68"/>
      <c r="AX1044" s="68"/>
      <c r="AY1044" s="68"/>
    </row>
    <row r="1045" spans="1:57" ht="13" customHeight="1">
      <c r="A1045" s="14"/>
      <c r="B1045" s="73"/>
      <c r="C1045" s="339" t="s">
        <v>686</v>
      </c>
      <c r="D1045" s="1720" t="s">
        <v>1675</v>
      </c>
      <c r="E1045" s="1721"/>
      <c r="F1045" s="1721"/>
      <c r="G1045" s="1721"/>
      <c r="H1045" s="1721"/>
      <c r="I1045" s="1721"/>
      <c r="J1045" s="1721"/>
      <c r="K1045" s="1721"/>
      <c r="L1045" s="1721"/>
      <c r="M1045" s="1721"/>
      <c r="N1045" s="1721"/>
      <c r="O1045" s="1721"/>
      <c r="P1045" s="1721"/>
      <c r="Q1045" s="1721"/>
      <c r="R1045" s="1721"/>
      <c r="S1045" s="1721"/>
      <c r="T1045" s="1721"/>
      <c r="U1045" s="1721"/>
      <c r="V1045" s="1721"/>
      <c r="W1045" s="1721"/>
      <c r="X1045" s="1721"/>
      <c r="Y1045" s="1721"/>
      <c r="Z1045" s="1721"/>
      <c r="AA1045" s="1721"/>
      <c r="AB1045" s="1721"/>
      <c r="AC1045" s="1721"/>
      <c r="AD1045" s="1721"/>
      <c r="AE1045" s="1722"/>
      <c r="AF1045" s="73"/>
      <c r="AG1045" s="1775" t="s">
        <v>668</v>
      </c>
      <c r="AH1045" s="1776"/>
      <c r="AI1045" s="83"/>
      <c r="AJ1045" s="1745">
        <f>ROUND(IF(AND(AG1045="yes",AJ1041=0),(AJ1001*0.1),0),0)</f>
        <v>0</v>
      </c>
      <c r="AK1045" s="1746"/>
      <c r="AL1045" s="1746"/>
      <c r="AM1045" s="1746"/>
      <c r="AN1045" s="1746"/>
      <c r="AO1045" s="1746"/>
      <c r="AP1045" s="1746"/>
      <c r="AQ1045" s="1747"/>
      <c r="AR1045" s="68"/>
      <c r="AS1045" s="68"/>
      <c r="AT1045" s="68"/>
      <c r="AU1045" s="68"/>
      <c r="AV1045" s="68"/>
      <c r="AW1045" s="68"/>
      <c r="AX1045" s="68"/>
      <c r="AY1045" s="68"/>
    </row>
    <row r="1046" spans="1:57" ht="13" customHeight="1">
      <c r="A1046" s="14"/>
      <c r="B1046" s="73"/>
      <c r="C1046" s="74"/>
      <c r="D1046" s="1768" t="s">
        <v>1676</v>
      </c>
      <c r="E1046" s="1272"/>
      <c r="F1046" s="1272"/>
      <c r="G1046" s="1272"/>
      <c r="H1046" s="1272"/>
      <c r="I1046" s="1272"/>
      <c r="J1046" s="1272"/>
      <c r="K1046" s="1272"/>
      <c r="L1046" s="1272"/>
      <c r="M1046" s="1272"/>
      <c r="N1046" s="1272"/>
      <c r="O1046" s="1272"/>
      <c r="P1046" s="1272"/>
      <c r="Q1046" s="1272"/>
      <c r="R1046" s="1272"/>
      <c r="S1046" s="1272"/>
      <c r="T1046" s="1272"/>
      <c r="U1046" s="1272"/>
      <c r="V1046" s="1272"/>
      <c r="W1046" s="1272"/>
      <c r="X1046" s="1272"/>
      <c r="Y1046" s="1272"/>
      <c r="Z1046" s="1272"/>
      <c r="AA1046" s="1272"/>
      <c r="AB1046" s="1272"/>
      <c r="AC1046" s="1272"/>
      <c r="AD1046" s="1272"/>
      <c r="AE1046" s="1769"/>
      <c r="AF1046" s="73"/>
      <c r="AG1046" s="14"/>
      <c r="AH1046" s="14"/>
      <c r="AI1046" s="83"/>
      <c r="AJ1046" s="1748"/>
      <c r="AK1046" s="1749"/>
      <c r="AL1046" s="1749"/>
      <c r="AM1046" s="1749"/>
      <c r="AN1046" s="1749"/>
      <c r="AO1046" s="1749"/>
      <c r="AP1046" s="1749"/>
      <c r="AQ1046" s="1750"/>
      <c r="AR1046" s="68"/>
      <c r="AS1046" s="68"/>
      <c r="AT1046" s="68"/>
      <c r="AU1046" s="68"/>
      <c r="AV1046" s="68"/>
      <c r="AW1046" s="68"/>
      <c r="AX1046" s="68"/>
      <c r="AY1046" s="68"/>
    </row>
    <row r="1047" spans="1:57" ht="13" customHeight="1">
      <c r="A1047" s="14"/>
      <c r="B1047" s="73"/>
      <c r="C1047" s="74"/>
      <c r="D1047" s="1768"/>
      <c r="E1047" s="1272"/>
      <c r="F1047" s="1272"/>
      <c r="G1047" s="1272"/>
      <c r="H1047" s="1272"/>
      <c r="I1047" s="1272"/>
      <c r="J1047" s="1272"/>
      <c r="K1047" s="1272"/>
      <c r="L1047" s="1272"/>
      <c r="M1047" s="1272"/>
      <c r="N1047" s="1272"/>
      <c r="O1047" s="1272"/>
      <c r="P1047" s="1272"/>
      <c r="Q1047" s="1272"/>
      <c r="R1047" s="1272"/>
      <c r="S1047" s="1272"/>
      <c r="T1047" s="1272"/>
      <c r="U1047" s="1272"/>
      <c r="V1047" s="1272"/>
      <c r="W1047" s="1272"/>
      <c r="X1047" s="1272"/>
      <c r="Y1047" s="1272"/>
      <c r="Z1047" s="1272"/>
      <c r="AA1047" s="1272"/>
      <c r="AB1047" s="1272"/>
      <c r="AC1047" s="1272"/>
      <c r="AD1047" s="1272"/>
      <c r="AE1047" s="1769"/>
      <c r="AF1047" s="73"/>
      <c r="AG1047" s="14"/>
      <c r="AH1047" s="14"/>
      <c r="AI1047" s="83"/>
      <c r="AJ1047" s="1748"/>
      <c r="AK1047" s="1749"/>
      <c r="AL1047" s="1749"/>
      <c r="AM1047" s="1749"/>
      <c r="AN1047" s="1749"/>
      <c r="AO1047" s="1749"/>
      <c r="AP1047" s="1749"/>
      <c r="AQ1047" s="1750"/>
      <c r="AR1047" s="68"/>
      <c r="AS1047" s="68"/>
      <c r="AT1047" s="68"/>
      <c r="AU1047" s="68"/>
      <c r="AV1047" s="68"/>
      <c r="AW1047" s="68"/>
      <c r="AX1047" s="68"/>
      <c r="AY1047" s="68"/>
      <c r="BA1047" s="1176">
        <f>IFERROR(('Sources and Uses Budget'!$C$17+'Sources and Uses Budget'!$C$18+'Sources and Uses Budget'!$C$22)/$AG$446,0)</f>
        <v>0</v>
      </c>
      <c r="BB1047" s="1176" t="s">
        <v>2417</v>
      </c>
      <c r="BC1047" s="1176"/>
      <c r="BD1047" s="1176"/>
      <c r="BE1047" s="1176"/>
    </row>
    <row r="1048" spans="1:57" ht="13" customHeight="1">
      <c r="A1048" s="14"/>
      <c r="B1048" s="73"/>
      <c r="C1048" s="74"/>
      <c r="D1048" s="1768"/>
      <c r="E1048" s="1272"/>
      <c r="F1048" s="1272"/>
      <c r="G1048" s="1272"/>
      <c r="H1048" s="1272"/>
      <c r="I1048" s="1272"/>
      <c r="J1048" s="1272"/>
      <c r="K1048" s="1272"/>
      <c r="L1048" s="1272"/>
      <c r="M1048" s="1272"/>
      <c r="N1048" s="1272"/>
      <c r="O1048" s="1272"/>
      <c r="P1048" s="1272"/>
      <c r="Q1048" s="1272"/>
      <c r="R1048" s="1272"/>
      <c r="S1048" s="1272"/>
      <c r="T1048" s="1272"/>
      <c r="U1048" s="1272"/>
      <c r="V1048" s="1272"/>
      <c r="W1048" s="1272"/>
      <c r="X1048" s="1272"/>
      <c r="Y1048" s="1272"/>
      <c r="Z1048" s="1272"/>
      <c r="AA1048" s="1272"/>
      <c r="AB1048" s="1272"/>
      <c r="AC1048" s="1272"/>
      <c r="AD1048" s="1272"/>
      <c r="AE1048" s="1769"/>
      <c r="AF1048" s="73"/>
      <c r="AG1048" s="14"/>
      <c r="AH1048" s="14"/>
      <c r="AI1048" s="83"/>
      <c r="AJ1048" s="1748"/>
      <c r="AK1048" s="1749"/>
      <c r="AL1048" s="1749"/>
      <c r="AM1048" s="1749"/>
      <c r="AN1048" s="1749"/>
      <c r="AO1048" s="1749"/>
      <c r="AP1048" s="1749"/>
      <c r="AQ1048" s="1750"/>
      <c r="AR1048" s="68"/>
      <c r="AS1048" s="68"/>
      <c r="AT1048" s="68"/>
      <c r="AU1048" s="68"/>
      <c r="AV1048" s="68"/>
      <c r="AW1048" s="68"/>
      <c r="AX1048" s="68"/>
      <c r="AY1048" s="68"/>
      <c r="BA1048">
        <f>IFERROR((($CI$761+$CM$761)/$AG$449),0)</f>
        <v>0.38461538461538464</v>
      </c>
      <c r="BB1048" s="3" t="s">
        <v>2421</v>
      </c>
    </row>
    <row r="1049" spans="1:57" ht="13" customHeight="1">
      <c r="A1049" s="14"/>
      <c r="B1049" s="73"/>
      <c r="C1049" s="74"/>
      <c r="D1049" s="1770"/>
      <c r="E1049" s="1771"/>
      <c r="F1049" s="1771"/>
      <c r="G1049" s="1771"/>
      <c r="H1049" s="1771"/>
      <c r="I1049" s="1771"/>
      <c r="J1049" s="1771"/>
      <c r="K1049" s="1771"/>
      <c r="L1049" s="1771"/>
      <c r="M1049" s="1771"/>
      <c r="N1049" s="1771"/>
      <c r="O1049" s="1771"/>
      <c r="P1049" s="1771"/>
      <c r="Q1049" s="1771"/>
      <c r="R1049" s="1771"/>
      <c r="S1049" s="1771"/>
      <c r="T1049" s="1771"/>
      <c r="U1049" s="1771"/>
      <c r="V1049" s="1771"/>
      <c r="W1049" s="1771"/>
      <c r="X1049" s="1771"/>
      <c r="Y1049" s="1771"/>
      <c r="Z1049" s="1771"/>
      <c r="AA1049" s="1771"/>
      <c r="AB1049" s="1771"/>
      <c r="AC1049" s="1771"/>
      <c r="AD1049" s="1771"/>
      <c r="AE1049" s="1772"/>
      <c r="AF1049" s="73"/>
      <c r="AG1049" s="14"/>
      <c r="AH1049" s="14"/>
      <c r="AI1049" s="83"/>
      <c r="AJ1049" s="1748"/>
      <c r="AK1049" s="1749"/>
      <c r="AL1049" s="1749"/>
      <c r="AM1049" s="1749"/>
      <c r="AN1049" s="1749"/>
      <c r="AO1049" s="1749"/>
      <c r="AP1049" s="1749"/>
      <c r="AQ1049" s="1750"/>
      <c r="AR1049" s="68"/>
      <c r="AS1049" s="68"/>
      <c r="AT1049" s="68"/>
      <c r="AU1049" s="68"/>
      <c r="AV1049" s="68"/>
      <c r="AW1049" s="68"/>
      <c r="AX1049" s="68"/>
      <c r="AY1049" s="68"/>
      <c r="BA1049" t="b">
        <f>'Points System'!AJ163="Yes"</f>
        <v>1</v>
      </c>
      <c r="BB1049" s="3" t="s">
        <v>2418</v>
      </c>
    </row>
    <row r="1050" spans="1:57" ht="13" customHeight="1">
      <c r="A1050" s="14"/>
      <c r="B1050" s="79"/>
      <c r="C1050" s="131" t="s">
        <v>1008</v>
      </c>
      <c r="D1050" s="1726" t="s">
        <v>1294</v>
      </c>
      <c r="E1050" s="1727"/>
      <c r="F1050" s="1727"/>
      <c r="G1050" s="1727"/>
      <c r="H1050" s="1727"/>
      <c r="I1050" s="1727"/>
      <c r="J1050" s="1727"/>
      <c r="K1050" s="1727"/>
      <c r="L1050" s="1727"/>
      <c r="M1050" s="1727"/>
      <c r="N1050" s="1727"/>
      <c r="O1050" s="1727"/>
      <c r="P1050" s="1727"/>
      <c r="Q1050" s="1727"/>
      <c r="R1050" s="1727"/>
      <c r="S1050" s="1727"/>
      <c r="T1050" s="1727"/>
      <c r="U1050" s="1727"/>
      <c r="V1050" s="1727"/>
      <c r="W1050" s="1727"/>
      <c r="X1050" s="1727"/>
      <c r="Y1050" s="1727"/>
      <c r="Z1050" s="1727"/>
      <c r="AA1050" s="1727"/>
      <c r="AB1050" s="1727"/>
      <c r="AC1050" s="1727"/>
      <c r="AD1050" s="1727"/>
      <c r="AE1050" s="1728"/>
      <c r="AF1050" s="79"/>
      <c r="AG1050" s="1766" t="s">
        <v>668</v>
      </c>
      <c r="AH1050" s="1767"/>
      <c r="AI1050" s="87"/>
      <c r="AJ1050" s="1745">
        <f>ROUND(IF(AG1050="yes",(AJ1001*0.1),0),0)</f>
        <v>0</v>
      </c>
      <c r="AK1050" s="1746"/>
      <c r="AL1050" s="1746"/>
      <c r="AM1050" s="1746"/>
      <c r="AN1050" s="1746"/>
      <c r="AO1050" s="1746"/>
      <c r="AP1050" s="1746"/>
      <c r="AQ1050" s="1747"/>
      <c r="AR1050" s="68"/>
      <c r="AS1050" s="68"/>
      <c r="AT1050" s="68"/>
      <c r="AU1050" s="68"/>
      <c r="AV1050" s="68"/>
      <c r="AW1050" s="68"/>
      <c r="AX1050" s="68"/>
      <c r="AY1050" s="68"/>
      <c r="BA1050">
        <f>Q212</f>
        <v>0</v>
      </c>
      <c r="BB1050" s="3" t="s">
        <v>2419</v>
      </c>
    </row>
    <row r="1051" spans="1:57" ht="13" customHeight="1">
      <c r="A1051" s="14"/>
      <c r="B1051" s="73"/>
      <c r="C1051" s="74"/>
      <c r="D1051" s="1751" t="s">
        <v>2097</v>
      </c>
      <c r="E1051" s="1752"/>
      <c r="F1051" s="1752"/>
      <c r="G1051" s="1752"/>
      <c r="H1051" s="1752"/>
      <c r="I1051" s="1752"/>
      <c r="J1051" s="1752"/>
      <c r="K1051" s="1752"/>
      <c r="L1051" s="1752"/>
      <c r="M1051" s="1752"/>
      <c r="N1051" s="1752"/>
      <c r="O1051" s="1752"/>
      <c r="P1051" s="1752"/>
      <c r="Q1051" s="1752"/>
      <c r="R1051" s="1752"/>
      <c r="S1051" s="1752"/>
      <c r="T1051" s="1752"/>
      <c r="U1051" s="1752"/>
      <c r="V1051" s="1752"/>
      <c r="W1051" s="1752"/>
      <c r="X1051" s="1752"/>
      <c r="Y1051" s="1752"/>
      <c r="Z1051" s="1752"/>
      <c r="AA1051" s="1752"/>
      <c r="AB1051" s="1752"/>
      <c r="AC1051" s="1752"/>
      <c r="AD1051" s="1752"/>
      <c r="AE1051" s="1753"/>
      <c r="AF1051" s="73"/>
      <c r="AG1051" s="14"/>
      <c r="AH1051" s="14"/>
      <c r="AI1051" s="83"/>
      <c r="AJ1051" s="1748"/>
      <c r="AK1051" s="1749"/>
      <c r="AL1051" s="1749"/>
      <c r="AM1051" s="1749"/>
      <c r="AN1051" s="1749"/>
      <c r="AO1051" s="1749"/>
      <c r="AP1051" s="1749"/>
      <c r="AQ1051" s="1750"/>
      <c r="AR1051" s="68"/>
      <c r="AS1051" s="68"/>
      <c r="AT1051" s="68"/>
      <c r="AU1051" s="68"/>
      <c r="AV1051" s="68"/>
      <c r="AW1051" s="68"/>
      <c r="AX1051" s="68"/>
      <c r="AY1051" s="68"/>
      <c r="BA1051" s="1177">
        <f>T212</f>
        <v>0</v>
      </c>
      <c r="BB1051" s="3" t="s">
        <v>2420</v>
      </c>
    </row>
    <row r="1052" spans="1:57" ht="13" customHeight="1">
      <c r="A1052" s="14"/>
      <c r="B1052" s="73"/>
      <c r="C1052" s="74"/>
      <c r="D1052" s="1751"/>
      <c r="E1052" s="1752"/>
      <c r="F1052" s="1752"/>
      <c r="G1052" s="1752"/>
      <c r="H1052" s="1752"/>
      <c r="I1052" s="1752"/>
      <c r="J1052" s="1752"/>
      <c r="K1052" s="1752"/>
      <c r="L1052" s="1752"/>
      <c r="M1052" s="1752"/>
      <c r="N1052" s="1752"/>
      <c r="O1052" s="1752"/>
      <c r="P1052" s="1752"/>
      <c r="Q1052" s="1752"/>
      <c r="R1052" s="1752"/>
      <c r="S1052" s="1752"/>
      <c r="T1052" s="1752"/>
      <c r="U1052" s="1752"/>
      <c r="V1052" s="1752"/>
      <c r="W1052" s="1752"/>
      <c r="X1052" s="1752"/>
      <c r="Y1052" s="1752"/>
      <c r="Z1052" s="1752"/>
      <c r="AA1052" s="1752"/>
      <c r="AB1052" s="1752"/>
      <c r="AC1052" s="1752"/>
      <c r="AD1052" s="1752"/>
      <c r="AE1052" s="1753"/>
      <c r="AF1052" s="73"/>
      <c r="AG1052" s="14"/>
      <c r="AH1052" s="14"/>
      <c r="AI1052" s="83"/>
      <c r="AJ1052" s="1748"/>
      <c r="AK1052" s="1749"/>
      <c r="AL1052" s="1749"/>
      <c r="AM1052" s="1749"/>
      <c r="AN1052" s="1749"/>
      <c r="AO1052" s="1749"/>
      <c r="AP1052" s="1749"/>
      <c r="AQ1052" s="1750"/>
      <c r="AR1052" s="68"/>
      <c r="AS1052" s="68"/>
      <c r="AT1052" s="68"/>
      <c r="AU1052" s="68"/>
      <c r="AV1052" s="68"/>
      <c r="AW1052" s="68"/>
      <c r="AX1052" s="68"/>
      <c r="AY1052" s="68"/>
    </row>
    <row r="1053" spans="1:57" ht="13" customHeight="1">
      <c r="A1053" s="14"/>
      <c r="B1053" s="73"/>
      <c r="C1053" s="74"/>
      <c r="D1053" s="1754"/>
      <c r="E1053" s="1755"/>
      <c r="F1053" s="1755"/>
      <c r="G1053" s="1755"/>
      <c r="H1053" s="1755"/>
      <c r="I1053" s="1755"/>
      <c r="J1053" s="1755"/>
      <c r="K1053" s="1755"/>
      <c r="L1053" s="1755"/>
      <c r="M1053" s="1755"/>
      <c r="N1053" s="1755"/>
      <c r="O1053" s="1755"/>
      <c r="P1053" s="1755"/>
      <c r="Q1053" s="1755"/>
      <c r="R1053" s="1755"/>
      <c r="S1053" s="1755"/>
      <c r="T1053" s="1755"/>
      <c r="U1053" s="1755"/>
      <c r="V1053" s="1755"/>
      <c r="W1053" s="1755"/>
      <c r="X1053" s="1755"/>
      <c r="Y1053" s="1755"/>
      <c r="Z1053" s="1755"/>
      <c r="AA1053" s="1755"/>
      <c r="AB1053" s="1755"/>
      <c r="AC1053" s="1755"/>
      <c r="AD1053" s="1755"/>
      <c r="AE1053" s="1756"/>
      <c r="AF1053" s="73"/>
      <c r="AG1053" s="14"/>
      <c r="AH1053" s="14"/>
      <c r="AI1053" s="83"/>
      <c r="AJ1053" s="1757"/>
      <c r="AK1053" s="1758"/>
      <c r="AL1053" s="1758"/>
      <c r="AM1053" s="1758"/>
      <c r="AN1053" s="1758"/>
      <c r="AO1053" s="1758"/>
      <c r="AP1053" s="1758"/>
      <c r="AQ1053" s="1759"/>
      <c r="AR1053" s="68"/>
      <c r="AS1053" s="68"/>
      <c r="AT1053" s="68"/>
      <c r="AU1053" s="68"/>
      <c r="AV1053" s="68"/>
      <c r="AW1053" s="68"/>
      <c r="AX1053" s="68"/>
      <c r="AY1053" s="68"/>
    </row>
    <row r="1054" spans="1:57" ht="13" customHeight="1">
      <c r="A1054" s="14"/>
      <c r="B1054" s="79"/>
      <c r="C1054" s="131" t="s">
        <v>1671</v>
      </c>
      <c r="D1054" s="1720" t="s">
        <v>1837</v>
      </c>
      <c r="E1054" s="1721"/>
      <c r="F1054" s="1721"/>
      <c r="G1054" s="1721"/>
      <c r="H1054" s="1721"/>
      <c r="I1054" s="1721"/>
      <c r="J1054" s="1721"/>
      <c r="K1054" s="1721"/>
      <c r="L1054" s="1721"/>
      <c r="M1054" s="1721"/>
      <c r="N1054" s="1721"/>
      <c r="O1054" s="1721"/>
      <c r="P1054" s="1721"/>
      <c r="Q1054" s="1721"/>
      <c r="R1054" s="1721"/>
      <c r="S1054" s="1721"/>
      <c r="T1054" s="1721"/>
      <c r="U1054" s="1721"/>
      <c r="V1054" s="1721"/>
      <c r="W1054" s="1721"/>
      <c r="X1054" s="1721"/>
      <c r="Y1054" s="1721"/>
      <c r="Z1054" s="1721"/>
      <c r="AA1054" s="1721"/>
      <c r="AB1054" s="1721"/>
      <c r="AC1054" s="1721"/>
      <c r="AD1054" s="1721"/>
      <c r="AE1054" s="1722"/>
      <c r="AF1054" s="79"/>
      <c r="AG1054" s="1773" t="str">
        <f>IF(X1057&gt;0,"Yes","No")</f>
        <v>Yes</v>
      </c>
      <c r="AH1054" s="1774"/>
      <c r="AI1054" s="87"/>
      <c r="AJ1054" s="1745">
        <f>IF((X1057=0),0,AY1014*AJ1001)</f>
        <v>18470177.199999999</v>
      </c>
      <c r="AK1054" s="1746"/>
      <c r="AL1054" s="1746"/>
      <c r="AM1054" s="1746"/>
      <c r="AN1054" s="1746"/>
      <c r="AO1054" s="1746"/>
      <c r="AP1054" s="1746"/>
      <c r="AQ1054" s="1747"/>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2406</v>
      </c>
      <c r="BB1054" s="3"/>
      <c r="BC1054" s="3"/>
      <c r="BD1054" s="3"/>
    </row>
    <row r="1055" spans="1:57" ht="13" customHeight="1">
      <c r="A1055" s="14"/>
      <c r="B1055" s="73"/>
      <c r="C1055" s="442"/>
      <c r="D1055" s="1751" t="s">
        <v>1296</v>
      </c>
      <c r="E1055" s="1752"/>
      <c r="F1055" s="1752"/>
      <c r="G1055" s="1752"/>
      <c r="H1055" s="1752"/>
      <c r="I1055" s="1752"/>
      <c r="J1055" s="1752"/>
      <c r="K1055" s="1752"/>
      <c r="L1055" s="1752"/>
      <c r="M1055" s="1752"/>
      <c r="N1055" s="1752"/>
      <c r="O1055" s="1752"/>
      <c r="P1055" s="1752"/>
      <c r="Q1055" s="1752"/>
      <c r="R1055" s="1752"/>
      <c r="S1055" s="1752"/>
      <c r="T1055" s="1752"/>
      <c r="U1055" s="1752"/>
      <c r="V1055" s="1752"/>
      <c r="W1055" s="1752"/>
      <c r="X1055" s="1752"/>
      <c r="Y1055" s="1752"/>
      <c r="Z1055" s="1752"/>
      <c r="AA1055" s="1752"/>
      <c r="AB1055" s="1752"/>
      <c r="AC1055" s="1752"/>
      <c r="AD1055" s="1752"/>
      <c r="AE1055" s="1753"/>
      <c r="AF1055" s="73"/>
      <c r="AG1055" s="443"/>
      <c r="AH1055" s="443"/>
      <c r="AI1055" s="83"/>
      <c r="AJ1055" s="1748"/>
      <c r="AK1055" s="1749"/>
      <c r="AL1055" s="1749"/>
      <c r="AM1055" s="1749"/>
      <c r="AN1055" s="1749"/>
      <c r="AO1055" s="1749"/>
      <c r="AP1055" s="1749"/>
      <c r="AQ1055" s="1750"/>
      <c r="AR1055" s="68"/>
      <c r="AS1055" s="68"/>
      <c r="AT1055" s="68"/>
      <c r="AU1055" s="13"/>
      <c r="AV1055" s="68"/>
      <c r="AW1055" s="68"/>
      <c r="AX1055" s="68"/>
      <c r="AY1055" s="68"/>
      <c r="AZ1055" s="958">
        <f>'Sources and Uses Budget'!S97*BA1055</f>
        <v>11055127</v>
      </c>
      <c r="BA1055" s="1175">
        <f>IF(BA1049,20%,15%)</f>
        <v>0.2</v>
      </c>
      <c r="BB1055" s="3" t="s">
        <v>2407</v>
      </c>
      <c r="BC1055" s="3" t="s">
        <v>2408</v>
      </c>
      <c r="BD1055" s="3"/>
    </row>
    <row r="1056" spans="1:57" ht="13" customHeight="1">
      <c r="A1056" s="14"/>
      <c r="B1056" s="73"/>
      <c r="C1056" s="442"/>
      <c r="D1056" s="1751"/>
      <c r="E1056" s="1752"/>
      <c r="F1056" s="1752"/>
      <c r="G1056" s="1752"/>
      <c r="H1056" s="1752"/>
      <c r="I1056" s="1752"/>
      <c r="J1056" s="1752"/>
      <c r="K1056" s="1752"/>
      <c r="L1056" s="1752"/>
      <c r="M1056" s="1752"/>
      <c r="N1056" s="1752"/>
      <c r="O1056" s="1752"/>
      <c r="P1056" s="1752"/>
      <c r="Q1056" s="1752"/>
      <c r="R1056" s="1752"/>
      <c r="S1056" s="1752"/>
      <c r="T1056" s="1752"/>
      <c r="U1056" s="1752"/>
      <c r="V1056" s="1752"/>
      <c r="W1056" s="1752"/>
      <c r="X1056" s="1752"/>
      <c r="Y1056" s="1752"/>
      <c r="Z1056" s="1752"/>
      <c r="AA1056" s="1752"/>
      <c r="AB1056" s="1752"/>
      <c r="AC1056" s="1752"/>
      <c r="AD1056" s="1752"/>
      <c r="AE1056" s="1753"/>
      <c r="AF1056" s="73"/>
      <c r="AG1056" s="443"/>
      <c r="AH1056" s="443"/>
      <c r="AI1056" s="83"/>
      <c r="AJ1056" s="1748"/>
      <c r="AK1056" s="1749"/>
      <c r="AL1056" s="1749"/>
      <c r="AM1056" s="1749"/>
      <c r="AN1056" s="1749"/>
      <c r="AO1056" s="1749"/>
      <c r="AP1056" s="1749"/>
      <c r="AQ1056" s="1750"/>
      <c r="AR1056" s="68"/>
      <c r="AS1056" s="68"/>
      <c r="AT1056" s="68"/>
      <c r="AU1056" s="13"/>
      <c r="AV1056" s="68"/>
      <c r="AW1056" s="68"/>
      <c r="AX1056" s="68"/>
      <c r="AY1056" s="68"/>
      <c r="AZ1056" s="958">
        <f>IF(M365="N/A",0,'Sources and Uses Budget'!T97*BA1056)</f>
        <v>0</v>
      </c>
      <c r="BA1056" s="1175">
        <v>0.15</v>
      </c>
      <c r="BB1056" s="3" t="s">
        <v>2407</v>
      </c>
      <c r="BC1056" s="3" t="s">
        <v>2409</v>
      </c>
      <c r="BD1056" s="3"/>
    </row>
    <row r="1057" spans="1:56" ht="13" customHeight="1">
      <c r="A1057" s="14"/>
      <c r="B1057" s="77"/>
      <c r="C1057" s="78"/>
      <c r="D1057" s="132" t="s">
        <v>970</v>
      </c>
      <c r="E1057" s="133"/>
      <c r="F1057" s="133"/>
      <c r="G1057" s="133"/>
      <c r="H1057" s="133"/>
      <c r="I1057" s="1802">
        <f>AY1012</f>
        <v>130</v>
      </c>
      <c r="J1057" s="1803"/>
      <c r="K1057" s="7"/>
      <c r="L1057" s="133"/>
      <c r="M1057" s="133"/>
      <c r="N1057" s="133"/>
      <c r="O1057" s="133"/>
      <c r="P1057" s="133"/>
      <c r="Q1057" s="133"/>
      <c r="R1057" s="133"/>
      <c r="S1057" s="133"/>
      <c r="T1057" s="133"/>
      <c r="U1057" s="133"/>
      <c r="V1057" s="134" t="s">
        <v>971</v>
      </c>
      <c r="W1057" s="48"/>
      <c r="X1057" s="1800">
        <f>CI761</f>
        <v>27</v>
      </c>
      <c r="Y1057" s="1801"/>
      <c r="Z1057" s="48"/>
      <c r="AA1057" s="48"/>
      <c r="AB1057" s="48"/>
      <c r="AC1057" s="48"/>
      <c r="AD1057" s="48"/>
      <c r="AE1057" s="49"/>
      <c r="AF1057" s="920"/>
      <c r="AG1057" s="921"/>
      <c r="AH1057" s="921"/>
      <c r="AI1057" s="922"/>
      <c r="AJ1057" s="1757"/>
      <c r="AK1057" s="1758"/>
      <c r="AL1057" s="1758"/>
      <c r="AM1057" s="1758"/>
      <c r="AN1057" s="1758"/>
      <c r="AO1057" s="1758"/>
      <c r="AP1057" s="1758"/>
      <c r="AQ1057" s="1759"/>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2407</v>
      </c>
      <c r="BC1057" s="3" t="s">
        <v>2410</v>
      </c>
      <c r="BD1057" s="3"/>
    </row>
    <row r="1058" spans="1:56" ht="13" customHeight="1">
      <c r="A1058" s="14"/>
      <c r="B1058" s="79"/>
      <c r="C1058" s="131" t="s">
        <v>1672</v>
      </c>
      <c r="D1058" s="1726" t="s">
        <v>2123</v>
      </c>
      <c r="E1058" s="1727"/>
      <c r="F1058" s="1727"/>
      <c r="G1058" s="1727"/>
      <c r="H1058" s="1727"/>
      <c r="I1058" s="1727"/>
      <c r="J1058" s="1727"/>
      <c r="K1058" s="1727"/>
      <c r="L1058" s="1727"/>
      <c r="M1058" s="1727"/>
      <c r="N1058" s="1727"/>
      <c r="O1058" s="1727"/>
      <c r="P1058" s="1727"/>
      <c r="Q1058" s="1727"/>
      <c r="R1058" s="1727"/>
      <c r="S1058" s="1727"/>
      <c r="T1058" s="1727"/>
      <c r="U1058" s="1727"/>
      <c r="V1058" s="1727"/>
      <c r="W1058" s="1727"/>
      <c r="X1058" s="1727"/>
      <c r="Y1058" s="1727"/>
      <c r="Z1058" s="1727"/>
      <c r="AA1058" s="1727"/>
      <c r="AB1058" s="1727"/>
      <c r="AC1058" s="1727"/>
      <c r="AD1058" s="1727"/>
      <c r="AE1058" s="1728"/>
      <c r="AF1058" s="73"/>
      <c r="AG1058" s="1773" t="str">
        <f>IF(X1061&gt;0,"Yes","No")</f>
        <v>Yes</v>
      </c>
      <c r="AH1058" s="1774"/>
      <c r="AI1058" s="83"/>
      <c r="AJ1058" s="1745">
        <f>IF((X1061=0),0,(2*AY1015)*AJ1001)</f>
        <v>31399301.240000002</v>
      </c>
      <c r="AK1058" s="1746"/>
      <c r="AL1058" s="1746"/>
      <c r="AM1058" s="1746"/>
      <c r="AN1058" s="1746"/>
      <c r="AO1058" s="1746"/>
      <c r="AP1058" s="1746"/>
      <c r="AQ1058" s="1747"/>
      <c r="AR1058" s="68"/>
      <c r="AS1058" s="68"/>
      <c r="AT1058" s="68"/>
      <c r="AU1058" s="14"/>
      <c r="AV1058" s="68"/>
      <c r="AW1058" s="68"/>
      <c r="AX1058" s="68"/>
      <c r="AY1058" s="68"/>
      <c r="AZ1058" s="958">
        <f>AZ1054*BA1058</f>
        <v>0</v>
      </c>
      <c r="BA1058" s="1175">
        <v>0.15</v>
      </c>
      <c r="BB1058" s="3" t="s">
        <v>2407</v>
      </c>
      <c r="BC1058" s="3" t="s">
        <v>2411</v>
      </c>
      <c r="BD1058" s="3"/>
    </row>
    <row r="1059" spans="1:56" ht="13" customHeight="1">
      <c r="A1059" s="14"/>
      <c r="B1059" s="73"/>
      <c r="C1059" s="442"/>
      <c r="D1059" s="1751" t="s">
        <v>1295</v>
      </c>
      <c r="E1059" s="1752"/>
      <c r="F1059" s="1752"/>
      <c r="G1059" s="1752"/>
      <c r="H1059" s="1752"/>
      <c r="I1059" s="1752"/>
      <c r="J1059" s="1752"/>
      <c r="K1059" s="1752"/>
      <c r="L1059" s="1752"/>
      <c r="M1059" s="1752"/>
      <c r="N1059" s="1752"/>
      <c r="O1059" s="1752"/>
      <c r="P1059" s="1752"/>
      <c r="Q1059" s="1752"/>
      <c r="R1059" s="1752"/>
      <c r="S1059" s="1752"/>
      <c r="T1059" s="1752"/>
      <c r="U1059" s="1752"/>
      <c r="V1059" s="1752"/>
      <c r="W1059" s="1752"/>
      <c r="X1059" s="1752"/>
      <c r="Y1059" s="1752"/>
      <c r="Z1059" s="1752"/>
      <c r="AA1059" s="1752"/>
      <c r="AB1059" s="1752"/>
      <c r="AC1059" s="1752"/>
      <c r="AD1059" s="1752"/>
      <c r="AE1059" s="1753"/>
      <c r="AF1059" s="73"/>
      <c r="AG1059" s="443"/>
      <c r="AH1059" s="443"/>
      <c r="AI1059" s="83"/>
      <c r="AJ1059" s="1748"/>
      <c r="AK1059" s="1749"/>
      <c r="AL1059" s="1749"/>
      <c r="AM1059" s="1749"/>
      <c r="AN1059" s="1749"/>
      <c r="AO1059" s="1749"/>
      <c r="AP1059" s="1749"/>
      <c r="AQ1059" s="1750"/>
      <c r="AR1059" s="68"/>
      <c r="AS1059" s="68"/>
      <c r="AT1059" s="68"/>
      <c r="AU1059" s="68"/>
      <c r="AV1059" s="68"/>
      <c r="AW1059" s="68"/>
      <c r="AX1059" s="68"/>
      <c r="AY1059" s="68"/>
      <c r="AZ1059" s="958"/>
      <c r="BA1059" s="3"/>
      <c r="BB1059" s="3"/>
      <c r="BC1059" s="3"/>
      <c r="BD1059" s="3"/>
    </row>
    <row r="1060" spans="1:56" ht="13" customHeight="1">
      <c r="A1060" s="14"/>
      <c r="B1060" s="73"/>
      <c r="C1060" s="83"/>
      <c r="D1060" s="1751"/>
      <c r="E1060" s="1752"/>
      <c r="F1060" s="1752"/>
      <c r="G1060" s="1752"/>
      <c r="H1060" s="1752"/>
      <c r="I1060" s="1752"/>
      <c r="J1060" s="1752"/>
      <c r="K1060" s="1752"/>
      <c r="L1060" s="1752"/>
      <c r="M1060" s="1752"/>
      <c r="N1060" s="1752"/>
      <c r="O1060" s="1752"/>
      <c r="P1060" s="1752"/>
      <c r="Q1060" s="1752"/>
      <c r="R1060" s="1752"/>
      <c r="S1060" s="1752"/>
      <c r="T1060" s="1752"/>
      <c r="U1060" s="1752"/>
      <c r="V1060" s="1752"/>
      <c r="W1060" s="1752"/>
      <c r="X1060" s="1752"/>
      <c r="Y1060" s="1752"/>
      <c r="Z1060" s="1752"/>
      <c r="AA1060" s="1752"/>
      <c r="AB1060" s="1752"/>
      <c r="AC1060" s="1752"/>
      <c r="AD1060" s="1752"/>
      <c r="AE1060" s="1753"/>
      <c r="AF1060" s="917"/>
      <c r="AG1060" s="918"/>
      <c r="AH1060" s="918"/>
      <c r="AI1060" s="919"/>
      <c r="AJ1060" s="1748"/>
      <c r="AK1060" s="1749"/>
      <c r="AL1060" s="1749"/>
      <c r="AM1060" s="1749"/>
      <c r="AN1060" s="1749"/>
      <c r="AO1060" s="1749"/>
      <c r="AP1060" s="1749"/>
      <c r="AQ1060" s="1750"/>
      <c r="AR1060" s="68"/>
      <c r="AS1060" s="68"/>
      <c r="AT1060" s="68"/>
      <c r="AU1060" s="68"/>
      <c r="AV1060" s="68"/>
      <c r="AW1060" s="68"/>
      <c r="AX1060" s="68"/>
      <c r="AY1060" s="68"/>
      <c r="AZ1060" s="958">
        <f>ROUNDDOWN(MIN(SUM(AZ1055,AZ1056,AZ1057,AZ1058),BD1060),0)</f>
        <v>3000000</v>
      </c>
      <c r="BA1060" s="3" t="s">
        <v>2412</v>
      </c>
      <c r="BB1060" s="3"/>
      <c r="BC1060" s="3"/>
      <c r="BD1060" s="3" cm="1">
        <f t="array" ref="BD1060">_xlfn.IFS(BA1049,3000000,AND(BA1050&gt;=25%,BA1051&gt;=15),2800000,TRUE,2500000)</f>
        <v>3000000</v>
      </c>
    </row>
    <row r="1061" spans="1:56" ht="13" customHeight="1">
      <c r="A1061" s="14"/>
      <c r="B1061" s="77"/>
      <c r="C1061" s="78"/>
      <c r="D1061" s="132" t="s">
        <v>970</v>
      </c>
      <c r="E1061" s="133"/>
      <c r="F1061" s="133"/>
      <c r="G1061" s="133"/>
      <c r="H1061" s="133"/>
      <c r="I1061" s="1802">
        <f>AY1012</f>
        <v>130</v>
      </c>
      <c r="J1061" s="1803"/>
      <c r="K1061" s="14"/>
      <c r="L1061" s="133"/>
      <c r="M1061" s="133"/>
      <c r="N1061" s="133"/>
      <c r="O1061" s="133"/>
      <c r="P1061" s="133"/>
      <c r="Q1061" s="133"/>
      <c r="R1061" s="133"/>
      <c r="S1061" s="133"/>
      <c r="T1061" s="133"/>
      <c r="U1061" s="133"/>
      <c r="V1061" s="134" t="s">
        <v>972</v>
      </c>
      <c r="X1061" s="1800">
        <f>CM761</f>
        <v>23</v>
      </c>
      <c r="Y1061" s="1801"/>
      <c r="AF1061" s="920"/>
      <c r="AG1061" s="921"/>
      <c r="AH1061" s="921"/>
      <c r="AI1061" s="922"/>
      <c r="AJ1061" s="1757"/>
      <c r="AK1061" s="1758"/>
      <c r="AL1061" s="1758"/>
      <c r="AM1061" s="1758"/>
      <c r="AN1061" s="1758"/>
      <c r="AO1061" s="1758"/>
      <c r="AP1061" s="1758"/>
      <c r="AQ1061" s="1759"/>
      <c r="AR1061" s="68"/>
      <c r="AS1061" s="68"/>
      <c r="AT1061" s="68"/>
      <c r="AU1061" s="68"/>
      <c r="AV1061" s="68"/>
      <c r="AW1061" s="68"/>
      <c r="AX1061" s="68"/>
      <c r="AY1061" s="68"/>
      <c r="AZ1061" s="958">
        <f>ROUNDDOWN(MAX(0,BA1061*(SUM(AG1102,AL1102,AZ1054)-BD1061))+BF1061,0)</f>
        <v>0</v>
      </c>
      <c r="BA1061" s="1175">
        <f>IF(L1051,7%,5%)</f>
        <v>0.05</v>
      </c>
      <c r="BB1061" s="3" t="s">
        <v>2413</v>
      </c>
      <c r="BC1061" s="3"/>
      <c r="BD1061" s="3">
        <v>6666667</v>
      </c>
    </row>
    <row r="1062" spans="1:56" ht="13" customHeight="1">
      <c r="A1062" s="14"/>
      <c r="B1062" s="102"/>
      <c r="C1062" s="103"/>
      <c r="D1062" s="1798" t="s">
        <v>512</v>
      </c>
      <c r="E1062" s="1798"/>
      <c r="F1062" s="1798"/>
      <c r="G1062" s="1798"/>
      <c r="H1062" s="1798"/>
      <c r="I1062" s="1798"/>
      <c r="J1062" s="1798"/>
      <c r="K1062" s="1798"/>
      <c r="L1062" s="1798"/>
      <c r="M1062" s="1798"/>
      <c r="N1062" s="1798"/>
      <c r="O1062" s="1798"/>
      <c r="P1062" s="1798"/>
      <c r="Q1062" s="1798"/>
      <c r="R1062" s="1798"/>
      <c r="S1062" s="1798"/>
      <c r="T1062" s="1798"/>
      <c r="U1062" s="1798"/>
      <c r="V1062" s="1798"/>
      <c r="W1062" s="1798"/>
      <c r="X1062" s="1798"/>
      <c r="Y1062" s="1798"/>
      <c r="Z1062" s="1798"/>
      <c r="AA1062" s="1798"/>
      <c r="AB1062" s="1798"/>
      <c r="AC1062" s="1798"/>
      <c r="AD1062" s="1798"/>
      <c r="AE1062" s="1798"/>
      <c r="AF1062" s="1798"/>
      <c r="AG1062" s="1798"/>
      <c r="AH1062" s="1798"/>
      <c r="AI1062" s="1799"/>
      <c r="AJ1062" s="1814">
        <f>SUM(AJ1001:AQ1061)</f>
        <v>156227104.44</v>
      </c>
      <c r="AK1062" s="1815"/>
      <c r="AL1062" s="1815"/>
      <c r="AM1062" s="1815"/>
      <c r="AN1062" s="1815"/>
      <c r="AO1062" s="1815"/>
      <c r="AP1062" s="1815"/>
      <c r="AQ1062" s="1816"/>
      <c r="AR1062" s="68"/>
      <c r="AS1062" s="68"/>
      <c r="AT1062" s="68"/>
      <c r="AU1062" s="68"/>
      <c r="AV1062" s="68"/>
      <c r="AW1062" s="68"/>
      <c r="AX1062" s="68"/>
      <c r="AY1062" s="68"/>
      <c r="AZ1062" s="1174">
        <v>6000000</v>
      </c>
      <c r="BA1062" s="3" t="s">
        <v>2414</v>
      </c>
      <c r="BB1062" s="3"/>
      <c r="BC1062" s="3"/>
      <c r="BD1062" s="3"/>
    </row>
    <row r="1063" spans="1:56" ht="13"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3" customHeight="1">
      <c r="A1064" s="14"/>
      <c r="B1064" s="68"/>
      <c r="C1064" s="68"/>
      <c r="D1064" s="68"/>
      <c r="E1064" s="68"/>
      <c r="F1064" s="68"/>
      <c r="G1064" s="1166" t="s">
        <v>2399</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3000000</v>
      </c>
      <c r="BB1064" s="3" t="s">
        <v>2415</v>
      </c>
      <c r="BC1064" s="3"/>
      <c r="BD1064" s="3"/>
    </row>
    <row r="1065" spans="1:56" ht="13" customHeight="1">
      <c r="A1065" s="14"/>
      <c r="B1065" s="68"/>
      <c r="C1065" s="68"/>
      <c r="D1065" s="68"/>
      <c r="E1065" s="68"/>
      <c r="F1065" s="68"/>
      <c r="G1065" s="1169" t="s">
        <v>2400</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347">
        <f>'Sources and Uses Budget'!S107+'Sources and Uses Budget'!T107</f>
        <v>66330762</v>
      </c>
      <c r="AB1065" s="1347"/>
      <c r="AC1065" s="1347"/>
      <c r="AD1065" s="1347"/>
      <c r="AE1065" s="1347"/>
      <c r="AF1065" s="1347"/>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11055127</v>
      </c>
      <c r="BB1065" s="3" t="s">
        <v>2416</v>
      </c>
      <c r="BC1065" s="3"/>
      <c r="BD1065" s="3"/>
    </row>
    <row r="1066" spans="1:56" ht="13" customHeight="1">
      <c r="A1066" s="14"/>
      <c r="B1066" s="68"/>
      <c r="C1066" s="68"/>
      <c r="D1066" s="68"/>
      <c r="E1066" s="68"/>
      <c r="F1066" s="68"/>
      <c r="G1066" s="1169"/>
      <c r="H1066" s="1169" t="s">
        <v>2401</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348">
        <f>IFERROR((AA1065-BA1068)/(AJ1062-AJ1054-AJ1058),"")</f>
        <v>0.54792154725228637</v>
      </c>
      <c r="AB1066" s="1349"/>
      <c r="AC1066" s="1349"/>
      <c r="AD1066" s="1349"/>
      <c r="AE1066" s="1349"/>
      <c r="AF1066" s="1350"/>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3" customHeight="1">
      <c r="A1067" s="14"/>
      <c r="B1067" s="68"/>
      <c r="C1067" s="68"/>
      <c r="D1067" s="68"/>
      <c r="E1067" s="68"/>
      <c r="F1067" s="68"/>
      <c r="G1067" s="1351"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51"/>
      <c r="I1067" s="1351"/>
      <c r="J1067" s="1351"/>
      <c r="K1067" s="1351"/>
      <c r="L1067" s="1351"/>
      <c r="M1067" s="1351"/>
      <c r="N1067" s="1351"/>
      <c r="O1067" s="1351"/>
      <c r="P1067" s="1351"/>
      <c r="Q1067" s="1351"/>
      <c r="R1067" s="1351"/>
      <c r="S1067" s="1351"/>
      <c r="T1067" s="1351"/>
      <c r="U1067" s="1351"/>
      <c r="V1067" s="1351"/>
      <c r="W1067" s="1351"/>
      <c r="X1067" s="1351"/>
      <c r="Y1067" s="1351"/>
      <c r="Z1067" s="1351"/>
      <c r="AA1067" s="1351"/>
      <c r="AB1067" s="1351"/>
      <c r="AC1067" s="1351"/>
      <c r="AD1067" s="1351"/>
      <c r="AE1067" s="1351"/>
      <c r="AF1067" s="1351"/>
      <c r="AG1067" s="1351"/>
      <c r="AH1067" s="1351"/>
      <c r="AI1067" s="1351"/>
      <c r="AJ1067" s="1351"/>
      <c r="AK1067" s="1351"/>
      <c r="AL1067" s="1351"/>
      <c r="AM1067" s="1351"/>
      <c r="AN1067" s="1351"/>
      <c r="AO1067" s="68"/>
      <c r="AP1067" s="68"/>
      <c r="AQ1067" s="68"/>
      <c r="AR1067" s="68"/>
      <c r="AS1067" s="68"/>
      <c r="AT1067" s="68"/>
      <c r="AU1067" s="68"/>
      <c r="AV1067" s="14"/>
      <c r="AW1067" s="14"/>
      <c r="AX1067" s="14"/>
      <c r="AY1067" s="14"/>
      <c r="BA1067" s="1178">
        <f>'Sources and Uses Budget'!$S$104+'Sources and Uses Budget'!$T$104</f>
        <v>11055127</v>
      </c>
      <c r="BB1067" s="3" t="s">
        <v>2422</v>
      </c>
    </row>
    <row r="1068" spans="1:56" ht="13" customHeight="1">
      <c r="A1068" s="14"/>
      <c r="B1068" s="14"/>
      <c r="C1068" s="208"/>
      <c r="D1068" s="854"/>
      <c r="E1068" s="854"/>
      <c r="F1068" s="854"/>
      <c r="G1068" s="1351"/>
      <c r="H1068" s="1351"/>
      <c r="I1068" s="1351"/>
      <c r="J1068" s="1351"/>
      <c r="K1068" s="1351"/>
      <c r="L1068" s="1351"/>
      <c r="M1068" s="1351"/>
      <c r="N1068" s="1351"/>
      <c r="O1068" s="1351"/>
      <c r="P1068" s="1351"/>
      <c r="Q1068" s="1351"/>
      <c r="R1068" s="1351"/>
      <c r="S1068" s="1351"/>
      <c r="T1068" s="1351"/>
      <c r="U1068" s="1351"/>
      <c r="V1068" s="1351"/>
      <c r="W1068" s="1351"/>
      <c r="X1068" s="1351"/>
      <c r="Y1068" s="1351"/>
      <c r="Z1068" s="1351"/>
      <c r="AA1068" s="1351"/>
      <c r="AB1068" s="1351"/>
      <c r="AC1068" s="1351"/>
      <c r="AD1068" s="1351"/>
      <c r="AE1068" s="1351"/>
      <c r="AF1068" s="1351"/>
      <c r="AG1068" s="1351"/>
      <c r="AH1068" s="1351"/>
      <c r="AI1068" s="1351"/>
      <c r="AJ1068" s="1351"/>
      <c r="AK1068" s="1351"/>
      <c r="AL1068" s="1351"/>
      <c r="AM1068" s="1351"/>
      <c r="AN1068" s="1351"/>
      <c r="AO1068" s="68"/>
      <c r="AP1068" s="68"/>
      <c r="AQ1068" s="68"/>
      <c r="AR1068" s="68"/>
      <c r="AS1068" s="68"/>
      <c r="AT1068" s="68"/>
      <c r="AU1068" s="68"/>
      <c r="AV1068" s="14"/>
      <c r="AW1068" s="14"/>
      <c r="AX1068" s="14"/>
      <c r="AY1068" s="14"/>
      <c r="BA1068" s="1179">
        <f>MAX($BA$1067-$BA$1064,0)</f>
        <v>8055127</v>
      </c>
      <c r="BB1068" s="3" t="s">
        <v>2423</v>
      </c>
    </row>
    <row r="1069" spans="1:56" ht="13" customHeight="1">
      <c r="A1069" s="88"/>
      <c r="B1069" s="1165"/>
      <c r="C1069" s="1165"/>
      <c r="D1069" s="1165"/>
      <c r="E1069" s="1165"/>
      <c r="F1069" s="1165"/>
      <c r="G1069" s="1351"/>
      <c r="H1069" s="1351"/>
      <c r="I1069" s="1351"/>
      <c r="J1069" s="1351"/>
      <c r="K1069" s="1351"/>
      <c r="L1069" s="1351"/>
      <c r="M1069" s="1351"/>
      <c r="N1069" s="1351"/>
      <c r="O1069" s="1351"/>
      <c r="P1069" s="1351"/>
      <c r="Q1069" s="1351"/>
      <c r="R1069" s="1351"/>
      <c r="S1069" s="1351"/>
      <c r="T1069" s="1351"/>
      <c r="U1069" s="1351"/>
      <c r="V1069" s="1351"/>
      <c r="W1069" s="1351"/>
      <c r="X1069" s="1351"/>
      <c r="Y1069" s="1351"/>
      <c r="Z1069" s="1351"/>
      <c r="AA1069" s="1351"/>
      <c r="AB1069" s="1351"/>
      <c r="AC1069" s="1351"/>
      <c r="AD1069" s="1351"/>
      <c r="AE1069" s="1351"/>
      <c r="AF1069" s="1351"/>
      <c r="AG1069" s="1351"/>
      <c r="AH1069" s="1351"/>
      <c r="AI1069" s="1351"/>
      <c r="AJ1069" s="1351"/>
      <c r="AK1069" s="1351"/>
      <c r="AL1069" s="1351"/>
      <c r="AM1069" s="1351"/>
      <c r="AN1069" s="1351"/>
      <c r="AO1069" s="1165"/>
      <c r="AP1069" s="1165"/>
      <c r="AQ1069" s="68"/>
      <c r="AR1069" s="68"/>
      <c r="AS1069" s="68"/>
      <c r="AT1069" s="68"/>
      <c r="AU1069" s="68"/>
      <c r="AV1069" s="68"/>
      <c r="AW1069" s="68"/>
      <c r="AX1069" s="68"/>
      <c r="AY1069" s="68"/>
    </row>
    <row r="1070" spans="1:56" ht="13" customHeight="1">
      <c r="A1070" s="1832" t="s">
        <v>793</v>
      </c>
      <c r="B1070" s="1832"/>
      <c r="C1070" s="1832"/>
      <c r="D1070" s="1832"/>
      <c r="E1070" s="1832"/>
      <c r="F1070" s="1832"/>
      <c r="G1070" s="1832"/>
      <c r="H1070" s="1832"/>
      <c r="I1070" s="1832"/>
      <c r="J1070" s="1832"/>
      <c r="K1070" s="1832"/>
      <c r="L1070" s="1832"/>
      <c r="M1070" s="1832"/>
      <c r="N1070" s="1832"/>
      <c r="O1070" s="1832"/>
      <c r="P1070" s="1832"/>
      <c r="Q1070" s="1832"/>
      <c r="R1070" s="1832"/>
      <c r="S1070" s="1832"/>
      <c r="T1070" s="1832"/>
      <c r="U1070" s="1832"/>
      <c r="V1070" s="1832"/>
      <c r="W1070" s="1832"/>
      <c r="X1070" s="1832"/>
      <c r="Y1070" s="1832"/>
      <c r="Z1070" s="1832"/>
      <c r="AA1070" s="1832"/>
      <c r="AB1070" s="1832"/>
      <c r="AC1070" s="1832"/>
      <c r="AD1070" s="1832"/>
      <c r="AE1070" s="1832"/>
      <c r="AF1070" s="1832"/>
      <c r="AG1070" s="1832"/>
      <c r="AH1070" s="1832"/>
      <c r="AI1070" s="1832"/>
      <c r="AJ1070" s="1832"/>
      <c r="AK1070" s="1832"/>
      <c r="AL1070" s="1832"/>
      <c r="AM1070" s="1832"/>
      <c r="AN1070" s="1832"/>
      <c r="AO1070" s="1832"/>
      <c r="AP1070" s="1832"/>
      <c r="AQ1070" s="1832"/>
      <c r="AR1070" s="13"/>
      <c r="AS1070" s="13"/>
      <c r="AT1070" s="13"/>
      <c r="AV1070" s="68"/>
      <c r="AW1070" s="68"/>
      <c r="AX1070" s="68"/>
      <c r="AY1070" s="68"/>
    </row>
    <row r="1071" spans="1:56" ht="13"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3" customHeight="1">
      <c r="A1072" s="57" t="s">
        <v>794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3" customHeight="1">
      <c r="A1073" s="198" t="s">
        <v>795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3" customHeight="1">
      <c r="A1074" s="1409" t="s">
        <v>590</v>
      </c>
      <c r="B1074" s="1409"/>
      <c r="C1074" s="1861">
        <v>1</v>
      </c>
      <c r="D1074" s="1861"/>
      <c r="E1074" s="14" t="s">
        <v>2189</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3" customHeight="1">
      <c r="A1075" s="198"/>
      <c r="B1075" s="67"/>
      <c r="C1075" s="1861"/>
      <c r="D1075" s="1861"/>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3" customHeight="1">
      <c r="A1076" s="1409" t="s">
        <v>590</v>
      </c>
      <c r="B1076" s="1409"/>
      <c r="C1076" s="1861">
        <v>2</v>
      </c>
      <c r="D1076" s="1861"/>
      <c r="E1076" s="1862" t="s">
        <v>2190</v>
      </c>
      <c r="F1076" s="1862"/>
      <c r="G1076" s="1862"/>
      <c r="H1076" s="1862"/>
      <c r="I1076" s="1862"/>
      <c r="J1076" s="1862"/>
      <c r="K1076" s="1862"/>
      <c r="L1076" s="1862"/>
      <c r="M1076" s="1862"/>
      <c r="N1076" s="1862"/>
      <c r="O1076" s="1862"/>
      <c r="P1076" s="1862"/>
      <c r="Q1076" s="1862"/>
      <c r="R1076" s="1862"/>
      <c r="S1076" s="1862"/>
      <c r="T1076" s="1862"/>
      <c r="U1076" s="1862"/>
      <c r="V1076" s="1862"/>
      <c r="W1076" s="1862"/>
      <c r="X1076" s="1862"/>
      <c r="Y1076" s="1862"/>
      <c r="Z1076" s="1862"/>
      <c r="AA1076" s="1862"/>
      <c r="AB1076" s="1862"/>
      <c r="AC1076" s="1862"/>
      <c r="AD1076" s="1862"/>
      <c r="AE1076" s="1862"/>
      <c r="AF1076" s="1862"/>
      <c r="AG1076" s="1862"/>
      <c r="AH1076" s="1862"/>
      <c r="AI1076" s="1862"/>
      <c r="AJ1076" s="1862"/>
      <c r="AK1076" s="1862"/>
      <c r="AL1076" s="1862"/>
      <c r="AM1076" s="1862"/>
      <c r="AN1076" s="1862"/>
      <c r="AO1076" s="1862"/>
      <c r="AP1076" s="1862"/>
      <c r="AQ1076" s="1862"/>
      <c r="AR1076" s="1862"/>
      <c r="AS1076" s="14"/>
      <c r="AT1076" s="14"/>
      <c r="AV1076" s="68"/>
      <c r="AW1076" s="68"/>
      <c r="AX1076" s="68"/>
      <c r="AY1076" s="68"/>
    </row>
    <row r="1077" spans="1:51" ht="13" customHeight="1">
      <c r="A1077" s="198"/>
      <c r="B1077" s="67"/>
      <c r="C1077" s="1861"/>
      <c r="D1077" s="1861"/>
      <c r="E1077" s="1862"/>
      <c r="F1077" s="1862"/>
      <c r="G1077" s="1862"/>
      <c r="H1077" s="1862"/>
      <c r="I1077" s="1862"/>
      <c r="J1077" s="1862"/>
      <c r="K1077" s="1862"/>
      <c r="L1077" s="1862"/>
      <c r="M1077" s="1862"/>
      <c r="N1077" s="1862"/>
      <c r="O1077" s="1862"/>
      <c r="P1077" s="1862"/>
      <c r="Q1077" s="1862"/>
      <c r="R1077" s="1862"/>
      <c r="S1077" s="1862"/>
      <c r="T1077" s="1862"/>
      <c r="U1077" s="1862"/>
      <c r="V1077" s="1862"/>
      <c r="W1077" s="1862"/>
      <c r="X1077" s="1862"/>
      <c r="Y1077" s="1862"/>
      <c r="Z1077" s="1862"/>
      <c r="AA1077" s="1862"/>
      <c r="AB1077" s="1862"/>
      <c r="AC1077" s="1862"/>
      <c r="AD1077" s="1862"/>
      <c r="AE1077" s="1862"/>
      <c r="AF1077" s="1862"/>
      <c r="AG1077" s="1862"/>
      <c r="AH1077" s="1862"/>
      <c r="AI1077" s="1862"/>
      <c r="AJ1077" s="1862"/>
      <c r="AK1077" s="1862"/>
      <c r="AL1077" s="1862"/>
      <c r="AM1077" s="1862"/>
      <c r="AN1077" s="1862"/>
      <c r="AO1077" s="1862"/>
      <c r="AP1077" s="1862"/>
      <c r="AQ1077" s="1862"/>
      <c r="AR1077" s="1862"/>
      <c r="AS1077" s="14"/>
      <c r="AT1077" s="14"/>
      <c r="AV1077" s="68"/>
      <c r="AW1077" s="68"/>
      <c r="AX1077" s="68"/>
      <c r="AY1077" s="68"/>
    </row>
    <row r="1078" spans="1:51" ht="13" customHeight="1">
      <c r="A1078" s="198"/>
      <c r="B1078" s="67"/>
      <c r="C1078" s="1861"/>
      <c r="D1078" s="1861"/>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3" customHeight="1">
      <c r="A1079" s="1409" t="s">
        <v>590</v>
      </c>
      <c r="B1079" s="1409"/>
      <c r="C1079" s="1399">
        <v>3</v>
      </c>
      <c r="D1079" s="1399"/>
      <c r="E1079" s="1332" t="s">
        <v>1078</v>
      </c>
      <c r="F1079" s="1332"/>
      <c r="G1079" s="1332"/>
      <c r="H1079" s="1332"/>
      <c r="I1079" s="1332"/>
      <c r="J1079" s="1332"/>
      <c r="K1079" s="1332"/>
      <c r="L1079" s="1332"/>
      <c r="M1079" s="1332"/>
      <c r="N1079" s="1332"/>
      <c r="O1079" s="1332"/>
      <c r="P1079" s="1332"/>
      <c r="Q1079" s="1332"/>
      <c r="R1079" s="1332"/>
      <c r="S1079" s="1332"/>
      <c r="T1079" s="1332"/>
      <c r="U1079" s="1332"/>
      <c r="V1079" s="1332"/>
      <c r="W1079" s="1332"/>
      <c r="X1079" s="1332"/>
      <c r="Y1079" s="1332"/>
      <c r="Z1079" s="1332"/>
      <c r="AA1079" s="1332"/>
      <c r="AB1079" s="1332"/>
      <c r="AC1079" s="1332"/>
      <c r="AD1079" s="1332"/>
      <c r="AE1079" s="1332"/>
      <c r="AF1079" s="1332"/>
      <c r="AG1079" s="1332"/>
      <c r="AH1079" s="1332"/>
      <c r="AI1079" s="1332"/>
      <c r="AJ1079" s="1332"/>
      <c r="AK1079" s="1332"/>
      <c r="AL1079" s="1332"/>
      <c r="AM1079" s="1332"/>
      <c r="AN1079" s="1332"/>
      <c r="AO1079" s="1332"/>
      <c r="AP1079" s="1332"/>
      <c r="AQ1079" s="1332"/>
      <c r="AR1079" s="1332"/>
      <c r="AS1079" s="14"/>
      <c r="AT1079" s="68"/>
      <c r="AV1079" s="68"/>
      <c r="AW1079" s="68"/>
      <c r="AX1079" s="68"/>
      <c r="AY1079" s="68"/>
    </row>
    <row r="1080" spans="1:51" ht="13" customHeight="1">
      <c r="A1080" s="1"/>
      <c r="B1080" s="1"/>
      <c r="C1080" s="1399"/>
      <c r="D1080" s="1399"/>
      <c r="E1080" s="1332"/>
      <c r="F1080" s="1332"/>
      <c r="G1080" s="1332"/>
      <c r="H1080" s="1332"/>
      <c r="I1080" s="1332"/>
      <c r="J1080" s="1332"/>
      <c r="K1080" s="1332"/>
      <c r="L1080" s="1332"/>
      <c r="M1080" s="1332"/>
      <c r="N1080" s="1332"/>
      <c r="O1080" s="1332"/>
      <c r="P1080" s="1332"/>
      <c r="Q1080" s="1332"/>
      <c r="R1080" s="1332"/>
      <c r="S1080" s="1332"/>
      <c r="T1080" s="1332"/>
      <c r="U1080" s="1332"/>
      <c r="V1080" s="1332"/>
      <c r="W1080" s="1332"/>
      <c r="X1080" s="1332"/>
      <c r="Y1080" s="1332"/>
      <c r="Z1080" s="1332"/>
      <c r="AA1080" s="1332"/>
      <c r="AB1080" s="1332"/>
      <c r="AC1080" s="1332"/>
      <c r="AD1080" s="1332"/>
      <c r="AE1080" s="1332"/>
      <c r="AF1080" s="1332"/>
      <c r="AG1080" s="1332"/>
      <c r="AH1080" s="1332"/>
      <c r="AI1080" s="1332"/>
      <c r="AJ1080" s="1332"/>
      <c r="AK1080" s="1332"/>
      <c r="AL1080" s="1332"/>
      <c r="AM1080" s="1332"/>
      <c r="AN1080" s="1332"/>
      <c r="AO1080" s="1332"/>
      <c r="AP1080" s="1332"/>
      <c r="AQ1080" s="1332"/>
      <c r="AR1080" s="1332"/>
      <c r="AS1080" s="14"/>
      <c r="AT1080" s="68"/>
      <c r="AV1080" s="68"/>
      <c r="AW1080" s="68"/>
      <c r="AX1080" s="68"/>
      <c r="AY1080" s="68"/>
    </row>
    <row r="1081" spans="1:51" ht="13" customHeight="1">
      <c r="A1081" s="1"/>
      <c r="B1081" s="1"/>
      <c r="C1081" s="1399"/>
      <c r="D1081" s="1399"/>
      <c r="E1081" s="1332"/>
      <c r="F1081" s="1332"/>
      <c r="G1081" s="1332"/>
      <c r="H1081" s="1332"/>
      <c r="I1081" s="1332"/>
      <c r="J1081" s="1332"/>
      <c r="K1081" s="1332"/>
      <c r="L1081" s="1332"/>
      <c r="M1081" s="1332"/>
      <c r="N1081" s="1332"/>
      <c r="O1081" s="1332"/>
      <c r="P1081" s="1332"/>
      <c r="Q1081" s="1332"/>
      <c r="R1081" s="1332"/>
      <c r="S1081" s="1332"/>
      <c r="T1081" s="1332"/>
      <c r="U1081" s="1332"/>
      <c r="V1081" s="1332"/>
      <c r="W1081" s="1332"/>
      <c r="X1081" s="1332"/>
      <c r="Y1081" s="1332"/>
      <c r="Z1081" s="1332"/>
      <c r="AA1081" s="1332"/>
      <c r="AB1081" s="1332"/>
      <c r="AC1081" s="1332"/>
      <c r="AD1081" s="1332"/>
      <c r="AE1081" s="1332"/>
      <c r="AF1081" s="1332"/>
      <c r="AG1081" s="1332"/>
      <c r="AH1081" s="1332"/>
      <c r="AI1081" s="1332"/>
      <c r="AJ1081" s="1332"/>
      <c r="AK1081" s="1332"/>
      <c r="AL1081" s="1332"/>
      <c r="AM1081" s="1332"/>
      <c r="AN1081" s="1332"/>
      <c r="AO1081" s="1332"/>
      <c r="AP1081" s="1332"/>
      <c r="AQ1081" s="1332"/>
      <c r="AR1081" s="1332"/>
      <c r="AS1081" s="14"/>
      <c r="AT1081" s="68"/>
      <c r="AV1081" s="68"/>
      <c r="AW1081" s="68"/>
      <c r="AX1081" s="68"/>
      <c r="AY1081" s="68"/>
    </row>
    <row r="1082" spans="1:51" ht="13" customHeight="1">
      <c r="A1082" s="1"/>
      <c r="B1082" s="1"/>
      <c r="C1082" s="1399"/>
      <c r="D1082" s="1399"/>
      <c r="E1082" s="1332"/>
      <c r="F1082" s="1332"/>
      <c r="G1082" s="1332"/>
      <c r="H1082" s="1332"/>
      <c r="I1082" s="1332"/>
      <c r="J1082" s="1332"/>
      <c r="K1082" s="1332"/>
      <c r="L1082" s="1332"/>
      <c r="M1082" s="1332"/>
      <c r="N1082" s="1332"/>
      <c r="O1082" s="1332"/>
      <c r="P1082" s="1332"/>
      <c r="Q1082" s="1332"/>
      <c r="R1082" s="1332"/>
      <c r="S1082" s="1332"/>
      <c r="T1082" s="1332"/>
      <c r="U1082" s="1332"/>
      <c r="V1082" s="1332"/>
      <c r="W1082" s="1332"/>
      <c r="X1082" s="1332"/>
      <c r="Y1082" s="1332"/>
      <c r="Z1082" s="1332"/>
      <c r="AA1082" s="1332"/>
      <c r="AB1082" s="1332"/>
      <c r="AC1082" s="1332"/>
      <c r="AD1082" s="1332"/>
      <c r="AE1082" s="1332"/>
      <c r="AF1082" s="1332"/>
      <c r="AG1082" s="1332"/>
      <c r="AH1082" s="1332"/>
      <c r="AI1082" s="1332"/>
      <c r="AJ1082" s="1332"/>
      <c r="AK1082" s="1332"/>
      <c r="AL1082" s="1332"/>
      <c r="AM1082" s="1332"/>
      <c r="AN1082" s="1332"/>
      <c r="AO1082" s="1332"/>
      <c r="AP1082" s="1332"/>
      <c r="AQ1082" s="1332"/>
      <c r="AR1082" s="1332"/>
      <c r="AS1082" s="14"/>
      <c r="AT1082" s="68"/>
      <c r="AV1082" s="68"/>
      <c r="AW1082" s="68"/>
      <c r="AX1082" s="68"/>
      <c r="AY1082" s="68"/>
    </row>
    <row r="1083" spans="1:51" ht="13" customHeight="1">
      <c r="A1083" s="2"/>
      <c r="B1083" s="25"/>
      <c r="C1083" s="1399"/>
      <c r="D1083" s="1399"/>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3" customHeight="1">
      <c r="A1084" s="1409" t="s">
        <v>590</v>
      </c>
      <c r="B1084" s="1409"/>
      <c r="C1084" s="1399">
        <v>4</v>
      </c>
      <c r="D1084" s="1399"/>
      <c r="E1084" s="1332" t="s">
        <v>1077</v>
      </c>
      <c r="F1084" s="1332"/>
      <c r="G1084" s="1332"/>
      <c r="H1084" s="1332"/>
      <c r="I1084" s="1332"/>
      <c r="J1084" s="1332"/>
      <c r="K1084" s="1332"/>
      <c r="L1084" s="1332"/>
      <c r="M1084" s="1332"/>
      <c r="N1084" s="1332"/>
      <c r="O1084" s="1332"/>
      <c r="P1084" s="1332"/>
      <c r="Q1084" s="1332"/>
      <c r="R1084" s="1332"/>
      <c r="S1084" s="1332"/>
      <c r="T1084" s="1332"/>
      <c r="U1084" s="1332"/>
      <c r="V1084" s="1332"/>
      <c r="W1084" s="1332"/>
      <c r="X1084" s="1332"/>
      <c r="Y1084" s="1332"/>
      <c r="Z1084" s="1332"/>
      <c r="AA1084" s="1332"/>
      <c r="AB1084" s="1332"/>
      <c r="AC1084" s="1332"/>
      <c r="AD1084" s="1332"/>
      <c r="AE1084" s="1332"/>
      <c r="AF1084" s="1332"/>
      <c r="AG1084" s="1332"/>
      <c r="AH1084" s="1332"/>
      <c r="AI1084" s="1332"/>
      <c r="AJ1084" s="1332"/>
      <c r="AK1084" s="1332"/>
      <c r="AL1084" s="1332"/>
      <c r="AM1084" s="1332"/>
      <c r="AN1084" s="1332"/>
      <c r="AO1084" s="1332"/>
      <c r="AP1084" s="1332"/>
      <c r="AQ1084" s="1332"/>
      <c r="AR1084" s="1332"/>
      <c r="AS1084" s="14"/>
      <c r="AT1084" s="68"/>
    </row>
    <row r="1085" spans="1:51" ht="13" customHeight="1">
      <c r="A1085" s="1"/>
      <c r="B1085" s="1"/>
      <c r="C1085" s="1399"/>
      <c r="D1085" s="1399"/>
      <c r="E1085" s="1332"/>
      <c r="F1085" s="1332"/>
      <c r="G1085" s="1332"/>
      <c r="H1085" s="1332"/>
      <c r="I1085" s="1332"/>
      <c r="J1085" s="1332"/>
      <c r="K1085" s="1332"/>
      <c r="L1085" s="1332"/>
      <c r="M1085" s="1332"/>
      <c r="N1085" s="1332"/>
      <c r="O1085" s="1332"/>
      <c r="P1085" s="1332"/>
      <c r="Q1085" s="1332"/>
      <c r="R1085" s="1332"/>
      <c r="S1085" s="1332"/>
      <c r="T1085" s="1332"/>
      <c r="U1085" s="1332"/>
      <c r="V1085" s="1332"/>
      <c r="W1085" s="1332"/>
      <c r="X1085" s="1332"/>
      <c r="Y1085" s="1332"/>
      <c r="Z1085" s="1332"/>
      <c r="AA1085" s="1332"/>
      <c r="AB1085" s="1332"/>
      <c r="AC1085" s="1332"/>
      <c r="AD1085" s="1332"/>
      <c r="AE1085" s="1332"/>
      <c r="AF1085" s="1332"/>
      <c r="AG1085" s="1332"/>
      <c r="AH1085" s="1332"/>
      <c r="AI1085" s="1332"/>
      <c r="AJ1085" s="1332"/>
      <c r="AK1085" s="1332"/>
      <c r="AL1085" s="1332"/>
      <c r="AM1085" s="1332"/>
      <c r="AN1085" s="1332"/>
      <c r="AO1085" s="1332"/>
      <c r="AP1085" s="1332"/>
      <c r="AQ1085" s="1332"/>
      <c r="AR1085" s="1332"/>
      <c r="AS1085" s="14"/>
      <c r="AT1085" s="68"/>
    </row>
    <row r="1086" spans="1:51" ht="13" customHeight="1">
      <c r="A1086" s="1"/>
      <c r="B1086" s="1"/>
      <c r="C1086" s="1399"/>
      <c r="D1086" s="1399"/>
      <c r="E1086" s="1332"/>
      <c r="F1086" s="1332"/>
      <c r="G1086" s="1332"/>
      <c r="H1086" s="1332"/>
      <c r="I1086" s="1332"/>
      <c r="J1086" s="1332"/>
      <c r="K1086" s="1332"/>
      <c r="L1086" s="1332"/>
      <c r="M1086" s="1332"/>
      <c r="N1086" s="1332"/>
      <c r="O1086" s="1332"/>
      <c r="P1086" s="1332"/>
      <c r="Q1086" s="1332"/>
      <c r="R1086" s="1332"/>
      <c r="S1086" s="1332"/>
      <c r="T1086" s="1332"/>
      <c r="U1086" s="1332"/>
      <c r="V1086" s="1332"/>
      <c r="W1086" s="1332"/>
      <c r="X1086" s="1332"/>
      <c r="Y1086" s="1332"/>
      <c r="Z1086" s="1332"/>
      <c r="AA1086" s="1332"/>
      <c r="AB1086" s="1332"/>
      <c r="AC1086" s="1332"/>
      <c r="AD1086" s="1332"/>
      <c r="AE1086" s="1332"/>
      <c r="AF1086" s="1332"/>
      <c r="AG1086" s="1332"/>
      <c r="AH1086" s="1332"/>
      <c r="AI1086" s="1332"/>
      <c r="AJ1086" s="1332"/>
      <c r="AK1086" s="1332"/>
      <c r="AL1086" s="1332"/>
      <c r="AM1086" s="1332"/>
      <c r="AN1086" s="1332"/>
      <c r="AO1086" s="1332"/>
      <c r="AP1086" s="1332"/>
      <c r="AQ1086" s="1332"/>
      <c r="AR1086" s="1332"/>
      <c r="AS1086" s="14"/>
      <c r="AT1086" s="68"/>
    </row>
    <row r="1087" spans="1:51" ht="13" customHeight="1">
      <c r="A1087" s="1"/>
      <c r="B1087" s="1"/>
      <c r="C1087" s="1399"/>
      <c r="D1087" s="1399"/>
      <c r="E1087" s="1332"/>
      <c r="F1087" s="1332"/>
      <c r="G1087" s="1332"/>
      <c r="H1087" s="1332"/>
      <c r="I1087" s="1332"/>
      <c r="J1087" s="1332"/>
      <c r="K1087" s="1332"/>
      <c r="L1087" s="1332"/>
      <c r="M1087" s="1332"/>
      <c r="N1087" s="1332"/>
      <c r="O1087" s="1332"/>
      <c r="P1087" s="1332"/>
      <c r="Q1087" s="1332"/>
      <c r="R1087" s="1332"/>
      <c r="S1087" s="1332"/>
      <c r="T1087" s="1332"/>
      <c r="U1087" s="1332"/>
      <c r="V1087" s="1332"/>
      <c r="W1087" s="1332"/>
      <c r="X1087" s="1332"/>
      <c r="Y1087" s="1332"/>
      <c r="Z1087" s="1332"/>
      <c r="AA1087" s="1332"/>
      <c r="AB1087" s="1332"/>
      <c r="AC1087" s="1332"/>
      <c r="AD1087" s="1332"/>
      <c r="AE1087" s="1332"/>
      <c r="AF1087" s="1332"/>
      <c r="AG1087" s="1332"/>
      <c r="AH1087" s="1332"/>
      <c r="AI1087" s="1332"/>
      <c r="AJ1087" s="1332"/>
      <c r="AK1087" s="1332"/>
      <c r="AL1087" s="1332"/>
      <c r="AM1087" s="1332"/>
      <c r="AN1087" s="1332"/>
      <c r="AO1087" s="1332"/>
      <c r="AP1087" s="1332"/>
      <c r="AQ1087" s="1332"/>
      <c r="AR1087" s="1332"/>
      <c r="AS1087" s="14"/>
      <c r="AT1087" s="68"/>
    </row>
    <row r="1088" spans="1:51" ht="13" customHeight="1">
      <c r="A1088" s="1"/>
      <c r="B1088" s="1"/>
      <c r="C1088" s="1399"/>
      <c r="D1088" s="1399"/>
      <c r="E1088" s="1332"/>
      <c r="F1088" s="1332"/>
      <c r="G1088" s="1332"/>
      <c r="H1088" s="1332"/>
      <c r="I1088" s="1332"/>
      <c r="J1088" s="1332"/>
      <c r="K1088" s="1332"/>
      <c r="L1088" s="1332"/>
      <c r="M1088" s="1332"/>
      <c r="N1088" s="1332"/>
      <c r="O1088" s="1332"/>
      <c r="P1088" s="1332"/>
      <c r="Q1088" s="1332"/>
      <c r="R1088" s="1332"/>
      <c r="S1088" s="1332"/>
      <c r="T1088" s="1332"/>
      <c r="U1088" s="1332"/>
      <c r="V1088" s="1332"/>
      <c r="W1088" s="1332"/>
      <c r="X1088" s="1332"/>
      <c r="Y1088" s="1332"/>
      <c r="Z1088" s="1332"/>
      <c r="AA1088" s="1332"/>
      <c r="AB1088" s="1332"/>
      <c r="AC1088" s="1332"/>
      <c r="AD1088" s="1332"/>
      <c r="AE1088" s="1332"/>
      <c r="AF1088" s="1332"/>
      <c r="AG1088" s="1332"/>
      <c r="AH1088" s="1332"/>
      <c r="AI1088" s="1332"/>
      <c r="AJ1088" s="1332"/>
      <c r="AK1088" s="1332"/>
      <c r="AL1088" s="1332"/>
      <c r="AM1088" s="1332"/>
      <c r="AN1088" s="1332"/>
      <c r="AO1088" s="1332"/>
      <c r="AP1088" s="1332"/>
      <c r="AQ1088" s="1332"/>
      <c r="AR1088" s="1332"/>
      <c r="AS1088" s="14"/>
      <c r="AT1088" s="68"/>
    </row>
    <row r="1089" spans="1:45" ht="13" customHeight="1">
      <c r="A1089" s="1"/>
      <c r="B1089" s="1"/>
      <c r="C1089" s="1399"/>
      <c r="D1089" s="1399"/>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3" customHeight="1">
      <c r="A1090" s="1409" t="s">
        <v>590</v>
      </c>
      <c r="B1090" s="1409"/>
      <c r="C1090" s="1399">
        <v>5</v>
      </c>
      <c r="D1090" s="1399"/>
      <c r="E1090" s="1332" t="s">
        <v>2193</v>
      </c>
      <c r="F1090" s="1332"/>
      <c r="G1090" s="1332"/>
      <c r="H1090" s="1332"/>
      <c r="I1090" s="1332"/>
      <c r="J1090" s="1332"/>
      <c r="K1090" s="1332"/>
      <c r="L1090" s="1332"/>
      <c r="M1090" s="1332"/>
      <c r="N1090" s="1332"/>
      <c r="O1090" s="1332"/>
      <c r="P1090" s="1332"/>
      <c r="Q1090" s="1332"/>
      <c r="R1090" s="1332"/>
      <c r="S1090" s="1332"/>
      <c r="T1090" s="1332"/>
      <c r="U1090" s="1332"/>
      <c r="V1090" s="1332"/>
      <c r="W1090" s="1332"/>
      <c r="X1090" s="1332"/>
      <c r="Y1090" s="1332"/>
      <c r="Z1090" s="1332"/>
      <c r="AA1090" s="1332"/>
      <c r="AB1090" s="1332"/>
      <c r="AC1090" s="1332"/>
      <c r="AD1090" s="1332"/>
      <c r="AE1090" s="1332"/>
      <c r="AF1090" s="1332"/>
      <c r="AG1090" s="1332"/>
      <c r="AH1090" s="1332"/>
      <c r="AI1090" s="1332"/>
      <c r="AJ1090" s="1332"/>
      <c r="AK1090" s="1332"/>
      <c r="AL1090" s="1332"/>
      <c r="AM1090" s="1332"/>
      <c r="AN1090" s="1332"/>
      <c r="AO1090" s="1332"/>
      <c r="AP1090" s="1332"/>
      <c r="AQ1090" s="1332"/>
      <c r="AR1090" s="1332"/>
      <c r="AS1090" s="14"/>
    </row>
    <row r="1091" spans="1:45" ht="13" customHeight="1">
      <c r="A1091" s="4"/>
      <c r="B1091" s="4"/>
      <c r="C1091" s="1399"/>
      <c r="D1091" s="1399"/>
      <c r="E1091" s="1332"/>
      <c r="F1091" s="1332"/>
      <c r="G1091" s="1332"/>
      <c r="H1091" s="1332"/>
      <c r="I1091" s="1332"/>
      <c r="J1091" s="1332"/>
      <c r="K1091" s="1332"/>
      <c r="L1091" s="1332"/>
      <c r="M1091" s="1332"/>
      <c r="N1091" s="1332"/>
      <c r="O1091" s="1332"/>
      <c r="P1091" s="1332"/>
      <c r="Q1091" s="1332"/>
      <c r="R1091" s="1332"/>
      <c r="S1091" s="1332"/>
      <c r="T1091" s="1332"/>
      <c r="U1091" s="1332"/>
      <c r="V1091" s="1332"/>
      <c r="W1091" s="1332"/>
      <c r="X1091" s="1332"/>
      <c r="Y1091" s="1332"/>
      <c r="Z1091" s="1332"/>
      <c r="AA1091" s="1332"/>
      <c r="AB1091" s="1332"/>
      <c r="AC1091" s="1332"/>
      <c r="AD1091" s="1332"/>
      <c r="AE1091" s="1332"/>
      <c r="AF1091" s="1332"/>
      <c r="AG1091" s="1332"/>
      <c r="AH1091" s="1332"/>
      <c r="AI1091" s="1332"/>
      <c r="AJ1091" s="1332"/>
      <c r="AK1091" s="1332"/>
      <c r="AL1091" s="1332"/>
      <c r="AM1091" s="1332"/>
      <c r="AN1091" s="1332"/>
      <c r="AO1091" s="1332"/>
      <c r="AP1091" s="1332"/>
      <c r="AQ1091" s="1332"/>
      <c r="AR1091" s="1332"/>
      <c r="AS1091" s="14"/>
    </row>
    <row r="1092" spans="1:45" ht="13" customHeight="1">
      <c r="A1092" s="4"/>
      <c r="B1092" s="4"/>
      <c r="C1092" s="1399"/>
      <c r="D1092" s="1399"/>
      <c r="E1092" s="1332"/>
      <c r="F1092" s="1332"/>
      <c r="G1092" s="1332"/>
      <c r="H1092" s="1332"/>
      <c r="I1092" s="1332"/>
      <c r="J1092" s="1332"/>
      <c r="K1092" s="1332"/>
      <c r="L1092" s="1332"/>
      <c r="M1092" s="1332"/>
      <c r="N1092" s="1332"/>
      <c r="O1092" s="1332"/>
      <c r="P1092" s="1332"/>
      <c r="Q1092" s="1332"/>
      <c r="R1092" s="1332"/>
      <c r="S1092" s="1332"/>
      <c r="T1092" s="1332"/>
      <c r="U1092" s="1332"/>
      <c r="V1092" s="1332"/>
      <c r="W1092" s="1332"/>
      <c r="X1092" s="1332"/>
      <c r="Y1092" s="1332"/>
      <c r="Z1092" s="1332"/>
      <c r="AA1092" s="1332"/>
      <c r="AB1092" s="1332"/>
      <c r="AC1092" s="1332"/>
      <c r="AD1092" s="1332"/>
      <c r="AE1092" s="1332"/>
      <c r="AF1092" s="1332"/>
      <c r="AG1092" s="1332"/>
      <c r="AH1092" s="1332"/>
      <c r="AI1092" s="1332"/>
      <c r="AJ1092" s="1332"/>
      <c r="AK1092" s="1332"/>
      <c r="AL1092" s="1332"/>
      <c r="AM1092" s="1332"/>
      <c r="AN1092" s="1332"/>
      <c r="AO1092" s="1332"/>
      <c r="AP1092" s="1332"/>
      <c r="AQ1092" s="1332"/>
      <c r="AR1092" s="1332"/>
      <c r="AS1092" s="14"/>
    </row>
    <row r="1093" spans="1:45" ht="13" customHeight="1">
      <c r="A1093" s="35"/>
      <c r="B1093" s="25"/>
      <c r="C1093" s="1399"/>
      <c r="D1093" s="1399"/>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3" customHeight="1">
      <c r="A1094" s="1409" t="s">
        <v>590</v>
      </c>
      <c r="B1094" s="1409"/>
      <c r="C1094" s="1399">
        <v>6</v>
      </c>
      <c r="D1094" s="1399"/>
      <c r="E1094" s="1332" t="s">
        <v>2194</v>
      </c>
      <c r="F1094" s="1332"/>
      <c r="G1094" s="1332"/>
      <c r="H1094" s="1332"/>
      <c r="I1094" s="1332"/>
      <c r="J1094" s="1332"/>
      <c r="K1094" s="1332"/>
      <c r="L1094" s="1332"/>
      <c r="M1094" s="1332"/>
      <c r="N1094" s="1332"/>
      <c r="O1094" s="1332"/>
      <c r="P1094" s="1332"/>
      <c r="Q1094" s="1332"/>
      <c r="R1094" s="1332"/>
      <c r="S1094" s="1332"/>
      <c r="T1094" s="1332"/>
      <c r="U1094" s="1332"/>
      <c r="V1094" s="1332"/>
      <c r="W1094" s="1332"/>
      <c r="X1094" s="1332"/>
      <c r="Y1094" s="1332"/>
      <c r="Z1094" s="1332"/>
      <c r="AA1094" s="1332"/>
      <c r="AB1094" s="1332"/>
      <c r="AC1094" s="1332"/>
      <c r="AD1094" s="1332"/>
      <c r="AE1094" s="1332"/>
      <c r="AF1094" s="1332"/>
      <c r="AG1094" s="1332"/>
      <c r="AH1094" s="1332"/>
      <c r="AI1094" s="1332"/>
      <c r="AJ1094" s="1332"/>
      <c r="AK1094" s="1332"/>
      <c r="AL1094" s="1332"/>
      <c r="AM1094" s="1332"/>
      <c r="AN1094" s="1332"/>
      <c r="AO1094" s="1332"/>
      <c r="AP1094" s="1332"/>
      <c r="AQ1094" s="1332"/>
      <c r="AR1094" s="1332"/>
      <c r="AS1094" s="14"/>
    </row>
    <row r="1095" spans="1:45" ht="13" customHeight="1">
      <c r="A1095" s="1"/>
      <c r="B1095" s="1"/>
      <c r="C1095" s="1"/>
      <c r="D1095" s="1"/>
      <c r="E1095" s="1332"/>
      <c r="F1095" s="1332"/>
      <c r="G1095" s="1332"/>
      <c r="H1095" s="1332"/>
      <c r="I1095" s="1332"/>
      <c r="J1095" s="1332"/>
      <c r="K1095" s="1332"/>
      <c r="L1095" s="1332"/>
      <c r="M1095" s="1332"/>
      <c r="N1095" s="1332"/>
      <c r="O1095" s="1332"/>
      <c r="P1095" s="1332"/>
      <c r="Q1095" s="1332"/>
      <c r="R1095" s="1332"/>
      <c r="S1095" s="1332"/>
      <c r="T1095" s="1332"/>
      <c r="U1095" s="1332"/>
      <c r="V1095" s="1332"/>
      <c r="W1095" s="1332"/>
      <c r="X1095" s="1332"/>
      <c r="Y1095" s="1332"/>
      <c r="Z1095" s="1332"/>
      <c r="AA1095" s="1332"/>
      <c r="AB1095" s="1332"/>
      <c r="AC1095" s="1332"/>
      <c r="AD1095" s="1332"/>
      <c r="AE1095" s="1332"/>
      <c r="AF1095" s="1332"/>
      <c r="AG1095" s="1332"/>
      <c r="AH1095" s="1332"/>
      <c r="AI1095" s="1332"/>
      <c r="AJ1095" s="1332"/>
      <c r="AK1095" s="1332"/>
      <c r="AL1095" s="1332"/>
      <c r="AM1095" s="1332"/>
      <c r="AN1095" s="1332"/>
      <c r="AO1095" s="1332"/>
      <c r="AP1095" s="1332"/>
      <c r="AQ1095" s="1332"/>
      <c r="AR1095" s="1332"/>
      <c r="AS1095" s="14"/>
    </row>
    <row r="1096" spans="1:45" ht="13" customHeight="1">
      <c r="A1096" s="1"/>
      <c r="B1096" s="1"/>
      <c r="C1096" s="1399"/>
      <c r="D1096" s="1399"/>
      <c r="E1096" s="1332"/>
      <c r="F1096" s="1332"/>
      <c r="G1096" s="1332"/>
      <c r="H1096" s="1332"/>
      <c r="I1096" s="1332"/>
      <c r="J1096" s="1332"/>
      <c r="K1096" s="1332"/>
      <c r="L1096" s="1332"/>
      <c r="M1096" s="1332"/>
      <c r="N1096" s="1332"/>
      <c r="O1096" s="1332"/>
      <c r="P1096" s="1332"/>
      <c r="Q1096" s="1332"/>
      <c r="R1096" s="1332"/>
      <c r="S1096" s="1332"/>
      <c r="T1096" s="1332"/>
      <c r="U1096" s="1332"/>
      <c r="V1096" s="1332"/>
      <c r="W1096" s="1332"/>
      <c r="X1096" s="1332"/>
      <c r="Y1096" s="1332"/>
      <c r="Z1096" s="1332"/>
      <c r="AA1096" s="1332"/>
      <c r="AB1096" s="1332"/>
      <c r="AC1096" s="1332"/>
      <c r="AD1096" s="1332"/>
      <c r="AE1096" s="1332"/>
      <c r="AF1096" s="1332"/>
      <c r="AG1096" s="1332"/>
      <c r="AH1096" s="1332"/>
      <c r="AI1096" s="1332"/>
      <c r="AJ1096" s="1332"/>
      <c r="AK1096" s="1332"/>
      <c r="AL1096" s="1332"/>
      <c r="AM1096" s="1332"/>
      <c r="AN1096" s="1332"/>
      <c r="AO1096" s="1332"/>
      <c r="AP1096" s="1332"/>
      <c r="AQ1096" s="1332"/>
      <c r="AR1096" s="1332"/>
      <c r="AS1096" s="14"/>
    </row>
    <row r="1097" spans="1:45" ht="13" customHeight="1">
      <c r="A1097" s="35"/>
      <c r="B1097" s="25"/>
      <c r="C1097" s="1399"/>
      <c r="D1097" s="1399"/>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3" customHeight="1">
      <c r="A1098" s="1409" t="s">
        <v>590</v>
      </c>
      <c r="B1098" s="1409"/>
      <c r="C1098" s="1399">
        <v>7</v>
      </c>
      <c r="D1098" s="1399"/>
      <c r="E1098" s="1332" t="s">
        <v>2092</v>
      </c>
      <c r="F1098" s="1332"/>
      <c r="G1098" s="1332"/>
      <c r="H1098" s="1332"/>
      <c r="I1098" s="1332"/>
      <c r="J1098" s="1332"/>
      <c r="K1098" s="1332"/>
      <c r="L1098" s="1332"/>
      <c r="M1098" s="1332"/>
      <c r="N1098" s="1332"/>
      <c r="O1098" s="1332"/>
      <c r="P1098" s="1332"/>
      <c r="Q1098" s="1332"/>
      <c r="R1098" s="1332"/>
      <c r="S1098" s="1332"/>
      <c r="T1098" s="1332"/>
      <c r="U1098" s="1332"/>
      <c r="V1098" s="1332"/>
      <c r="W1098" s="1332"/>
      <c r="X1098" s="1332"/>
      <c r="Y1098" s="1332"/>
      <c r="Z1098" s="1332"/>
      <c r="AA1098" s="1332"/>
      <c r="AB1098" s="1332"/>
      <c r="AC1098" s="1332"/>
      <c r="AD1098" s="1332"/>
      <c r="AE1098" s="1332"/>
      <c r="AF1098" s="1332"/>
      <c r="AG1098" s="1332"/>
      <c r="AH1098" s="1332"/>
      <c r="AI1098" s="1332"/>
      <c r="AJ1098" s="1332"/>
      <c r="AK1098" s="1332"/>
      <c r="AL1098" s="1332"/>
      <c r="AM1098" s="1332"/>
      <c r="AN1098" s="1332"/>
      <c r="AO1098" s="1332"/>
      <c r="AP1098" s="1332"/>
      <c r="AQ1098" s="1332"/>
      <c r="AR1098" s="1332"/>
      <c r="AS1098" s="14"/>
    </row>
    <row r="1099" spans="1:45" ht="13" customHeight="1">
      <c r="A1099" s="1"/>
      <c r="B1099" s="1"/>
      <c r="C1099" s="1399"/>
      <c r="D1099" s="1399"/>
      <c r="E1099" s="1332"/>
      <c r="F1099" s="1332"/>
      <c r="G1099" s="1332"/>
      <c r="H1099" s="1332"/>
      <c r="I1099" s="1332"/>
      <c r="J1099" s="1332"/>
      <c r="K1099" s="1332"/>
      <c r="L1099" s="1332"/>
      <c r="M1099" s="1332"/>
      <c r="N1099" s="1332"/>
      <c r="O1099" s="1332"/>
      <c r="P1099" s="1332"/>
      <c r="Q1099" s="1332"/>
      <c r="R1099" s="1332"/>
      <c r="S1099" s="1332"/>
      <c r="T1099" s="1332"/>
      <c r="U1099" s="1332"/>
      <c r="V1099" s="1332"/>
      <c r="W1099" s="1332"/>
      <c r="X1099" s="1332"/>
      <c r="Y1099" s="1332"/>
      <c r="Z1099" s="1332"/>
      <c r="AA1099" s="1332"/>
      <c r="AB1099" s="1332"/>
      <c r="AC1099" s="1332"/>
      <c r="AD1099" s="1332"/>
      <c r="AE1099" s="1332"/>
      <c r="AF1099" s="1332"/>
      <c r="AG1099" s="1332"/>
      <c r="AH1099" s="1332"/>
      <c r="AI1099" s="1332"/>
      <c r="AJ1099" s="1332"/>
      <c r="AK1099" s="1332"/>
      <c r="AL1099" s="1332"/>
      <c r="AM1099" s="1332"/>
      <c r="AN1099" s="1332"/>
      <c r="AO1099" s="1332"/>
      <c r="AP1099" s="1332"/>
      <c r="AQ1099" s="1332"/>
      <c r="AR1099" s="1332"/>
      <c r="AS1099" s="14"/>
    </row>
    <row r="1100" spans="1:45" ht="13" customHeight="1">
      <c r="A1100" s="1"/>
      <c r="B1100" s="1"/>
      <c r="C1100" s="1399"/>
      <c r="D1100" s="1399"/>
      <c r="E1100" s="1332"/>
      <c r="F1100" s="1332"/>
      <c r="G1100" s="1332"/>
      <c r="H1100" s="1332"/>
      <c r="I1100" s="1332"/>
      <c r="J1100" s="1332"/>
      <c r="K1100" s="1332"/>
      <c r="L1100" s="1332"/>
      <c r="M1100" s="1332"/>
      <c r="N1100" s="1332"/>
      <c r="O1100" s="1332"/>
      <c r="P1100" s="1332"/>
      <c r="Q1100" s="1332"/>
      <c r="R1100" s="1332"/>
      <c r="S1100" s="1332"/>
      <c r="T1100" s="1332"/>
      <c r="U1100" s="1332"/>
      <c r="V1100" s="1332"/>
      <c r="W1100" s="1332"/>
      <c r="X1100" s="1332"/>
      <c r="Y1100" s="1332"/>
      <c r="Z1100" s="1332"/>
      <c r="AA1100" s="1332"/>
      <c r="AB1100" s="1332"/>
      <c r="AC1100" s="1332"/>
      <c r="AD1100" s="1332"/>
      <c r="AE1100" s="1332"/>
      <c r="AF1100" s="1332"/>
      <c r="AG1100" s="1332"/>
      <c r="AH1100" s="1332"/>
      <c r="AI1100" s="1332"/>
      <c r="AJ1100" s="1332"/>
      <c r="AK1100" s="1332"/>
      <c r="AL1100" s="1332"/>
      <c r="AM1100" s="1332"/>
      <c r="AN1100" s="1332"/>
      <c r="AO1100" s="1332"/>
      <c r="AP1100" s="1332"/>
      <c r="AQ1100" s="1332"/>
      <c r="AR1100" s="1332"/>
      <c r="AS1100" s="14"/>
    </row>
    <row r="1101" spans="1:45" ht="13" customHeight="1">
      <c r="A1101" s="1"/>
      <c r="B1101" s="1"/>
      <c r="C1101" s="1399"/>
      <c r="D1101" s="1399"/>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3" customHeight="1">
      <c r="A1102" s="35"/>
      <c r="B1102" s="25"/>
      <c r="C1102" s="1399"/>
      <c r="D1102" s="1399"/>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3" customHeight="1">
      <c r="A1103" s="1409" t="s">
        <v>590</v>
      </c>
      <c r="B1103" s="1409"/>
      <c r="C1103" s="1399">
        <v>8</v>
      </c>
      <c r="D1103" s="1399"/>
      <c r="E1103" s="1332" t="s">
        <v>1071</v>
      </c>
      <c r="F1103" s="1332"/>
      <c r="G1103" s="1332"/>
      <c r="H1103" s="1332"/>
      <c r="I1103" s="1332"/>
      <c r="J1103" s="1332"/>
      <c r="K1103" s="1332"/>
      <c r="L1103" s="1332"/>
      <c r="M1103" s="1332"/>
      <c r="N1103" s="1332"/>
      <c r="O1103" s="1332"/>
      <c r="P1103" s="1332"/>
      <c r="Q1103" s="1332"/>
      <c r="R1103" s="1332"/>
      <c r="S1103" s="1332"/>
      <c r="T1103" s="1332"/>
      <c r="U1103" s="1332"/>
      <c r="V1103" s="1332"/>
      <c r="W1103" s="1332"/>
      <c r="X1103" s="1332"/>
      <c r="Y1103" s="1332"/>
      <c r="Z1103" s="1332"/>
      <c r="AA1103" s="1332"/>
      <c r="AB1103" s="1332"/>
      <c r="AC1103" s="1332"/>
      <c r="AD1103" s="1332"/>
      <c r="AE1103" s="1332"/>
      <c r="AF1103" s="1332"/>
      <c r="AG1103" s="1332"/>
      <c r="AH1103" s="1332"/>
      <c r="AI1103" s="1332"/>
      <c r="AJ1103" s="1332"/>
      <c r="AK1103" s="1332"/>
      <c r="AL1103" s="1332"/>
      <c r="AM1103" s="1332"/>
      <c r="AN1103" s="1332"/>
      <c r="AO1103" s="1332"/>
      <c r="AP1103" s="1332"/>
      <c r="AQ1103" s="1332"/>
      <c r="AR1103" s="1332"/>
    </row>
    <row r="1104" spans="1:45" ht="13" customHeight="1">
      <c r="A1104" s="35"/>
      <c r="B1104" s="25"/>
      <c r="C1104" s="1399"/>
      <c r="D1104" s="1399"/>
      <c r="E1104" s="1332"/>
      <c r="F1104" s="1332"/>
      <c r="G1104" s="1332"/>
      <c r="H1104" s="1332"/>
      <c r="I1104" s="1332"/>
      <c r="J1104" s="1332"/>
      <c r="K1104" s="1332"/>
      <c r="L1104" s="1332"/>
      <c r="M1104" s="1332"/>
      <c r="N1104" s="1332"/>
      <c r="O1104" s="1332"/>
      <c r="P1104" s="1332"/>
      <c r="Q1104" s="1332"/>
      <c r="R1104" s="1332"/>
      <c r="S1104" s="1332"/>
      <c r="T1104" s="1332"/>
      <c r="U1104" s="1332"/>
      <c r="V1104" s="1332"/>
      <c r="W1104" s="1332"/>
      <c r="X1104" s="1332"/>
      <c r="Y1104" s="1332"/>
      <c r="Z1104" s="1332"/>
      <c r="AA1104" s="1332"/>
      <c r="AB1104" s="1332"/>
      <c r="AC1104" s="1332"/>
      <c r="AD1104" s="1332"/>
      <c r="AE1104" s="1332"/>
      <c r="AF1104" s="1332"/>
      <c r="AG1104" s="1332"/>
      <c r="AH1104" s="1332"/>
      <c r="AI1104" s="1332"/>
      <c r="AJ1104" s="1332"/>
      <c r="AK1104" s="1332"/>
      <c r="AL1104" s="1332"/>
      <c r="AM1104" s="1332"/>
      <c r="AN1104" s="1332"/>
      <c r="AO1104" s="1332"/>
      <c r="AP1104" s="1332"/>
      <c r="AQ1104" s="1332"/>
      <c r="AR1104" s="1332"/>
    </row>
    <row r="1105" spans="1:44" ht="13" customHeight="1">
      <c r="A1105" s="35"/>
      <c r="B1105" s="25"/>
      <c r="C1105" s="1399"/>
      <c r="D1105" s="1399"/>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3" customHeight="1">
      <c r="A1106" s="1409" t="s">
        <v>590</v>
      </c>
      <c r="B1106" s="1409"/>
      <c r="C1106" s="1861">
        <v>9</v>
      </c>
      <c r="D1106" s="1861"/>
      <c r="E1106" s="1332" t="s">
        <v>1073</v>
      </c>
      <c r="F1106" s="1332"/>
      <c r="G1106" s="1332"/>
      <c r="H1106" s="1332"/>
      <c r="I1106" s="1332"/>
      <c r="J1106" s="1332"/>
      <c r="K1106" s="1332"/>
      <c r="L1106" s="1332"/>
      <c r="M1106" s="1332"/>
      <c r="N1106" s="1332"/>
      <c r="O1106" s="1332"/>
      <c r="P1106" s="1332"/>
      <c r="Q1106" s="1332"/>
      <c r="R1106" s="1332"/>
      <c r="S1106" s="1332"/>
      <c r="T1106" s="1332"/>
      <c r="U1106" s="1332"/>
      <c r="V1106" s="1332"/>
      <c r="W1106" s="1332"/>
      <c r="X1106" s="1332"/>
      <c r="Y1106" s="1332"/>
      <c r="Z1106" s="1332"/>
      <c r="AA1106" s="1332"/>
      <c r="AB1106" s="1332"/>
      <c r="AC1106" s="1332"/>
      <c r="AD1106" s="1332"/>
      <c r="AE1106" s="1332"/>
      <c r="AF1106" s="1332"/>
      <c r="AG1106" s="1332"/>
      <c r="AH1106" s="1332"/>
      <c r="AI1106" s="1332"/>
      <c r="AJ1106" s="1332"/>
      <c r="AK1106" s="1332"/>
      <c r="AL1106" s="1332"/>
      <c r="AM1106" s="1332"/>
      <c r="AN1106" s="1332"/>
      <c r="AO1106" s="1332"/>
      <c r="AP1106" s="1332"/>
      <c r="AQ1106" s="1332"/>
      <c r="AR1106" s="1332"/>
    </row>
    <row r="1107" spans="1:44" ht="13" customHeight="1">
      <c r="A1107" s="1"/>
      <c r="B1107" s="1"/>
      <c r="C1107" s="1861"/>
      <c r="D1107" s="1861"/>
      <c r="E1107" s="1332"/>
      <c r="F1107" s="1332"/>
      <c r="G1107" s="1332"/>
      <c r="H1107" s="1332"/>
      <c r="I1107" s="1332"/>
      <c r="J1107" s="1332"/>
      <c r="K1107" s="1332"/>
      <c r="L1107" s="1332"/>
      <c r="M1107" s="1332"/>
      <c r="N1107" s="1332"/>
      <c r="O1107" s="1332"/>
      <c r="P1107" s="1332"/>
      <c r="Q1107" s="1332"/>
      <c r="R1107" s="1332"/>
      <c r="S1107" s="1332"/>
      <c r="T1107" s="1332"/>
      <c r="U1107" s="1332"/>
      <c r="V1107" s="1332"/>
      <c r="W1107" s="1332"/>
      <c r="X1107" s="1332"/>
      <c r="Y1107" s="1332"/>
      <c r="Z1107" s="1332"/>
      <c r="AA1107" s="1332"/>
      <c r="AB1107" s="1332"/>
      <c r="AC1107" s="1332"/>
      <c r="AD1107" s="1332"/>
      <c r="AE1107" s="1332"/>
      <c r="AF1107" s="1332"/>
      <c r="AG1107" s="1332"/>
      <c r="AH1107" s="1332"/>
      <c r="AI1107" s="1332"/>
      <c r="AJ1107" s="1332"/>
      <c r="AK1107" s="1332"/>
      <c r="AL1107" s="1332"/>
      <c r="AM1107" s="1332"/>
      <c r="AN1107" s="1332"/>
      <c r="AO1107" s="1332"/>
      <c r="AP1107" s="1332"/>
      <c r="AQ1107" s="1332"/>
      <c r="AR1107" s="1332"/>
    </row>
    <row r="1108" spans="1:44" ht="13" customHeight="1">
      <c r="A1108" s="35"/>
      <c r="B1108" s="25"/>
      <c r="C1108" s="1861"/>
      <c r="D1108" s="1861"/>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3" customHeight="1">
      <c r="A1109" s="1409" t="s">
        <v>590</v>
      </c>
      <c r="B1109" s="1409"/>
      <c r="C1109" s="1861">
        <v>10</v>
      </c>
      <c r="D1109" s="1861"/>
      <c r="E1109" s="1334" t="s">
        <v>2191</v>
      </c>
      <c r="F1109" s="1334"/>
      <c r="G1109" s="1334"/>
      <c r="H1109" s="1334"/>
      <c r="I1109" s="1334"/>
      <c r="J1109" s="1334"/>
      <c r="K1109" s="1334"/>
      <c r="L1109" s="1334"/>
      <c r="M1109" s="1334"/>
      <c r="N1109" s="1334"/>
      <c r="O1109" s="1334"/>
      <c r="P1109" s="1334"/>
      <c r="Q1109" s="1334"/>
      <c r="R1109" s="1334"/>
      <c r="S1109" s="1334"/>
      <c r="T1109" s="1334"/>
      <c r="U1109" s="1334"/>
      <c r="V1109" s="1334"/>
      <c r="W1109" s="1334"/>
      <c r="X1109" s="1334"/>
      <c r="Y1109" s="1334"/>
      <c r="Z1109" s="1334"/>
      <c r="AA1109" s="1334"/>
      <c r="AB1109" s="1334"/>
      <c r="AC1109" s="1334"/>
      <c r="AD1109" s="1334"/>
      <c r="AE1109" s="1334"/>
      <c r="AF1109" s="1334"/>
      <c r="AG1109" s="1334"/>
      <c r="AH1109" s="1334"/>
      <c r="AI1109" s="1334"/>
      <c r="AJ1109" s="1334"/>
      <c r="AK1109" s="1334"/>
      <c r="AL1109" s="1334"/>
      <c r="AM1109" s="1334"/>
      <c r="AN1109" s="1334"/>
      <c r="AO1109" s="1334"/>
      <c r="AP1109" s="1334"/>
      <c r="AQ1109" s="1334"/>
      <c r="AR1109" s="1334"/>
    </row>
    <row r="1110" spans="1:44" ht="13" customHeight="1">
      <c r="A1110" s="1"/>
      <c r="B1110" s="1"/>
      <c r="C1110" s="199"/>
      <c r="D1110" s="1154"/>
      <c r="E1110" s="1334"/>
      <c r="F1110" s="1334"/>
      <c r="G1110" s="1334"/>
      <c r="H1110" s="1334"/>
      <c r="I1110" s="1334"/>
      <c r="J1110" s="1334"/>
      <c r="K1110" s="1334"/>
      <c r="L1110" s="1334"/>
      <c r="M1110" s="1334"/>
      <c r="N1110" s="1334"/>
      <c r="O1110" s="1334"/>
      <c r="P1110" s="1334"/>
      <c r="Q1110" s="1334"/>
      <c r="R1110" s="1334"/>
      <c r="S1110" s="1334"/>
      <c r="T1110" s="1334"/>
      <c r="U1110" s="1334"/>
      <c r="V1110" s="1334"/>
      <c r="W1110" s="1334"/>
      <c r="X1110" s="1334"/>
      <c r="Y1110" s="1334"/>
      <c r="Z1110" s="1334"/>
      <c r="AA1110" s="1334"/>
      <c r="AB1110" s="1334"/>
      <c r="AC1110" s="1334"/>
      <c r="AD1110" s="1334"/>
      <c r="AE1110" s="1334"/>
      <c r="AF1110" s="1334"/>
      <c r="AG1110" s="1334"/>
      <c r="AH1110" s="1334"/>
      <c r="AI1110" s="1334"/>
      <c r="AJ1110" s="1334"/>
      <c r="AK1110" s="1334"/>
      <c r="AL1110" s="1334"/>
      <c r="AM1110" s="1334"/>
      <c r="AN1110" s="1334"/>
      <c r="AO1110" s="1334"/>
      <c r="AP1110" s="1334"/>
      <c r="AQ1110" s="1334"/>
      <c r="AR1110" s="1334"/>
    </row>
    <row r="1111" spans="1:44" ht="13"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3" customHeight="1">
      <c r="A1112" s="1409" t="s">
        <v>590</v>
      </c>
      <c r="B1112" s="1409"/>
      <c r="C1112" s="1861">
        <v>11</v>
      </c>
      <c r="D1112" s="1861"/>
      <c r="E1112" s="1334" t="s">
        <v>2192</v>
      </c>
      <c r="F1112" s="1334"/>
      <c r="G1112" s="1334"/>
      <c r="H1112" s="1334"/>
      <c r="I1112" s="1334"/>
      <c r="J1112" s="1334"/>
      <c r="K1112" s="1334"/>
      <c r="L1112" s="1334"/>
      <c r="M1112" s="1334"/>
      <c r="N1112" s="1334"/>
      <c r="O1112" s="1334"/>
      <c r="P1112" s="1334"/>
      <c r="Q1112" s="1334"/>
      <c r="R1112" s="1334"/>
      <c r="S1112" s="1334"/>
      <c r="T1112" s="1334"/>
      <c r="U1112" s="1334"/>
      <c r="V1112" s="1334"/>
      <c r="W1112" s="1334"/>
      <c r="X1112" s="1334"/>
      <c r="Y1112" s="1334"/>
      <c r="Z1112" s="1334"/>
      <c r="AA1112" s="1334"/>
      <c r="AB1112" s="1334"/>
      <c r="AC1112" s="1334"/>
      <c r="AD1112" s="1334"/>
      <c r="AE1112" s="1334"/>
      <c r="AF1112" s="1334"/>
      <c r="AG1112" s="1334"/>
      <c r="AH1112" s="1334"/>
      <c r="AI1112" s="1334"/>
      <c r="AJ1112" s="1334"/>
      <c r="AK1112" s="1334"/>
      <c r="AL1112" s="1334"/>
      <c r="AM1112" s="1334"/>
      <c r="AN1112" s="1334"/>
      <c r="AO1112" s="1334"/>
      <c r="AP1112" s="1334"/>
      <c r="AQ1112" s="1334"/>
      <c r="AR1112" s="1334"/>
    </row>
    <row r="1113" spans="1:44" ht="13" customHeight="1">
      <c r="A1113" s="1"/>
      <c r="B1113" s="1"/>
      <c r="C1113" s="199"/>
      <c r="D1113" s="1154"/>
      <c r="E1113" s="1334"/>
      <c r="F1113" s="1334"/>
      <c r="G1113" s="1334"/>
      <c r="H1113" s="1334"/>
      <c r="I1113" s="1334"/>
      <c r="J1113" s="1334"/>
      <c r="K1113" s="1334"/>
      <c r="L1113" s="1334"/>
      <c r="M1113" s="1334"/>
      <c r="N1113" s="1334"/>
      <c r="O1113" s="1334"/>
      <c r="P1113" s="1334"/>
      <c r="Q1113" s="1334"/>
      <c r="R1113" s="1334"/>
      <c r="S1113" s="1334"/>
      <c r="T1113" s="1334"/>
      <c r="U1113" s="1334"/>
      <c r="V1113" s="1334"/>
      <c r="W1113" s="1334"/>
      <c r="X1113" s="1334"/>
      <c r="Y1113" s="1334"/>
      <c r="Z1113" s="1334"/>
      <c r="AA1113" s="1334"/>
      <c r="AB1113" s="1334"/>
      <c r="AC1113" s="1334"/>
      <c r="AD1113" s="1334"/>
      <c r="AE1113" s="1334"/>
      <c r="AF1113" s="1334"/>
      <c r="AG1113" s="1334"/>
      <c r="AH1113" s="1334"/>
      <c r="AI1113" s="1334"/>
      <c r="AJ1113" s="1334"/>
      <c r="AK1113" s="1334"/>
      <c r="AL1113" s="1334"/>
      <c r="AM1113" s="1334"/>
      <c r="AN1113" s="1334"/>
      <c r="AO1113" s="1334"/>
      <c r="AP1113" s="1334"/>
      <c r="AQ1113" s="1334"/>
      <c r="AR1113" s="1334"/>
    </row>
    <row r="1114" spans="1:44" ht="13"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3"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3"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3"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3"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3"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3"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3"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3"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3"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3"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3"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3"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3"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3"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3"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3"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3"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409" t="s">
        <v>590</v>
      </c>
      <c r="B1134" s="1409"/>
      <c r="C1134" s="199">
        <v>9</v>
      </c>
      <c r="D1134" s="1266" t="s">
        <v>1072</v>
      </c>
      <c r="E1134" s="1266"/>
      <c r="F1134" s="1266"/>
      <c r="G1134" s="1266"/>
      <c r="H1134" s="1266"/>
      <c r="I1134" s="1266"/>
      <c r="J1134" s="1266"/>
      <c r="K1134" s="1266"/>
      <c r="L1134" s="1266"/>
      <c r="M1134" s="1266"/>
      <c r="N1134" s="1266"/>
      <c r="O1134" s="1266"/>
      <c r="P1134" s="1266"/>
      <c r="Q1134" s="1266"/>
      <c r="R1134" s="1266"/>
      <c r="S1134" s="1266"/>
      <c r="T1134" s="1266"/>
      <c r="U1134" s="1266"/>
      <c r="V1134" s="1266"/>
      <c r="W1134" s="1266"/>
      <c r="X1134" s="1266"/>
      <c r="Y1134" s="1266"/>
      <c r="Z1134" s="1266"/>
      <c r="AA1134" s="1266"/>
      <c r="AB1134" s="1266"/>
      <c r="AC1134" s="1266"/>
      <c r="AD1134" s="1266"/>
      <c r="AE1134" s="1266"/>
      <c r="AF1134" s="1266"/>
      <c r="AG1134" s="1266"/>
      <c r="AH1134" s="1266"/>
      <c r="AI1134" s="1266"/>
      <c r="AJ1134" s="1266"/>
      <c r="AK1134" s="1266"/>
    </row>
    <row r="1135" spans="1:37" ht="0" hidden="1" customHeight="1">
      <c r="A1135" s="35"/>
      <c r="B1135" s="25"/>
      <c r="C1135" s="199"/>
      <c r="D1135" s="1266"/>
      <c r="E1135" s="1266"/>
      <c r="F1135" s="1266"/>
      <c r="G1135" s="1266"/>
      <c r="H1135" s="1266"/>
      <c r="I1135" s="1266"/>
      <c r="J1135" s="1266"/>
      <c r="K1135" s="1266"/>
      <c r="L1135" s="1266"/>
      <c r="M1135" s="1266"/>
      <c r="N1135" s="1266"/>
      <c r="O1135" s="1266"/>
      <c r="P1135" s="1266"/>
      <c r="Q1135" s="1266"/>
      <c r="R1135" s="1266"/>
      <c r="S1135" s="1266"/>
      <c r="T1135" s="1266"/>
      <c r="U1135" s="1266"/>
      <c r="V1135" s="1266"/>
      <c r="W1135" s="1266"/>
      <c r="X1135" s="1266"/>
      <c r="Y1135" s="1266"/>
      <c r="Z1135" s="1266"/>
      <c r="AA1135" s="1266"/>
      <c r="AB1135" s="1266"/>
      <c r="AC1135" s="1266"/>
      <c r="AD1135" s="1266"/>
      <c r="AE1135" s="1266"/>
      <c r="AF1135" s="1266"/>
      <c r="AG1135" s="1266"/>
      <c r="AH1135" s="1266"/>
      <c r="AI1135" s="1266"/>
      <c r="AJ1135" s="1266"/>
      <c r="AK1135" s="1266"/>
    </row>
    <row r="1136" spans="1:37" ht="0" hidden="1" customHeight="1">
      <c r="D1136" s="1266"/>
      <c r="E1136" s="1266"/>
      <c r="F1136" s="1266"/>
      <c r="G1136" s="1266"/>
      <c r="H1136" s="1266"/>
      <c r="I1136" s="1266"/>
      <c r="J1136" s="1266"/>
      <c r="K1136" s="1266"/>
      <c r="L1136" s="1266"/>
      <c r="M1136" s="1266"/>
      <c r="N1136" s="1266"/>
      <c r="O1136" s="1266"/>
      <c r="P1136" s="1266"/>
      <c r="Q1136" s="1266"/>
      <c r="R1136" s="1266"/>
      <c r="S1136" s="1266"/>
      <c r="T1136" s="1266"/>
      <c r="U1136" s="1266"/>
      <c r="V1136" s="1266"/>
      <c r="W1136" s="1266"/>
      <c r="X1136" s="1266"/>
      <c r="Y1136" s="1266"/>
      <c r="Z1136" s="1266"/>
      <c r="AA1136" s="1266"/>
      <c r="AB1136" s="1266"/>
      <c r="AC1136" s="1266"/>
      <c r="AD1136" s="1266"/>
      <c r="AE1136" s="1266"/>
      <c r="AF1136" s="1266"/>
      <c r="AG1136" s="1266"/>
      <c r="AH1136" s="1266"/>
      <c r="AI1136" s="1266"/>
      <c r="AJ1136" s="1266"/>
      <c r="AK1136" s="1266"/>
    </row>
    <row r="1146" ht="15" hidden="1" customHeight="1"/>
    <row r="2026" ht="10"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3">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AC746:AG746"/>
    <mergeCell ref="AK758:AO758"/>
    <mergeCell ref="G747:J747"/>
    <mergeCell ref="X749:AB749"/>
    <mergeCell ref="AH758:AJ758"/>
    <mergeCell ref="B760:F760"/>
    <mergeCell ref="B759:F759"/>
    <mergeCell ref="B750:F750"/>
    <mergeCell ref="B751:F751"/>
    <mergeCell ref="B744:F744"/>
    <mergeCell ref="AC736:AG736"/>
    <mergeCell ref="AC740:AG740"/>
    <mergeCell ref="M632:P634"/>
    <mergeCell ref="AO638:AS638"/>
    <mergeCell ref="Z609:AK609"/>
    <mergeCell ref="W479:Y479"/>
    <mergeCell ref="AK635:AN635"/>
    <mergeCell ref="AM573:AS573"/>
    <mergeCell ref="AE571:AH571"/>
    <mergeCell ref="AM571:AS571"/>
    <mergeCell ref="AO636:AS636"/>
    <mergeCell ref="AG615:AH615"/>
    <mergeCell ref="AO632:AS634"/>
    <mergeCell ref="AC638:AE638"/>
    <mergeCell ref="AI567:AL567"/>
    <mergeCell ref="AC511:AF511"/>
    <mergeCell ref="AC521:AF521"/>
    <mergeCell ref="Z619:AK619"/>
    <mergeCell ref="AC526:AF526"/>
    <mergeCell ref="AH512:AK512"/>
    <mergeCell ref="AM572:AS572"/>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AC524:AF524"/>
    <mergeCell ref="AI621:AK621"/>
    <mergeCell ref="AA622:AK622"/>
    <mergeCell ref="AC632:AE634"/>
    <mergeCell ref="AH517:AK517"/>
    <mergeCell ref="AM566:AS566"/>
    <mergeCell ref="AM574:AS574"/>
    <mergeCell ref="AE564:AH564"/>
    <mergeCell ref="AE567:AH567"/>
    <mergeCell ref="M573:P573"/>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694:AK694"/>
    <mergeCell ref="Z683:AK683"/>
    <mergeCell ref="EH655:EL655"/>
    <mergeCell ref="EM655:EQ655"/>
    <mergeCell ref="DX656:EB656"/>
    <mergeCell ref="P430:R430"/>
    <mergeCell ref="C642:L642"/>
    <mergeCell ref="AK636:AN636"/>
    <mergeCell ref="DZ761:ED761"/>
    <mergeCell ref="DE782:DI782"/>
    <mergeCell ref="DZ746:ED746"/>
    <mergeCell ref="EE746:EI746"/>
    <mergeCell ref="EJ746:EN746"/>
    <mergeCell ref="DE743:DI743"/>
    <mergeCell ref="EW660:FA660"/>
    <mergeCell ref="ER665:EV665"/>
    <mergeCell ref="EW665:FA665"/>
    <mergeCell ref="EH667:EL667"/>
    <mergeCell ref="EC669:EG669"/>
    <mergeCell ref="EH669:EL669"/>
    <mergeCell ref="EM659:EQ659"/>
    <mergeCell ref="DO746:DS746"/>
    <mergeCell ref="EZ728:FD728"/>
    <mergeCell ref="DU744:DY744"/>
    <mergeCell ref="EE745:EI745"/>
    <mergeCell ref="EJ745:EN745"/>
    <mergeCell ref="ET742:EX742"/>
    <mergeCell ref="DZ744:ED744"/>
    <mergeCell ref="EE744:EI744"/>
    <mergeCell ref="EJ744:EN744"/>
    <mergeCell ref="ET743:EX743"/>
    <mergeCell ref="ET739:EX739"/>
    <mergeCell ref="EJ735:EN735"/>
    <mergeCell ref="EO737:ES737"/>
    <mergeCell ref="EO740:ES740"/>
    <mergeCell ref="ET737:EX737"/>
    <mergeCell ref="EJ747:EN747"/>
    <mergeCell ref="DJ746:DN746"/>
    <mergeCell ref="EO745:ES745"/>
    <mergeCell ref="EO748:ES748"/>
    <mergeCell ref="CP802:CT802"/>
    <mergeCell ref="CP803:CT803"/>
    <mergeCell ref="CP804:CT804"/>
    <mergeCell ref="CP801:CT801"/>
    <mergeCell ref="CP800:CT800"/>
    <mergeCell ref="CP799:CT799"/>
    <mergeCell ref="CP798:CT798"/>
    <mergeCell ref="AK731:AO731"/>
    <mergeCell ref="AK732:AO732"/>
    <mergeCell ref="AK733:AO733"/>
    <mergeCell ref="CZ761:DD761"/>
    <mergeCell ref="DJ783:DN783"/>
    <mergeCell ref="CU747:CY747"/>
    <mergeCell ref="EH663:EL663"/>
    <mergeCell ref="EM663:EQ663"/>
    <mergeCell ref="AH737:AJ737"/>
    <mergeCell ref="DU726:DY726"/>
    <mergeCell ref="DU729:DY729"/>
    <mergeCell ref="EE729:EI729"/>
    <mergeCell ref="EJ729:EN729"/>
    <mergeCell ref="DZ729:ED729"/>
    <mergeCell ref="DZ730:ED730"/>
    <mergeCell ref="DU725:DY725"/>
    <mergeCell ref="DU727:DY727"/>
    <mergeCell ref="EE725:EI725"/>
    <mergeCell ref="EJ728:EN728"/>
    <mergeCell ref="AK734:AO734"/>
    <mergeCell ref="EO730:ES730"/>
    <mergeCell ref="EO725:ES725"/>
    <mergeCell ref="CU729:CY729"/>
    <mergeCell ref="EJ737:EN737"/>
    <mergeCell ref="EJ725:EN725"/>
    <mergeCell ref="CK759:CL759"/>
    <mergeCell ref="CP783:CT783"/>
    <mergeCell ref="CP784:CT784"/>
    <mergeCell ref="DJ742:DN742"/>
    <mergeCell ref="AO645:AS645"/>
    <mergeCell ref="EM649:EQ649"/>
    <mergeCell ref="ER663:EV663"/>
    <mergeCell ref="EH656:EL656"/>
    <mergeCell ref="EH659:EL659"/>
    <mergeCell ref="EH658:EL658"/>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DE784:DI784"/>
    <mergeCell ref="DJ754:DN754"/>
    <mergeCell ref="DE758:DI758"/>
    <mergeCell ref="DJ758:DN758"/>
    <mergeCell ref="DO782:DS782"/>
    <mergeCell ref="DU761:DY761"/>
    <mergeCell ref="CP797:CT797"/>
    <mergeCell ref="DU747:DY747"/>
    <mergeCell ref="DZ747:ED747"/>
    <mergeCell ref="EE747:EI747"/>
    <mergeCell ref="DO761:DS761"/>
    <mergeCell ref="DO781:DS781"/>
    <mergeCell ref="DJ759:DN759"/>
    <mergeCell ref="CP785:CT785"/>
    <mergeCell ref="CP781:CT781"/>
    <mergeCell ref="CU760:CY760"/>
    <mergeCell ref="CZ753:DD753"/>
    <mergeCell ref="DE753:DI753"/>
    <mergeCell ref="CU781:CY781"/>
    <mergeCell ref="CP746:CT746"/>
    <mergeCell ref="DZ745:ED745"/>
    <mergeCell ref="EE761:EI761"/>
    <mergeCell ref="DJ784:DN784"/>
    <mergeCell ref="DO784:DS784"/>
    <mergeCell ref="DO783:DS783"/>
    <mergeCell ref="DJ761:DN761"/>
    <mergeCell ref="CP795:CT795"/>
    <mergeCell ref="DE748:DI748"/>
    <mergeCell ref="DU748:DY748"/>
    <mergeCell ref="DZ748:ED748"/>
    <mergeCell ref="EE748:EI748"/>
    <mergeCell ref="CU783:CY783"/>
    <mergeCell ref="EE753:EI753"/>
    <mergeCell ref="DU757:DY757"/>
    <mergeCell ref="DZ757:ED757"/>
    <mergeCell ref="DO754:DS754"/>
    <mergeCell ref="CZ754:DD754"/>
    <mergeCell ref="CP761:CT761"/>
    <mergeCell ref="FO748:FS748"/>
    <mergeCell ref="EC645:EG645"/>
    <mergeCell ref="EH645:EL645"/>
    <mergeCell ref="T632:V634"/>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FE741:FI741"/>
    <mergeCell ref="FJ741:FN741"/>
    <mergeCell ref="FO741:FS741"/>
    <mergeCell ref="ET748:EX748"/>
    <mergeCell ref="Z644:AB644"/>
    <mergeCell ref="Z645:AB645"/>
    <mergeCell ref="Z646:AB646"/>
    <mergeCell ref="W635:Y635"/>
    <mergeCell ref="T635:V635"/>
    <mergeCell ref="AO635:AS635"/>
    <mergeCell ref="EO760:ES760"/>
    <mergeCell ref="EJ760:EN760"/>
    <mergeCell ref="ET746:EX746"/>
    <mergeCell ref="CK753:CL753"/>
    <mergeCell ref="CI761:CJ761"/>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FE761:FI761"/>
    <mergeCell ref="EJ743:EN743"/>
    <mergeCell ref="EO743:ES743"/>
    <mergeCell ref="DZ743:ED743"/>
    <mergeCell ref="FJ748:FN748"/>
    <mergeCell ref="ET745:EX745"/>
    <mergeCell ref="EJ761:EN761"/>
    <mergeCell ref="DO748:DS748"/>
    <mergeCell ref="DJ748:DN748"/>
    <mergeCell ref="DO762:DS762"/>
    <mergeCell ref="DE761:DI761"/>
    <mergeCell ref="DO759:DS759"/>
    <mergeCell ref="DO760:DS760"/>
    <mergeCell ref="DE759:DI759"/>
    <mergeCell ref="EE760:EI760"/>
    <mergeCell ref="DU746:DY746"/>
    <mergeCell ref="EO761:ES761"/>
    <mergeCell ref="EJ748:EN748"/>
    <mergeCell ref="EO753:ES753"/>
    <mergeCell ref="DE752:DI752"/>
    <mergeCell ref="EO746:ES746"/>
    <mergeCell ref="DE746:DI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5:DY745"/>
    <mergeCell ref="DU743:DY743"/>
    <mergeCell ref="DO745:DS745"/>
    <mergeCell ref="ER657:EV657"/>
    <mergeCell ref="DJ728:DN728"/>
    <mergeCell ref="DJ725:DN725"/>
    <mergeCell ref="DJ730:DN730"/>
    <mergeCell ref="DE729:DI729"/>
    <mergeCell ref="DE731:DI731"/>
    <mergeCell ref="EW677:FA677"/>
    <mergeCell ref="EH661:EL661"/>
    <mergeCell ref="EM661:EQ661"/>
    <mergeCell ref="ER661:EV661"/>
    <mergeCell ref="EW663:FA663"/>
    <mergeCell ref="ET725:EX725"/>
    <mergeCell ref="EE737:EI737"/>
    <mergeCell ref="EO739:ES739"/>
    <mergeCell ref="DZ732:ED732"/>
    <mergeCell ref="ET731:EX731"/>
    <mergeCell ref="EE733:EI733"/>
    <mergeCell ref="EM678:EQ678"/>
    <mergeCell ref="EE734:EI734"/>
    <mergeCell ref="EJ734:EN734"/>
    <mergeCell ref="EW668:FA668"/>
    <mergeCell ref="DX669:EB669"/>
    <mergeCell ref="DX653:EB653"/>
    <mergeCell ref="EW649:FA649"/>
    <mergeCell ref="EW674:FA674"/>
    <mergeCell ref="EW662:FA662"/>
    <mergeCell ref="DX655:EB655"/>
    <mergeCell ref="ER669:EV669"/>
    <mergeCell ref="EJ738:EN738"/>
    <mergeCell ref="ET741:EX741"/>
    <mergeCell ref="EO741:ES741"/>
    <mergeCell ref="EO742:ES742"/>
    <mergeCell ref="DU737:DY737"/>
    <mergeCell ref="EE742:EI742"/>
    <mergeCell ref="DU739:DY739"/>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DO733:DS733"/>
    <mergeCell ref="DO729:DS729"/>
    <mergeCell ref="EZ734:FD734"/>
    <mergeCell ref="DO738:DS738"/>
    <mergeCell ref="DO739:DS739"/>
    <mergeCell ref="DO735:DS735"/>
    <mergeCell ref="DO736:DS736"/>
    <mergeCell ref="DO731:DS731"/>
    <mergeCell ref="DO732:DS732"/>
    <mergeCell ref="DO740:DS740"/>
    <mergeCell ref="DU730:DY730"/>
    <mergeCell ref="DZ741:ED741"/>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EM674:EQ674"/>
    <mergeCell ref="ER659:EV659"/>
    <mergeCell ref="ER660:EV660"/>
    <mergeCell ref="DX670:EB670"/>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W659:FA659"/>
    <mergeCell ref="EW657:FA657"/>
    <mergeCell ref="ER647:EV647"/>
    <mergeCell ref="EH651:EL651"/>
    <mergeCell ref="EM651:EQ651"/>
    <mergeCell ref="EC656:EG656"/>
    <mergeCell ref="EW647:FA647"/>
    <mergeCell ref="EC648:EG648"/>
    <mergeCell ref="EW648:FA648"/>
    <mergeCell ref="ER651:EV651"/>
    <mergeCell ref="ER648:EV648"/>
    <mergeCell ref="EW652:FA652"/>
    <mergeCell ref="EW655:FA655"/>
    <mergeCell ref="EW658:FA658"/>
    <mergeCell ref="DX663:EB663"/>
    <mergeCell ref="DX664:EB664"/>
    <mergeCell ref="EC664:EG664"/>
    <mergeCell ref="EH664:EL664"/>
    <mergeCell ref="EM664:EQ664"/>
    <mergeCell ref="EH650:EL650"/>
    <mergeCell ref="EM650:EQ650"/>
    <mergeCell ref="ER650:EV650"/>
    <mergeCell ref="DX649:EB649"/>
    <mergeCell ref="EC652:EG652"/>
    <mergeCell ref="EH652:EL652"/>
    <mergeCell ref="EO728:ES728"/>
    <mergeCell ref="ER677:EV677"/>
    <mergeCell ref="ER676:EV676"/>
    <mergeCell ref="EC660:EG660"/>
    <mergeCell ref="EC655:EG655"/>
    <mergeCell ref="ER649:EV649"/>
    <mergeCell ref="EH649:EL649"/>
    <mergeCell ref="EH654:EL654"/>
    <mergeCell ref="EM675:EQ675"/>
    <mergeCell ref="ER675:EV675"/>
    <mergeCell ref="FT739:FX739"/>
    <mergeCell ref="FY739:GC739"/>
    <mergeCell ref="EZ740:FD740"/>
    <mergeCell ref="FE740:FI740"/>
    <mergeCell ref="FJ740:FN740"/>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DZ740:ED740"/>
    <mergeCell ref="EE740:EI740"/>
    <mergeCell ref="EJ740:EN740"/>
    <mergeCell ref="ER674:EV674"/>
    <mergeCell ref="DX657:EB657"/>
    <mergeCell ref="EW675:FA675"/>
    <mergeCell ref="EM669:EQ669"/>
    <mergeCell ref="ER678:EV678"/>
    <mergeCell ref="DX677:EB677"/>
    <mergeCell ref="EC678:EG678"/>
    <mergeCell ref="EH678:EL678"/>
    <mergeCell ref="ER664:EV664"/>
    <mergeCell ref="EC677:EG677"/>
    <mergeCell ref="EH677:EL677"/>
    <mergeCell ref="EM677:EQ677"/>
    <mergeCell ref="FJ743:FN743"/>
    <mergeCell ref="FJ729:FN729"/>
    <mergeCell ref="FO729:FS729"/>
    <mergeCell ref="EO726:ES726"/>
    <mergeCell ref="DU728:DY728"/>
    <mergeCell ref="EZ735:FD735"/>
    <mergeCell ref="EZ739:FD739"/>
    <mergeCell ref="FE739:FI739"/>
    <mergeCell ref="FJ739:FN739"/>
    <mergeCell ref="FO739:FS739"/>
    <mergeCell ref="FE736:FI736"/>
    <mergeCell ref="FJ736:FN736"/>
    <mergeCell ref="FO736:FS736"/>
    <mergeCell ref="DZ736:ED736"/>
    <mergeCell ref="EE732:EI732"/>
    <mergeCell ref="DZ726:ED726"/>
    <mergeCell ref="EE726:EI726"/>
    <mergeCell ref="EW676:FA676"/>
    <mergeCell ref="EW672:FA672"/>
    <mergeCell ref="EZ725:FD725"/>
    <mergeCell ref="DZ738:ED738"/>
    <mergeCell ref="EE738:EI738"/>
    <mergeCell ref="EW656:FA656"/>
    <mergeCell ref="DU742:DY742"/>
    <mergeCell ref="FE728:FI728"/>
    <mergeCell ref="FJ728:FN728"/>
    <mergeCell ref="FO728:FS728"/>
    <mergeCell ref="FE725:FI725"/>
    <mergeCell ref="FJ725:FN725"/>
    <mergeCell ref="FO743:FS743"/>
    <mergeCell ref="FT743:FX743"/>
    <mergeCell ref="FY743:GC743"/>
    <mergeCell ref="EZ744:FD744"/>
    <mergeCell ref="FE744:FI744"/>
    <mergeCell ref="FJ744:FN744"/>
    <mergeCell ref="DX672:EB672"/>
    <mergeCell ref="EZ760:FD760"/>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Y734:GC734"/>
    <mergeCell ref="FO759:FS759"/>
    <mergeCell ref="EZ747:FD747"/>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59:FX759"/>
    <mergeCell ref="FY759:GC759"/>
    <mergeCell ref="EZ736:FD736"/>
    <mergeCell ref="FT736:FX736"/>
    <mergeCell ref="FT749:FX749"/>
    <mergeCell ref="FY746:GC746"/>
    <mergeCell ref="FY738:GC738"/>
    <mergeCell ref="FY744:GC744"/>
    <mergeCell ref="EZ745:FD745"/>
    <mergeCell ref="FE745:FI745"/>
    <mergeCell ref="FJ745:FN745"/>
    <mergeCell ref="FO745:FS745"/>
    <mergeCell ref="FJ742:FN742"/>
    <mergeCell ref="FO742:FS742"/>
    <mergeCell ref="FY735:GC735"/>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O738:FS738"/>
    <mergeCell ref="FT738:FX738"/>
    <mergeCell ref="FY733:GC733"/>
    <mergeCell ref="FT732:FX732"/>
    <mergeCell ref="FY732:GC732"/>
    <mergeCell ref="FJ732:FN732"/>
    <mergeCell ref="FO732:FS732"/>
    <mergeCell ref="FE735:FI735"/>
    <mergeCell ref="FJ735:FN735"/>
    <mergeCell ref="FO735:FS735"/>
    <mergeCell ref="FT735:FX735"/>
    <mergeCell ref="FJ734:FN734"/>
    <mergeCell ref="FO734:FS734"/>
    <mergeCell ref="FT734:FX734"/>
    <mergeCell ref="FE759:FI759"/>
    <mergeCell ref="FJ759:FN759"/>
    <mergeCell ref="FE732:FI732"/>
    <mergeCell ref="M981:S981"/>
    <mergeCell ref="O784:S784"/>
    <mergeCell ref="FO740:FS740"/>
    <mergeCell ref="FT740:FX740"/>
    <mergeCell ref="O777:S780"/>
    <mergeCell ref="B762:AH763"/>
    <mergeCell ref="X782:AB782"/>
    <mergeCell ref="T781:W781"/>
    <mergeCell ref="J781:N781"/>
    <mergeCell ref="O781:S781"/>
    <mergeCell ref="J784:N784"/>
    <mergeCell ref="U831:X832"/>
    <mergeCell ref="Q831:T832"/>
    <mergeCell ref="Z817:AE817"/>
    <mergeCell ref="O799:S799"/>
    <mergeCell ref="FE734:FI734"/>
    <mergeCell ref="K748:N748"/>
    <mergeCell ref="FY740:GC740"/>
    <mergeCell ref="FO744:FS744"/>
    <mergeCell ref="FT744:FX74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08:AE1008"/>
    <mergeCell ref="R996:AA996"/>
    <mergeCell ref="Q640:S640"/>
    <mergeCell ref="Q632:S634"/>
    <mergeCell ref="G667:R667"/>
    <mergeCell ref="P679:R679"/>
    <mergeCell ref="Q639:S639"/>
    <mergeCell ref="T640:V640"/>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G653:R653"/>
    <mergeCell ref="H680:R680"/>
    <mergeCell ref="G659:R659"/>
    <mergeCell ref="G660:R660"/>
    <mergeCell ref="J712:X712"/>
    <mergeCell ref="T722:W725"/>
    <mergeCell ref="AA656:AK656"/>
    <mergeCell ref="AK645:AN645"/>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T744:W744"/>
    <mergeCell ref="O728:S728"/>
    <mergeCell ref="O741:S741"/>
    <mergeCell ref="K727:N727"/>
    <mergeCell ref="K739:N739"/>
    <mergeCell ref="AH761:AJ761"/>
    <mergeCell ref="AK753:AO753"/>
    <mergeCell ref="AH749:AJ749"/>
    <mergeCell ref="AK748:AO748"/>
    <mergeCell ref="AK749:AO749"/>
    <mergeCell ref="AK760:AO760"/>
    <mergeCell ref="O749:S749"/>
    <mergeCell ref="O758:S758"/>
    <mergeCell ref="K753:N753"/>
    <mergeCell ref="T748:W748"/>
    <mergeCell ref="G749:J749"/>
    <mergeCell ref="O750:S750"/>
    <mergeCell ref="AC755:AG755"/>
    <mergeCell ref="T760:W760"/>
    <mergeCell ref="T746:W746"/>
    <mergeCell ref="J796:N796"/>
    <mergeCell ref="O748:S748"/>
    <mergeCell ref="K749:N749"/>
    <mergeCell ref="T982:Z982"/>
    <mergeCell ref="I956:T956"/>
    <mergeCell ref="AK746:AO746"/>
    <mergeCell ref="G744:J744"/>
    <mergeCell ref="AH759:AJ759"/>
    <mergeCell ref="AC747:AG747"/>
    <mergeCell ref="X740:AB740"/>
    <mergeCell ref="K742:N742"/>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H741:AJ741"/>
    <mergeCell ref="X743:AB743"/>
    <mergeCell ref="X744:AB744"/>
    <mergeCell ref="T743:W743"/>
    <mergeCell ref="T742:W742"/>
    <mergeCell ref="AH747:AJ747"/>
    <mergeCell ref="AH748:AJ748"/>
    <mergeCell ref="K745:N745"/>
    <mergeCell ref="T754:W754"/>
    <mergeCell ref="K755:N755"/>
    <mergeCell ref="X750:AB750"/>
    <mergeCell ref="AH750:AJ750"/>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K754:N754"/>
    <mergeCell ref="A1109:B1109"/>
    <mergeCell ref="G741:J741"/>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I955:T955"/>
    <mergeCell ref="AA955:AF955"/>
    <mergeCell ref="M887:V887"/>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G838:AJ838"/>
    <mergeCell ref="U840:X840"/>
    <mergeCell ref="M840:P840"/>
    <mergeCell ref="W875:AC875"/>
    <mergeCell ref="W867:AC867"/>
    <mergeCell ref="U952:Z952"/>
    <mergeCell ref="U950:Z950"/>
    <mergeCell ref="AA952:AF952"/>
    <mergeCell ref="F951:T951"/>
    <mergeCell ref="U951:Z951"/>
    <mergeCell ref="AE970:AK970"/>
    <mergeCell ref="AA957:AF957"/>
    <mergeCell ref="M976:S976"/>
    <mergeCell ref="M977:S977"/>
    <mergeCell ref="F941:T941"/>
    <mergeCell ref="AA948:AF948"/>
    <mergeCell ref="AA949:AF949"/>
    <mergeCell ref="W861:AC861"/>
    <mergeCell ref="AC836:AF836"/>
    <mergeCell ref="AG837:AJ837"/>
    <mergeCell ref="AG834:AJ834"/>
    <mergeCell ref="AG833:AJ833"/>
    <mergeCell ref="I957:T957"/>
    <mergeCell ref="AC904:AH904"/>
    <mergeCell ref="AA942:AF942"/>
    <mergeCell ref="Z909:AE909"/>
    <mergeCell ref="Y833:AB833"/>
    <mergeCell ref="AC833:AF833"/>
    <mergeCell ref="AA950:AF950"/>
    <mergeCell ref="AA938:AF938"/>
    <mergeCell ref="U939:Z939"/>
    <mergeCell ref="AA939:AF939"/>
    <mergeCell ref="U958:Z958"/>
    <mergeCell ref="C838:H838"/>
    <mergeCell ref="F839:L839"/>
    <mergeCell ref="U835:X835"/>
    <mergeCell ref="C835:H835"/>
    <mergeCell ref="I958:T958"/>
    <mergeCell ref="U947:Z947"/>
    <mergeCell ref="M964:S964"/>
    <mergeCell ref="M834:P834"/>
    <mergeCell ref="M880:V880"/>
    <mergeCell ref="Q833:T833"/>
    <mergeCell ref="W879:AC879"/>
    <mergeCell ref="AC894:AH894"/>
    <mergeCell ref="DO747:DS747"/>
    <mergeCell ref="CG744:CH744"/>
    <mergeCell ref="CI748:CJ74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44:EX744"/>
    <mergeCell ref="EE743:EI743"/>
    <mergeCell ref="EJ742:EN742"/>
    <mergeCell ref="EE741:EI741"/>
    <mergeCell ref="ET740:EX740"/>
    <mergeCell ref="ET729:EX729"/>
    <mergeCell ref="EE728:EI728"/>
    <mergeCell ref="DU738:DY738"/>
    <mergeCell ref="EE736:EI736"/>
    <mergeCell ref="EJ736:EN736"/>
    <mergeCell ref="EO735:ES735"/>
    <mergeCell ref="EJ741:EN741"/>
    <mergeCell ref="DZ737:ED737"/>
    <mergeCell ref="ET735:EX735"/>
    <mergeCell ref="DZ735:ED735"/>
    <mergeCell ref="EE735:EI735"/>
    <mergeCell ref="EE731:EI731"/>
    <mergeCell ref="EJ731:EN731"/>
    <mergeCell ref="EO733:ES733"/>
    <mergeCell ref="EJ732:EN732"/>
    <mergeCell ref="EO731:ES731"/>
    <mergeCell ref="DZ742:ED742"/>
    <mergeCell ref="DU734:DY734"/>
    <mergeCell ref="EO729:ES729"/>
    <mergeCell ref="DZ739:ED739"/>
    <mergeCell ref="EJ733:EN733"/>
    <mergeCell ref="EE739:EI739"/>
    <mergeCell ref="EJ739:EN739"/>
    <mergeCell ref="DU740:DY740"/>
    <mergeCell ref="DZ734:ED734"/>
    <mergeCell ref="DU736:DY736"/>
    <mergeCell ref="DU741:DY741"/>
    <mergeCell ref="ET760:EX760"/>
    <mergeCell ref="EO759:ES759"/>
    <mergeCell ref="CZ760:DD760"/>
    <mergeCell ref="ET761:EX761"/>
    <mergeCell ref="K735:N735"/>
    <mergeCell ref="K734:N734"/>
    <mergeCell ref="ET726:EX726"/>
    <mergeCell ref="DU733:DY733"/>
    <mergeCell ref="DZ733:ED733"/>
    <mergeCell ref="DU731:DY731"/>
    <mergeCell ref="DZ731:ED731"/>
    <mergeCell ref="EE727:EI727"/>
    <mergeCell ref="DZ728:ED728"/>
    <mergeCell ref="EJ727:EN727"/>
    <mergeCell ref="AC737:AG737"/>
    <mergeCell ref="O736:S736"/>
    <mergeCell ref="ET733:EX733"/>
    <mergeCell ref="DU732:DY732"/>
    <mergeCell ref="DZ727:ED727"/>
    <mergeCell ref="EO738:ES738"/>
    <mergeCell ref="ET738:EX738"/>
    <mergeCell ref="EO732:ES732"/>
    <mergeCell ref="ET732:EX732"/>
    <mergeCell ref="EO734:ES734"/>
    <mergeCell ref="ET734:EX734"/>
    <mergeCell ref="ET730:EX730"/>
    <mergeCell ref="ET728:EX728"/>
    <mergeCell ref="K738:N738"/>
    <mergeCell ref="EO736:ES736"/>
    <mergeCell ref="ET736:EX736"/>
    <mergeCell ref="DO737:DS737"/>
    <mergeCell ref="DJ739:DN739"/>
    <mergeCell ref="AC640:AE640"/>
    <mergeCell ref="CI725:CJ725"/>
    <mergeCell ref="AA688:AK688"/>
    <mergeCell ref="Z670:AK67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AK722:AO725"/>
    <mergeCell ref="AK726:AO726"/>
    <mergeCell ref="Z661:AK661"/>
    <mergeCell ref="AF641:AJ641"/>
    <mergeCell ref="DX676:EB676"/>
    <mergeCell ref="EC676:EG676"/>
    <mergeCell ref="DX654:EB654"/>
    <mergeCell ref="EC654:EG654"/>
    <mergeCell ref="DX652:EB652"/>
    <mergeCell ref="DX650:EB650"/>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AA696:AK696"/>
    <mergeCell ref="AE710:AF710"/>
    <mergeCell ref="T734:W734"/>
    <mergeCell ref="X729:AB729"/>
    <mergeCell ref="X735:AB735"/>
    <mergeCell ref="AH734:AJ734"/>
    <mergeCell ref="X730:AB730"/>
    <mergeCell ref="Z693:AK693"/>
    <mergeCell ref="AE706:AI706"/>
    <mergeCell ref="AC722:AG725"/>
    <mergeCell ref="DO730:DS730"/>
    <mergeCell ref="Z653:AK653"/>
    <mergeCell ref="DJ731:DN731"/>
    <mergeCell ref="DJ732:DN732"/>
    <mergeCell ref="DE728:DI728"/>
    <mergeCell ref="DE732:DI732"/>
    <mergeCell ref="AH525:AK525"/>
    <mergeCell ref="EH660:EL660"/>
    <mergeCell ref="Z687:AE687"/>
    <mergeCell ref="Z678:AK678"/>
    <mergeCell ref="AM569:AS569"/>
    <mergeCell ref="Z639:AB639"/>
    <mergeCell ref="AF632:AJ634"/>
    <mergeCell ref="AM567:AS567"/>
    <mergeCell ref="Z695:AE695"/>
    <mergeCell ref="AK638:AN638"/>
    <mergeCell ref="AM570:AS570"/>
    <mergeCell ref="AO639:AS639"/>
    <mergeCell ref="AI671:AK671"/>
    <mergeCell ref="B649:AN649"/>
    <mergeCell ref="G651:R651"/>
    <mergeCell ref="M642:P642"/>
    <mergeCell ref="Z669:AK669"/>
    <mergeCell ref="Q642:S642"/>
    <mergeCell ref="AK644:AN644"/>
    <mergeCell ref="DO726:DS726"/>
    <mergeCell ref="DO727:DS727"/>
    <mergeCell ref="DE725:DI725"/>
    <mergeCell ref="CU727:CY727"/>
    <mergeCell ref="CG726:CH726"/>
    <mergeCell ref="EE730:EI730"/>
    <mergeCell ref="AI679:AK679"/>
    <mergeCell ref="M640:P640"/>
    <mergeCell ref="Q641:S641"/>
    <mergeCell ref="AF639:AJ639"/>
    <mergeCell ref="Z637:AB637"/>
    <mergeCell ref="AM564:AS564"/>
    <mergeCell ref="AI570:AL570"/>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Z676:AK676"/>
    <mergeCell ref="DO728:DS728"/>
    <mergeCell ref="T571:V571"/>
    <mergeCell ref="Z572:AD572"/>
    <mergeCell ref="Z573:AD573"/>
    <mergeCell ref="Z580:AE580"/>
    <mergeCell ref="Z597:AE597"/>
    <mergeCell ref="G593:R593"/>
    <mergeCell ref="AG583:AH583"/>
    <mergeCell ref="Z443:AA443"/>
    <mergeCell ref="H598:R598"/>
    <mergeCell ref="T729:W729"/>
    <mergeCell ref="AE703:AI703"/>
    <mergeCell ref="Z652:AK652"/>
    <mergeCell ref="AO644:AS644"/>
    <mergeCell ref="CZ726:DD726"/>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C645:L645"/>
    <mergeCell ref="C640:L640"/>
    <mergeCell ref="G577:R577"/>
    <mergeCell ref="H590:R590"/>
    <mergeCell ref="Z587:AK587"/>
    <mergeCell ref="G609:R609"/>
    <mergeCell ref="AA581:AK581"/>
    <mergeCell ref="AG607:AH607"/>
    <mergeCell ref="G603:R603"/>
    <mergeCell ref="G604:R604"/>
    <mergeCell ref="Z585:AK585"/>
    <mergeCell ref="T637:V637"/>
    <mergeCell ref="M582:R582"/>
    <mergeCell ref="Z621:AE621"/>
    <mergeCell ref="N623:O623"/>
    <mergeCell ref="H622:R622"/>
    <mergeCell ref="P597:R597"/>
    <mergeCell ref="Z596:AK596"/>
    <mergeCell ref="AA606:AK606"/>
    <mergeCell ref="C636:L636"/>
    <mergeCell ref="Z618:AK618"/>
    <mergeCell ref="AF636:AJ636"/>
    <mergeCell ref="N607:O607"/>
    <mergeCell ref="AA598:AK598"/>
    <mergeCell ref="AI597:AK597"/>
    <mergeCell ref="Z604:AK604"/>
    <mergeCell ref="H606:R606"/>
    <mergeCell ref="AG591:AH591"/>
    <mergeCell ref="G596:R596"/>
    <mergeCell ref="Z588:AK588"/>
    <mergeCell ref="Z603:AK603"/>
    <mergeCell ref="G611:R611"/>
    <mergeCell ref="AC637:AE637"/>
    <mergeCell ref="W637:Y637"/>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AE570:AH570"/>
    <mergeCell ref="Q570:S570"/>
    <mergeCell ref="G576:R576"/>
    <mergeCell ref="G597:L597"/>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Z663:AE663"/>
    <mergeCell ref="AG673:AH673"/>
    <mergeCell ref="Z685:AK685"/>
    <mergeCell ref="T641:V641"/>
    <mergeCell ref="CK744:CL744"/>
    <mergeCell ref="CU738:CY738"/>
    <mergeCell ref="CK736:CL736"/>
    <mergeCell ref="CZ737:DD737"/>
    <mergeCell ref="CZ739:DD739"/>
    <mergeCell ref="CK739:CL739"/>
    <mergeCell ref="CK737:CL737"/>
    <mergeCell ref="CU732:CY732"/>
    <mergeCell ref="CU733:CY733"/>
    <mergeCell ref="CP738:CT738"/>
    <mergeCell ref="CU739:CY739"/>
    <mergeCell ref="CK731:CL731"/>
    <mergeCell ref="CM736:CN736"/>
    <mergeCell ref="CU734:CY734"/>
    <mergeCell ref="CZ734:DD734"/>
    <mergeCell ref="CP734:CT734"/>
    <mergeCell ref="AO641:AS641"/>
    <mergeCell ref="AK736:AO736"/>
    <mergeCell ref="Z684:AK684"/>
    <mergeCell ref="Z691:AK691"/>
    <mergeCell ref="X741:AB741"/>
    <mergeCell ref="AK643:AN643"/>
    <mergeCell ref="CK740:CL740"/>
    <mergeCell ref="CP733:CT733"/>
    <mergeCell ref="CZ735:DD735"/>
    <mergeCell ref="DE734:DI734"/>
    <mergeCell ref="CZ732:DD732"/>
    <mergeCell ref="CZ733:DD733"/>
    <mergeCell ref="DE739:DI739"/>
    <mergeCell ref="CP736:CT736"/>
    <mergeCell ref="CU736:CY736"/>
    <mergeCell ref="DE742:DI742"/>
    <mergeCell ref="CM734:CN734"/>
    <mergeCell ref="CI740:CJ740"/>
    <mergeCell ref="CI741:CJ741"/>
    <mergeCell ref="CG727:CH727"/>
    <mergeCell ref="CI729:CJ729"/>
    <mergeCell ref="CG733:CH733"/>
    <mergeCell ref="CK729:CL729"/>
    <mergeCell ref="DE730:DI730"/>
    <mergeCell ref="CZ742:DD742"/>
    <mergeCell ref="CU737:CY737"/>
    <mergeCell ref="CP741:CT741"/>
    <mergeCell ref="CP740:CT740"/>
    <mergeCell ref="CM737:CN737"/>
    <mergeCell ref="CM731:CN731"/>
    <mergeCell ref="CM733:CN733"/>
    <mergeCell ref="CK738:CL738"/>
    <mergeCell ref="CP739:CT739"/>
    <mergeCell ref="CI737:CJ737"/>
    <mergeCell ref="CP737:CT737"/>
    <mergeCell ref="CU730:CY730"/>
    <mergeCell ref="CZ730:DD730"/>
    <mergeCell ref="DJ738:DN738"/>
    <mergeCell ref="DJ735:DN735"/>
    <mergeCell ref="DJ734:DN734"/>
    <mergeCell ref="CI733:CJ733"/>
    <mergeCell ref="CZ740:DD740"/>
    <mergeCell ref="DJ736:DN736"/>
    <mergeCell ref="DE745:DI745"/>
    <mergeCell ref="CM732:CN732"/>
    <mergeCell ref="CG749:CH749"/>
    <mergeCell ref="CU744:CY744"/>
    <mergeCell ref="CP731:CT731"/>
    <mergeCell ref="CU735:CY735"/>
    <mergeCell ref="CK732:CL732"/>
    <mergeCell ref="DE738:DI738"/>
    <mergeCell ref="CM738:CN738"/>
    <mergeCell ref="CK735:CL735"/>
    <mergeCell ref="CG750:CH750"/>
    <mergeCell ref="CK749:CL749"/>
    <mergeCell ref="CM749:CN749"/>
    <mergeCell ref="CP732:CT732"/>
    <mergeCell ref="CP735:CT735"/>
    <mergeCell ref="CI735:CJ735"/>
    <mergeCell ref="CZ743:DD743"/>
    <mergeCell ref="CU742:CY742"/>
    <mergeCell ref="CP744:CT744"/>
    <mergeCell ref="CM745:CN745"/>
    <mergeCell ref="CU745:CY745"/>
    <mergeCell ref="CZ746:DD746"/>
    <mergeCell ref="CM744:CN744"/>
    <mergeCell ref="CI746:CJ746"/>
    <mergeCell ref="CP749:CT749"/>
    <mergeCell ref="CZ731:DD731"/>
    <mergeCell ref="X728:AB728"/>
    <mergeCell ref="CM743:CN743"/>
    <mergeCell ref="K759:N759"/>
    <mergeCell ref="O759:S759"/>
    <mergeCell ref="CM728:CN728"/>
    <mergeCell ref="CP728:CT728"/>
    <mergeCell ref="CI728:CJ728"/>
    <mergeCell ref="CU728:CY728"/>
    <mergeCell ref="CU731:CY731"/>
    <mergeCell ref="CM730:CN730"/>
    <mergeCell ref="CG730:CH730"/>
    <mergeCell ref="DE735:DI735"/>
    <mergeCell ref="CZ749:DD749"/>
    <mergeCell ref="AC744:AG744"/>
    <mergeCell ref="CG737:CH737"/>
    <mergeCell ref="CG731:CH731"/>
    <mergeCell ref="CG728:CH728"/>
    <mergeCell ref="CU741:CY741"/>
    <mergeCell ref="CZ748:DD748"/>
    <mergeCell ref="CU749:CY749"/>
    <mergeCell ref="CZ747:DD747"/>
    <mergeCell ref="CK742:CL742"/>
    <mergeCell ref="CM742:CN742"/>
    <mergeCell ref="CK746:CL746"/>
    <mergeCell ref="CI739:CJ739"/>
    <mergeCell ref="CI736:CJ736"/>
    <mergeCell ref="AH736:AJ736"/>
    <mergeCell ref="DE740:DI740"/>
    <mergeCell ref="CM740:CN740"/>
    <mergeCell ref="DE733:DI733"/>
    <mergeCell ref="X733:AB733"/>
    <mergeCell ref="DE737:DI737"/>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CM741:CN741"/>
    <mergeCell ref="CG745:CH745"/>
    <mergeCell ref="G677:R677"/>
    <mergeCell ref="AA680:AK680"/>
    <mergeCell ref="CM726:CN726"/>
    <mergeCell ref="T738:W738"/>
    <mergeCell ref="H672:R672"/>
    <mergeCell ref="G686:R686"/>
    <mergeCell ref="P687:R687"/>
    <mergeCell ref="G731:J731"/>
    <mergeCell ref="O733:S733"/>
    <mergeCell ref="O734:S734"/>
    <mergeCell ref="AK745:AO745"/>
    <mergeCell ref="T737:W737"/>
    <mergeCell ref="T730:W730"/>
    <mergeCell ref="K737:N737"/>
    <mergeCell ref="N697:O697"/>
    <mergeCell ref="B741:F741"/>
    <mergeCell ref="CK752:CL752"/>
    <mergeCell ref="CM752:CN752"/>
    <mergeCell ref="AK735:AO735"/>
    <mergeCell ref="AH732:AJ732"/>
    <mergeCell ref="CG746:CH746"/>
    <mergeCell ref="CK747:CL747"/>
    <mergeCell ref="N665:O665"/>
    <mergeCell ref="Z668:AK668"/>
    <mergeCell ref="G671:L671"/>
    <mergeCell ref="T740:W740"/>
    <mergeCell ref="T739:W739"/>
    <mergeCell ref="CI750:CJ750"/>
    <mergeCell ref="CK750:CL750"/>
    <mergeCell ref="X748:AB748"/>
    <mergeCell ref="O737:S737"/>
    <mergeCell ref="P695:R695"/>
    <mergeCell ref="R713:T713"/>
    <mergeCell ref="O739:S739"/>
    <mergeCell ref="T726:W726"/>
    <mergeCell ref="O729:S729"/>
    <mergeCell ref="K730:N730"/>
    <mergeCell ref="K731:N731"/>
    <mergeCell ref="T731:W731"/>
    <mergeCell ref="K729:N729"/>
    <mergeCell ref="AE701:AF701"/>
    <mergeCell ref="AH735:AJ735"/>
    <mergeCell ref="K733:N733"/>
    <mergeCell ref="AC727:AG727"/>
    <mergeCell ref="T735:W735"/>
    <mergeCell ref="X731:AB731"/>
    <mergeCell ref="T727:W727"/>
    <mergeCell ref="O732:S732"/>
    <mergeCell ref="T733:W733"/>
    <mergeCell ref="G738:J738"/>
    <mergeCell ref="X738:AB738"/>
    <mergeCell ref="G683:R683"/>
    <mergeCell ref="O735:S735"/>
    <mergeCell ref="G727:J727"/>
    <mergeCell ref="AC735:AG735"/>
    <mergeCell ref="X732:AB732"/>
    <mergeCell ref="AK739:AO739"/>
    <mergeCell ref="AA953:AF953"/>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732:J732"/>
    <mergeCell ref="W851:AC851"/>
    <mergeCell ref="AA937:AF937"/>
    <mergeCell ref="O738:S738"/>
    <mergeCell ref="AA945:AF945"/>
    <mergeCell ref="G742:J742"/>
    <mergeCell ref="AA951:AF951"/>
    <mergeCell ref="C901:AB901"/>
    <mergeCell ref="U933:Z933"/>
    <mergeCell ref="U942:Z942"/>
    <mergeCell ref="U943:Z943"/>
    <mergeCell ref="F939:T939"/>
    <mergeCell ref="F940:T940"/>
    <mergeCell ref="U945:Z945"/>
    <mergeCell ref="F949:T949"/>
    <mergeCell ref="U948:Z948"/>
    <mergeCell ref="U949:Z949"/>
    <mergeCell ref="AA947:AF947"/>
    <mergeCell ref="U932:Z932"/>
    <mergeCell ref="W850:AC850"/>
    <mergeCell ref="W855:AC855"/>
    <mergeCell ref="W853:AC853"/>
    <mergeCell ref="M854:V854"/>
    <mergeCell ref="W854:AC854"/>
    <mergeCell ref="M838:P838"/>
    <mergeCell ref="C840:L840"/>
    <mergeCell ref="Y839:AB839"/>
    <mergeCell ref="C845:AJ845"/>
    <mergeCell ref="W876:AC876"/>
    <mergeCell ref="W870:AC870"/>
    <mergeCell ref="M885:V885"/>
    <mergeCell ref="W877:AC877"/>
    <mergeCell ref="W881:AC881"/>
    <mergeCell ref="W886:AC886"/>
    <mergeCell ref="BD908:BE908"/>
    <mergeCell ref="BD910:BE910"/>
    <mergeCell ref="AC895:AH895"/>
    <mergeCell ref="AA940:AF940"/>
    <mergeCell ref="U941:Z941"/>
    <mergeCell ref="AA941:AF941"/>
    <mergeCell ref="F947:T947"/>
    <mergeCell ref="AW927:AY927"/>
    <mergeCell ref="AA935:AF935"/>
    <mergeCell ref="U936:Z936"/>
    <mergeCell ref="AA936:AF936"/>
    <mergeCell ref="W885:AC885"/>
    <mergeCell ref="M869:V869"/>
    <mergeCell ref="J857:V857"/>
    <mergeCell ref="W865:AC865"/>
    <mergeCell ref="M883:V883"/>
    <mergeCell ref="W859:AC859"/>
    <mergeCell ref="W863:AC863"/>
    <mergeCell ref="W860:AC860"/>
    <mergeCell ref="W862:AC862"/>
    <mergeCell ref="W883:AC883"/>
    <mergeCell ref="W884:AC884"/>
    <mergeCell ref="T866:V866"/>
    <mergeCell ref="T868:V868"/>
    <mergeCell ref="Q839:T839"/>
    <mergeCell ref="M884:V884"/>
    <mergeCell ref="W880:AC880"/>
    <mergeCell ref="Q838:T838"/>
    <mergeCell ref="AG839:AJ839"/>
    <mergeCell ref="F938:T938"/>
    <mergeCell ref="AC896:AH896"/>
    <mergeCell ref="BD913:BE913"/>
    <mergeCell ref="BD915:BF915"/>
    <mergeCell ref="BD914:BF914"/>
    <mergeCell ref="BD919:BE919"/>
    <mergeCell ref="BD912:BE912"/>
    <mergeCell ref="AC898:AH898"/>
    <mergeCell ref="AC903:AH903"/>
    <mergeCell ref="Z908:AE908"/>
    <mergeCell ref="AC897:AH897"/>
    <mergeCell ref="F946:T946"/>
    <mergeCell ref="U946:Z946"/>
    <mergeCell ref="AA946:AF946"/>
    <mergeCell ref="E894:AB894"/>
    <mergeCell ref="AZ859:BA859"/>
    <mergeCell ref="AC899:AH899"/>
    <mergeCell ref="W887:AC887"/>
    <mergeCell ref="U940:Z940"/>
    <mergeCell ref="F924:T924"/>
    <mergeCell ref="BD911:BE911"/>
    <mergeCell ref="BD909:BE909"/>
    <mergeCell ref="AC902:AH902"/>
    <mergeCell ref="W857:AC857"/>
    <mergeCell ref="M886:V886"/>
    <mergeCell ref="W878:AC878"/>
    <mergeCell ref="AC893:AH893"/>
    <mergeCell ref="M837:P837"/>
    <mergeCell ref="Z823:AE823"/>
    <mergeCell ref="Z816:AE816"/>
    <mergeCell ref="AC785:AG785"/>
    <mergeCell ref="T802:W802"/>
    <mergeCell ref="T800:W800"/>
    <mergeCell ref="O785:S785"/>
    <mergeCell ref="X796:AB796"/>
    <mergeCell ref="Q837:T837"/>
    <mergeCell ref="T799:W799"/>
    <mergeCell ref="T795:W795"/>
    <mergeCell ref="T796:W796"/>
    <mergeCell ref="T797:W797"/>
    <mergeCell ref="O803:S803"/>
    <mergeCell ref="AC799:AG799"/>
    <mergeCell ref="J802:N802"/>
    <mergeCell ref="J797:N797"/>
    <mergeCell ref="X803:AB803"/>
    <mergeCell ref="O800:S800"/>
    <mergeCell ref="J799:N799"/>
    <mergeCell ref="X800:AB800"/>
    <mergeCell ref="U836:X836"/>
    <mergeCell ref="AG836:AJ836"/>
    <mergeCell ref="Q835:T835"/>
    <mergeCell ref="M836:P836"/>
    <mergeCell ref="M835:P835"/>
    <mergeCell ref="P824:Y824"/>
    <mergeCell ref="Z821:AE821"/>
    <mergeCell ref="C806:AN807"/>
    <mergeCell ref="J801:N801"/>
    <mergeCell ref="C837:H837"/>
    <mergeCell ref="U837:X837"/>
    <mergeCell ref="AC835:AF835"/>
    <mergeCell ref="AC796:AG796"/>
    <mergeCell ref="O791:S794"/>
    <mergeCell ref="K760:N760"/>
    <mergeCell ref="O805:S805"/>
    <mergeCell ref="O796:S796"/>
    <mergeCell ref="J800:N800"/>
    <mergeCell ref="Z814:AE814"/>
    <mergeCell ref="X799:AB799"/>
    <mergeCell ref="X801:AB801"/>
    <mergeCell ref="T791:W794"/>
    <mergeCell ref="X781:AB781"/>
    <mergeCell ref="O797:S797"/>
    <mergeCell ref="J783:N783"/>
    <mergeCell ref="AC784:AG784"/>
    <mergeCell ref="AC800:AG800"/>
    <mergeCell ref="O795:S795"/>
    <mergeCell ref="Q834:T834"/>
    <mergeCell ref="Y831:AB832"/>
    <mergeCell ref="Z815:AE815"/>
    <mergeCell ref="O782:S782"/>
    <mergeCell ref="O802:S802"/>
    <mergeCell ref="X777:AB780"/>
    <mergeCell ref="T777:W780"/>
    <mergeCell ref="AC801:AG801"/>
    <mergeCell ref="X783:AB783"/>
    <mergeCell ref="X784:AB784"/>
    <mergeCell ref="J805:N805"/>
    <mergeCell ref="J803:N803"/>
    <mergeCell ref="AC782:AG782"/>
    <mergeCell ref="X785:AB785"/>
    <mergeCell ref="M833:P833"/>
    <mergeCell ref="C836:H836"/>
    <mergeCell ref="O801:S801"/>
    <mergeCell ref="J798:N798"/>
    <mergeCell ref="G610:R610"/>
    <mergeCell ref="G617:R617"/>
    <mergeCell ref="M636:P636"/>
    <mergeCell ref="Z613:AE613"/>
    <mergeCell ref="Z617:AK617"/>
    <mergeCell ref="N615:O615"/>
    <mergeCell ref="G722:J725"/>
    <mergeCell ref="G676:R676"/>
    <mergeCell ref="AH753:AJ753"/>
    <mergeCell ref="AH754:AJ754"/>
    <mergeCell ref="AH755:AJ755"/>
    <mergeCell ref="AH756:AJ756"/>
    <mergeCell ref="C833:H833"/>
    <mergeCell ref="G735:J735"/>
    <mergeCell ref="N681:O681"/>
    <mergeCell ref="G695:L695"/>
    <mergeCell ref="G613:L613"/>
    <mergeCell ref="H614:R614"/>
    <mergeCell ref="G618:R618"/>
    <mergeCell ref="B726:F726"/>
    <mergeCell ref="G728:J728"/>
    <mergeCell ref="B729:F729"/>
    <mergeCell ref="B761:F761"/>
    <mergeCell ref="O760:S760"/>
    <mergeCell ref="X760:AB760"/>
    <mergeCell ref="Q836:T836"/>
    <mergeCell ref="T736:W736"/>
    <mergeCell ref="AC748:AG748"/>
    <mergeCell ref="AC749:AG749"/>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60:J760"/>
    <mergeCell ref="Y809:AC809"/>
    <mergeCell ref="Y808:AC808"/>
    <mergeCell ref="T749:W749"/>
    <mergeCell ref="AC804:AG804"/>
    <mergeCell ref="B742:F742"/>
    <mergeCell ref="X797:AB797"/>
    <mergeCell ref="B736:F736"/>
    <mergeCell ref="O743:S743"/>
    <mergeCell ref="AC745:AG745"/>
    <mergeCell ref="J777:N780"/>
    <mergeCell ref="AC805:AG805"/>
    <mergeCell ref="AC795:AG795"/>
    <mergeCell ref="AC761:AG761"/>
    <mergeCell ref="O761:S761"/>
    <mergeCell ref="AC750:AG750"/>
    <mergeCell ref="AC751:AG751"/>
    <mergeCell ref="AC752:AG752"/>
    <mergeCell ref="AC753:AG753"/>
    <mergeCell ref="K728:N728"/>
    <mergeCell ref="G587:R587"/>
    <mergeCell ref="G602:R602"/>
    <mergeCell ref="Z602:AK602"/>
    <mergeCell ref="P613:R613"/>
    <mergeCell ref="Z611:AK611"/>
    <mergeCell ref="AG599:AH599"/>
    <mergeCell ref="G580:L580"/>
    <mergeCell ref="Z589:AE589"/>
    <mergeCell ref="Z594:AK594"/>
    <mergeCell ref="P605:R605"/>
    <mergeCell ref="O726:S726"/>
    <mergeCell ref="G621:L621"/>
    <mergeCell ref="O731:S731"/>
    <mergeCell ref="AA614:AK614"/>
    <mergeCell ref="U834:X834"/>
    <mergeCell ref="X802:AB802"/>
    <mergeCell ref="O722:S725"/>
    <mergeCell ref="AC797:AG797"/>
    <mergeCell ref="AC798:AG798"/>
    <mergeCell ref="Z826:AE826"/>
    <mergeCell ref="T803:W803"/>
    <mergeCell ref="T784:W784"/>
    <mergeCell ref="T782:W782"/>
    <mergeCell ref="G669:R669"/>
    <mergeCell ref="C834:H834"/>
    <mergeCell ref="AG831:AJ832"/>
    <mergeCell ref="AC754:AG754"/>
    <mergeCell ref="AC834:AF834"/>
    <mergeCell ref="O798:S798"/>
    <mergeCell ref="Z822:AE822"/>
    <mergeCell ref="Z825:AE825"/>
    <mergeCell ref="B728:F728"/>
    <mergeCell ref="W477:Y477"/>
    <mergeCell ref="Q500:AK500"/>
    <mergeCell ref="AF427:AH427"/>
    <mergeCell ref="AC536:AF536"/>
    <mergeCell ref="C562:L562"/>
    <mergeCell ref="D455:AF455"/>
    <mergeCell ref="D456:AF456"/>
    <mergeCell ref="W474:Y474"/>
    <mergeCell ref="AG455:AJ455"/>
    <mergeCell ref="W475:Y475"/>
    <mergeCell ref="AK754:AO754"/>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Z593:AK593"/>
    <mergeCell ref="D448:AF448"/>
    <mergeCell ref="AI406:AJ406"/>
    <mergeCell ref="T408:AJ408"/>
    <mergeCell ref="AI348:AK348"/>
    <mergeCell ref="P357:Z357"/>
    <mergeCell ref="N382:AF383"/>
    <mergeCell ref="AJ364:AK364"/>
    <mergeCell ref="AG451:AJ451"/>
    <mergeCell ref="AG386:AH386"/>
    <mergeCell ref="E427:G427"/>
    <mergeCell ref="AD420:AE420"/>
    <mergeCell ref="G605:L605"/>
    <mergeCell ref="Q566:S566"/>
    <mergeCell ref="AH520:AK520"/>
    <mergeCell ref="M565:P565"/>
    <mergeCell ref="AH528:AK528"/>
    <mergeCell ref="AC545:AF545"/>
    <mergeCell ref="O534:AA534"/>
    <mergeCell ref="AC537:AF537"/>
    <mergeCell ref="AH538:AK538"/>
    <mergeCell ref="Z564:AD564"/>
    <mergeCell ref="AI563:AL563"/>
    <mergeCell ref="T566:V566"/>
    <mergeCell ref="AI564:AL564"/>
    <mergeCell ref="T565:V565"/>
    <mergeCell ref="Q398:U398"/>
    <mergeCell ref="AJ366:AK366"/>
    <mergeCell ref="D453:AF453"/>
    <mergeCell ref="R420:S420"/>
    <mergeCell ref="W564:Y564"/>
    <mergeCell ref="Q564:S564"/>
    <mergeCell ref="W473:Y473"/>
    <mergeCell ref="D459:AF459"/>
    <mergeCell ref="N379:Q379"/>
    <mergeCell ref="AH508:AK508"/>
    <mergeCell ref="H340:M340"/>
    <mergeCell ref="H350:R350"/>
    <mergeCell ref="H344:R344"/>
    <mergeCell ref="AA342:AK342"/>
    <mergeCell ref="H348:M348"/>
    <mergeCell ref="D477:V477"/>
    <mergeCell ref="W481:Y481"/>
    <mergeCell ref="Q403:U403"/>
    <mergeCell ref="AD421:AE421"/>
    <mergeCell ref="H423:AE424"/>
    <mergeCell ref="AE434:AF434"/>
    <mergeCell ref="AC528:AF528"/>
    <mergeCell ref="AC535:AF535"/>
    <mergeCell ref="AH529:AK529"/>
    <mergeCell ref="AA348:AF348"/>
    <mergeCell ref="S497:AK498"/>
    <mergeCell ref="P340:R340"/>
    <mergeCell ref="P358:AE358"/>
    <mergeCell ref="W478:Y478"/>
    <mergeCell ref="D479:V479"/>
    <mergeCell ref="AH513:AK513"/>
    <mergeCell ref="AA345:AK345"/>
    <mergeCell ref="H342:R342"/>
    <mergeCell ref="Q501:AK501"/>
    <mergeCell ref="AC510:AF510"/>
    <mergeCell ref="B522:H524"/>
    <mergeCell ref="B525:H527"/>
    <mergeCell ref="D415:AJ416"/>
    <mergeCell ref="M364:N364"/>
    <mergeCell ref="M272:R272"/>
    <mergeCell ref="M274:T274"/>
    <mergeCell ref="AA323:AK323"/>
    <mergeCell ref="AA322:AK322"/>
    <mergeCell ref="H328:R328"/>
    <mergeCell ref="AA325:AF325"/>
    <mergeCell ref="AA306:AK306"/>
    <mergeCell ref="AA339:AK339"/>
    <mergeCell ref="H333:M333"/>
    <mergeCell ref="AA334:AK334"/>
    <mergeCell ref="H324:M324"/>
    <mergeCell ref="H330:R330"/>
    <mergeCell ref="H331:R331"/>
    <mergeCell ref="L285:S285"/>
    <mergeCell ref="L287:Q287"/>
    <mergeCell ref="AA298:AK298"/>
    <mergeCell ref="H338:R338"/>
    <mergeCell ref="H339:R339"/>
    <mergeCell ref="AA333:AF333"/>
    <mergeCell ref="H337:R337"/>
    <mergeCell ref="AI332:AK332"/>
    <mergeCell ref="AA329:AK329"/>
    <mergeCell ref="H326:R326"/>
    <mergeCell ref="P332:R332"/>
    <mergeCell ref="AA324:AF324"/>
    <mergeCell ref="AA307:AK307"/>
    <mergeCell ref="AA301:AF301"/>
    <mergeCell ref="H322:R322"/>
    <mergeCell ref="AA331:AK331"/>
    <mergeCell ref="H301:M301"/>
    <mergeCell ref="H318:R318"/>
    <mergeCell ref="M262:T262"/>
    <mergeCell ref="L283:AJ283"/>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P433:Q433"/>
    <mergeCell ref="D481:V481"/>
    <mergeCell ref="D478:V478"/>
    <mergeCell ref="D447:AF447"/>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H263:AK263"/>
    <mergeCell ref="M268:AE268"/>
    <mergeCell ref="AA302:AK302"/>
    <mergeCell ref="L289:AD289"/>
    <mergeCell ref="L284:AD284"/>
    <mergeCell ref="V285:W285"/>
    <mergeCell ref="AA310:AK310"/>
    <mergeCell ref="AA305:AK305"/>
    <mergeCell ref="H310:R310"/>
    <mergeCell ref="L286:AD286"/>
    <mergeCell ref="Z272:AE272"/>
    <mergeCell ref="AA340:AF340"/>
    <mergeCell ref="P324:R324"/>
    <mergeCell ref="N372:O372"/>
    <mergeCell ref="AA346:AK346"/>
    <mergeCell ref="H336:R336"/>
    <mergeCell ref="H315:R315"/>
    <mergeCell ref="AA313:AK313"/>
    <mergeCell ref="AA318:AK318"/>
    <mergeCell ref="AA316:AF316"/>
    <mergeCell ref="AA314:AK314"/>
    <mergeCell ref="AA326:AK326"/>
    <mergeCell ref="AA341:AF341"/>
    <mergeCell ref="AA337:AK337"/>
    <mergeCell ref="AA336:AK336"/>
    <mergeCell ref="H341:M341"/>
    <mergeCell ref="AI324:AK324"/>
    <mergeCell ref="AA321:AK321"/>
    <mergeCell ref="AA338:AK338"/>
    <mergeCell ref="AA330:AK330"/>
    <mergeCell ref="H334:R334"/>
    <mergeCell ref="H316:M316"/>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A308:AF308"/>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D450:AF450"/>
    <mergeCell ref="AG456:AJ456"/>
    <mergeCell ref="Y373:Z373"/>
    <mergeCell ref="N387:P387"/>
    <mergeCell ref="N380:Q380"/>
    <mergeCell ref="V391:W391"/>
    <mergeCell ref="J376:K376"/>
    <mergeCell ref="S414:AJ414"/>
    <mergeCell ref="AG388:AH388"/>
    <mergeCell ref="S401:U401"/>
    <mergeCell ref="AG399:AJ399"/>
    <mergeCell ref="Q400:U400"/>
    <mergeCell ref="N381:Q381"/>
    <mergeCell ref="D449:AF449"/>
    <mergeCell ref="M365:N365"/>
    <mergeCell ref="Z441:AA441"/>
    <mergeCell ref="D454:AF454"/>
    <mergeCell ref="Q402:U402"/>
    <mergeCell ref="AG389:AH389"/>
    <mergeCell ref="H347:R347"/>
    <mergeCell ref="AG402:AJ402"/>
    <mergeCell ref="AG400:AJ400"/>
    <mergeCell ref="K413:AJ413"/>
    <mergeCell ref="AC395:AJ395"/>
    <mergeCell ref="AC541:AF541"/>
    <mergeCell ref="K412:AJ412"/>
    <mergeCell ref="P355:AE355"/>
    <mergeCell ref="Q399:U399"/>
    <mergeCell ref="I419:AE419"/>
    <mergeCell ref="AI398:AJ398"/>
    <mergeCell ref="P356:Z356"/>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F436:AH437"/>
    <mergeCell ref="J396:U396"/>
    <mergeCell ref="AH541:AK541"/>
    <mergeCell ref="B528:H550"/>
    <mergeCell ref="T642:V642"/>
    <mergeCell ref="AF642:AJ642"/>
    <mergeCell ref="W645:Y645"/>
    <mergeCell ref="AG665:AH665"/>
    <mergeCell ref="Z642:AB642"/>
    <mergeCell ref="T728:W728"/>
    <mergeCell ref="K722:N725"/>
    <mergeCell ref="C570:L570"/>
    <mergeCell ref="AC379:AF379"/>
    <mergeCell ref="C566:L566"/>
    <mergeCell ref="AC515:AF515"/>
    <mergeCell ref="AE411:AJ411"/>
    <mergeCell ref="AC394:AJ394"/>
    <mergeCell ref="S411:U411"/>
    <mergeCell ref="AC529:AF529"/>
    <mergeCell ref="AH535:AK535"/>
    <mergeCell ref="AC525:AF525"/>
    <mergeCell ref="AC512:AF512"/>
    <mergeCell ref="T564:V564"/>
    <mergeCell ref="W559:Y561"/>
    <mergeCell ref="V386:W386"/>
    <mergeCell ref="S386:T386"/>
    <mergeCell ref="D451:AF451"/>
    <mergeCell ref="AF439:AG439"/>
    <mergeCell ref="AG446:AJ446"/>
    <mergeCell ref="J397:U397"/>
    <mergeCell ref="AG458:AJ458"/>
    <mergeCell ref="AC463:AF463"/>
    <mergeCell ref="P434:Q434"/>
    <mergeCell ref="I427:K427"/>
    <mergeCell ref="S422:T422"/>
    <mergeCell ref="B511:H516"/>
    <mergeCell ref="N689:O689"/>
    <mergeCell ref="X727:AB727"/>
    <mergeCell ref="G694:R694"/>
    <mergeCell ref="C643:L643"/>
    <mergeCell ref="AM565:AS565"/>
    <mergeCell ref="W638:Y638"/>
    <mergeCell ref="Z667:AK667"/>
    <mergeCell ref="AG404:AJ404"/>
    <mergeCell ref="AI401:AJ401"/>
    <mergeCell ref="AG403:AJ403"/>
    <mergeCell ref="E429:AJ429"/>
    <mergeCell ref="Q562:S562"/>
    <mergeCell ref="AC518:AF518"/>
    <mergeCell ref="N591:O591"/>
    <mergeCell ref="AH522:AK522"/>
    <mergeCell ref="Q563:S563"/>
    <mergeCell ref="Q559:S561"/>
    <mergeCell ref="M563:P563"/>
    <mergeCell ref="Q565:S565"/>
    <mergeCell ref="C563:L563"/>
    <mergeCell ref="C564:L564"/>
    <mergeCell ref="M564:P564"/>
    <mergeCell ref="C567:L567"/>
    <mergeCell ref="B559:L561"/>
    <mergeCell ref="W570:Y570"/>
    <mergeCell ref="T567:V567"/>
    <mergeCell ref="D446:AF446"/>
    <mergeCell ref="AC645:AE645"/>
    <mergeCell ref="X722:AB725"/>
    <mergeCell ref="AE702:AF702"/>
    <mergeCell ref="A717:AT719"/>
    <mergeCell ref="G668:R668"/>
    <mergeCell ref="I430:K430"/>
    <mergeCell ref="AH532:AK532"/>
    <mergeCell ref="AH533:AK533"/>
    <mergeCell ref="P427:R427"/>
    <mergeCell ref="CG742:CH742"/>
    <mergeCell ref="M503:P503"/>
    <mergeCell ref="AC509:AF509"/>
    <mergeCell ref="AG447:AJ447"/>
    <mergeCell ref="B509:H510"/>
    <mergeCell ref="O531:AA531"/>
    <mergeCell ref="M566:P566"/>
    <mergeCell ref="G579:R579"/>
    <mergeCell ref="Q567:S567"/>
    <mergeCell ref="C635:L635"/>
    <mergeCell ref="P589:R589"/>
    <mergeCell ref="N599:O599"/>
    <mergeCell ref="Q568:S568"/>
    <mergeCell ref="Q573:S573"/>
    <mergeCell ref="Q569:S569"/>
    <mergeCell ref="D458:AF458"/>
    <mergeCell ref="W427:Y427"/>
    <mergeCell ref="AG448:AJ448"/>
    <mergeCell ref="AE433:AF433"/>
    <mergeCell ref="AC513:AF513"/>
    <mergeCell ref="AH530:AK530"/>
    <mergeCell ref="M559:P561"/>
    <mergeCell ref="AC544:AF544"/>
    <mergeCell ref="D476:V476"/>
    <mergeCell ref="G730:J730"/>
    <mergeCell ref="B737:F737"/>
    <mergeCell ref="B739:F739"/>
    <mergeCell ref="B738:F738"/>
    <mergeCell ref="CZ783:DD783"/>
    <mergeCell ref="CZ784:DD784"/>
    <mergeCell ref="Z641:AB641"/>
    <mergeCell ref="CZ738:DD738"/>
    <mergeCell ref="AI687:AK687"/>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AK737:AO737"/>
    <mergeCell ref="CP745:CT745"/>
    <mergeCell ref="CI743:CJ743"/>
    <mergeCell ref="CK743:CL743"/>
    <mergeCell ref="AK747:AO747"/>
    <mergeCell ref="CP805:CT805"/>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AH524:AK524"/>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W569:Y569"/>
    <mergeCell ref="AG452:AJ452"/>
    <mergeCell ref="AG453:AJ453"/>
    <mergeCell ref="AC549:AF549"/>
    <mergeCell ref="W565:Y565"/>
    <mergeCell ref="AC534:AF534"/>
    <mergeCell ref="AE565:AH565"/>
    <mergeCell ref="T570:V570"/>
    <mergeCell ref="AH511:AK511"/>
    <mergeCell ref="AC508:AF508"/>
    <mergeCell ref="AH540:AK540"/>
    <mergeCell ref="AC530:AF530"/>
    <mergeCell ref="T562:V562"/>
    <mergeCell ref="AC532:AF532"/>
    <mergeCell ref="AH514:AK514"/>
    <mergeCell ref="AH516:AK516"/>
    <mergeCell ref="AC548:AF548"/>
    <mergeCell ref="AC516:AF516"/>
    <mergeCell ref="Z563:AD563"/>
    <mergeCell ref="O543:AA543"/>
    <mergeCell ref="AH531:AK531"/>
    <mergeCell ref="AE562:AH562"/>
    <mergeCell ref="Q495:AK495"/>
    <mergeCell ref="Q494:AK494"/>
    <mergeCell ref="AH510:AK510"/>
    <mergeCell ref="AC507:AK507"/>
    <mergeCell ref="W476:Y476"/>
    <mergeCell ref="AC538:AF538"/>
    <mergeCell ref="O540:AA540"/>
    <mergeCell ref="D460:AJ461"/>
    <mergeCell ref="O537:AA537"/>
    <mergeCell ref="AC465:AF465"/>
    <mergeCell ref="M562:P562"/>
    <mergeCell ref="AG459:AJ459"/>
    <mergeCell ref="D475:V475"/>
    <mergeCell ref="AG450:AJ450"/>
    <mergeCell ref="AC546:AF546"/>
    <mergeCell ref="Z562:AD562"/>
    <mergeCell ref="AH539:AK539"/>
    <mergeCell ref="AH548:AK548"/>
    <mergeCell ref="AC523:AF523"/>
    <mergeCell ref="AC522:AF522"/>
    <mergeCell ref="AH546:AK546"/>
    <mergeCell ref="FT750:FX750"/>
    <mergeCell ref="Q502:AK502"/>
    <mergeCell ref="AC464:AF464"/>
    <mergeCell ref="D474:V474"/>
    <mergeCell ref="Q499:AK499"/>
    <mergeCell ref="AH503:AK503"/>
    <mergeCell ref="D473:V473"/>
    <mergeCell ref="AC517:AF517"/>
    <mergeCell ref="Q493:AK493"/>
    <mergeCell ref="AC533:AF533"/>
    <mergeCell ref="W482:Y482"/>
    <mergeCell ref="AK750:AO750"/>
    <mergeCell ref="DU749:DY749"/>
    <mergeCell ref="DZ749:ED749"/>
    <mergeCell ref="AC520:AF520"/>
    <mergeCell ref="AC550:AF550"/>
    <mergeCell ref="B497:P498"/>
    <mergeCell ref="AC514:AF514"/>
    <mergeCell ref="Q497:R498"/>
    <mergeCell ref="Q496:AK496"/>
    <mergeCell ref="AH543:AK543"/>
    <mergeCell ref="AC540:AF540"/>
    <mergeCell ref="B749:F749"/>
    <mergeCell ref="DJ741:DN741"/>
    <mergeCell ref="D480:V480"/>
    <mergeCell ref="W480:Y480"/>
    <mergeCell ref="AE559:AH561"/>
    <mergeCell ref="AI559:AL561"/>
    <mergeCell ref="AH518:AK518"/>
    <mergeCell ref="AA590:AK590"/>
    <mergeCell ref="H581:R581"/>
    <mergeCell ref="B574:AL574"/>
    <mergeCell ref="AE568:AH568"/>
    <mergeCell ref="N583:O583"/>
    <mergeCell ref="G729:J729"/>
    <mergeCell ref="Z559:AD561"/>
    <mergeCell ref="AH521:AK521"/>
    <mergeCell ref="DJ750:DN750"/>
    <mergeCell ref="CP742:CT742"/>
    <mergeCell ref="AH545:AK545"/>
    <mergeCell ref="AC542:AF542"/>
    <mergeCell ref="AH550:AK550"/>
    <mergeCell ref="AH515:AK515"/>
    <mergeCell ref="AC539:AF539"/>
    <mergeCell ref="AC547:AF547"/>
    <mergeCell ref="L516:AB516"/>
    <mergeCell ref="O528:AA528"/>
    <mergeCell ref="AH526:AK526"/>
    <mergeCell ref="Z577:AK577"/>
    <mergeCell ref="AH523:AK523"/>
    <mergeCell ref="CP747:CT747"/>
    <mergeCell ref="CM746:CN746"/>
    <mergeCell ref="AK642:AN642"/>
    <mergeCell ref="G691:R691"/>
    <mergeCell ref="FY755:GC755"/>
    <mergeCell ref="EE757:EI757"/>
    <mergeCell ref="EJ757:EN757"/>
    <mergeCell ref="EO757:ES757"/>
    <mergeCell ref="EE755:EI755"/>
    <mergeCell ref="EJ755:EN755"/>
    <mergeCell ref="EE750:EI750"/>
    <mergeCell ref="EJ750:EN750"/>
    <mergeCell ref="EO750:ES750"/>
    <mergeCell ref="FT756:FX756"/>
    <mergeCell ref="FT757:FX757"/>
    <mergeCell ref="DJ749:DN749"/>
    <mergeCell ref="DO749:DS749"/>
    <mergeCell ref="CI757:CJ757"/>
    <mergeCell ref="CK757:CL757"/>
    <mergeCell ref="CM757:CN757"/>
    <mergeCell ref="CP757:CT757"/>
    <mergeCell ref="CU757:CY757"/>
    <mergeCell ref="CZ757:DD757"/>
    <mergeCell ref="DE757:DI757"/>
    <mergeCell ref="DJ757:DN757"/>
    <mergeCell ref="DO757:DS757"/>
    <mergeCell ref="CZ756:DD756"/>
    <mergeCell ref="DE756:DI756"/>
    <mergeCell ref="DJ756:DN756"/>
    <mergeCell ref="DO756:DS756"/>
    <mergeCell ref="CU755:CY755"/>
    <mergeCell ref="CZ755:DD755"/>
    <mergeCell ref="DE755:DI755"/>
    <mergeCell ref="CP752:CT752"/>
    <mergeCell ref="DJ752:DN752"/>
    <mergeCell ref="CM750:CN750"/>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J752:EN752"/>
    <mergeCell ref="EO752:ES752"/>
    <mergeCell ref="ET752:EX752"/>
    <mergeCell ref="FO751:FS751"/>
    <mergeCell ref="FT751:FX751"/>
    <mergeCell ref="EZ751:FD751"/>
    <mergeCell ref="EW644:FA644"/>
    <mergeCell ref="ER645:EV645"/>
    <mergeCell ref="ET757:EX757"/>
    <mergeCell ref="DU758:DY758"/>
    <mergeCell ref="DZ758:ED758"/>
    <mergeCell ref="EE758:EI758"/>
    <mergeCell ref="EJ758:EN758"/>
    <mergeCell ref="EO758:ES758"/>
    <mergeCell ref="ET758:EX758"/>
    <mergeCell ref="FY756:GC756"/>
    <mergeCell ref="EZ757:FD757"/>
    <mergeCell ref="FE757:FI757"/>
    <mergeCell ref="FJ757:FN757"/>
    <mergeCell ref="FO757:FS757"/>
    <mergeCell ref="FY753:GC753"/>
    <mergeCell ref="EZ754:FD754"/>
    <mergeCell ref="ET753:EX753"/>
    <mergeCell ref="DU754:DY754"/>
    <mergeCell ref="DZ754:ED754"/>
    <mergeCell ref="EE754:EI754"/>
    <mergeCell ref="EJ754:EN754"/>
    <mergeCell ref="EO754:ES754"/>
    <mergeCell ref="ET754:EX754"/>
    <mergeCell ref="DU755:DY755"/>
    <mergeCell ref="DZ755:ED755"/>
    <mergeCell ref="FT754:FX754"/>
    <mergeCell ref="FY754:GC754"/>
    <mergeCell ref="EZ755:FD755"/>
    <mergeCell ref="FE755:FI755"/>
    <mergeCell ref="FJ755:FN755"/>
    <mergeCell ref="FY751:GC751"/>
    <mergeCell ref="FT755:FX755"/>
    <mergeCell ref="FT758:FX758"/>
    <mergeCell ref="FY758:GC758"/>
    <mergeCell ref="DX666:EB666"/>
    <mergeCell ref="EC666:EG666"/>
    <mergeCell ref="EH666:EL666"/>
    <mergeCell ref="EM666:EQ666"/>
    <mergeCell ref="ER666:EV666"/>
    <mergeCell ref="EW666:FA666"/>
    <mergeCell ref="EC673:EG673"/>
    <mergeCell ref="EH673:EL673"/>
    <mergeCell ref="EM673:EQ673"/>
    <mergeCell ref="ER673:EV673"/>
    <mergeCell ref="EW673:FA673"/>
    <mergeCell ref="EW670:FA670"/>
    <mergeCell ref="DX671:EB671"/>
    <mergeCell ref="EC671:EG671"/>
    <mergeCell ref="EH671:EL671"/>
    <mergeCell ref="EM671:EQ671"/>
    <mergeCell ref="ER671:EV671"/>
    <mergeCell ref="EW671:FA671"/>
    <mergeCell ref="EC667:EG667"/>
    <mergeCell ref="EJ753:EN753"/>
    <mergeCell ref="EZ749:FD749"/>
    <mergeCell ref="FE749:FI749"/>
    <mergeCell ref="FJ749:FN749"/>
    <mergeCell ref="FO749:FS749"/>
    <mergeCell ref="FY749:GC749"/>
    <mergeCell ref="EZ750:FD750"/>
    <mergeCell ref="FE751:FI751"/>
    <mergeCell ref="FJ751:FN751"/>
    <mergeCell ref="FY750:GC750"/>
    <mergeCell ref="DU753:DY753"/>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FO758:FS758"/>
    <mergeCell ref="EM667:EQ667"/>
    <mergeCell ref="ER667:EV667"/>
    <mergeCell ref="EW667:FA667"/>
    <mergeCell ref="DX668:EB668"/>
    <mergeCell ref="EC668:EG668"/>
    <mergeCell ref="EZ756:FD756"/>
    <mergeCell ref="FY757:GC757"/>
    <mergeCell ref="FE754:FI754"/>
    <mergeCell ref="FJ754:FN754"/>
    <mergeCell ref="FO754:FS754"/>
    <mergeCell ref="DZ753:ED753"/>
    <mergeCell ref="CU748:CY748"/>
    <mergeCell ref="CI747:CJ747"/>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CK758:CL758"/>
    <mergeCell ref="CM758:CN758"/>
    <mergeCell ref="FO755:FS755"/>
    <mergeCell ref="CM761:CN761"/>
    <mergeCell ref="CI755:CJ755"/>
    <mergeCell ref="CK755:CL755"/>
    <mergeCell ref="CM755:CN755"/>
    <mergeCell ref="CP750:CT750"/>
    <mergeCell ref="CP751:CT751"/>
    <mergeCell ref="DJ751:DN751"/>
    <mergeCell ref="DO751:DS751"/>
    <mergeCell ref="DO752:DS752"/>
    <mergeCell ref="CM753:CN753"/>
    <mergeCell ref="CG754:CH754"/>
    <mergeCell ref="CI754:CJ754"/>
    <mergeCell ref="DO758:DS758"/>
    <mergeCell ref="DJ753:DN753"/>
    <mergeCell ref="DO753:DS753"/>
    <mergeCell ref="CG752:CH752"/>
    <mergeCell ref="CI752:CJ752"/>
    <mergeCell ref="CG758:CH758"/>
    <mergeCell ref="CU750:CY750"/>
    <mergeCell ref="CZ750:DD750"/>
    <mergeCell ref="DE754:DI754"/>
    <mergeCell ref="DO750:DS750"/>
    <mergeCell ref="CU751:CY751"/>
    <mergeCell ref="CZ751:DD751"/>
    <mergeCell ref="DE751:DI751"/>
    <mergeCell ref="DJ755:DN755"/>
    <mergeCell ref="CG753:CH753"/>
    <mergeCell ref="CI753:CJ753"/>
    <mergeCell ref="CU752:CY752"/>
    <mergeCell ref="DO755:DS755"/>
    <mergeCell ref="CP753:CT753"/>
    <mergeCell ref="DE795:DI795"/>
    <mergeCell ref="DE796:DI796"/>
    <mergeCell ref="CI758:CJ758"/>
    <mergeCell ref="DE798:DI798"/>
    <mergeCell ref="DE799:DI799"/>
    <mergeCell ref="DE800:DI800"/>
    <mergeCell ref="CZ752:DD752"/>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I756:CJ756"/>
    <mergeCell ref="CI749:CJ749"/>
    <mergeCell ref="AK755:AO755"/>
    <mergeCell ref="CP756:CT756"/>
    <mergeCell ref="CU756:CY756"/>
    <mergeCell ref="DE749:DI749"/>
    <mergeCell ref="CK741:CL741"/>
    <mergeCell ref="CG755:CH755"/>
    <mergeCell ref="DE802:DI802"/>
    <mergeCell ref="AK751:AO751"/>
    <mergeCell ref="AK752:AO752"/>
    <mergeCell ref="X751:AB751"/>
    <mergeCell ref="X752:AB752"/>
    <mergeCell ref="AH751:AJ751"/>
    <mergeCell ref="AH752:AJ752"/>
    <mergeCell ref="G739:J739"/>
    <mergeCell ref="X746:AB746"/>
    <mergeCell ref="X737:AB737"/>
    <mergeCell ref="CU759:CY759"/>
    <mergeCell ref="CU784:CY784"/>
    <mergeCell ref="CP758:CT758"/>
    <mergeCell ref="CU758:CY758"/>
    <mergeCell ref="J787:K787"/>
    <mergeCell ref="J795:N795"/>
    <mergeCell ref="CP759:CT759"/>
    <mergeCell ref="CM759:CN759"/>
    <mergeCell ref="AK756:AO756"/>
    <mergeCell ref="AC758:AG758"/>
    <mergeCell ref="AC759:AG759"/>
    <mergeCell ref="O753:S753"/>
    <mergeCell ref="T756:W756"/>
    <mergeCell ref="X755:AB755"/>
    <mergeCell ref="AH760:AJ760"/>
    <mergeCell ref="X754:AB754"/>
    <mergeCell ref="CK754:CL754"/>
    <mergeCell ref="CM754:CN754"/>
    <mergeCell ref="CG747:CH747"/>
    <mergeCell ref="CG748:CH748"/>
    <mergeCell ref="CK745:CL745"/>
    <mergeCell ref="CG740:CH740"/>
    <mergeCell ref="DO799:DS79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Z804:DD804"/>
    <mergeCell ref="CZ805:DD805"/>
    <mergeCell ref="DE801:DI801"/>
    <mergeCell ref="DU804:DY804"/>
    <mergeCell ref="DE797:DI797"/>
    <mergeCell ref="EO805:ES805"/>
    <mergeCell ref="DZ795:ED795"/>
    <mergeCell ref="DZ796:ED796"/>
    <mergeCell ref="DZ797:ED797"/>
    <mergeCell ref="DZ798:ED798"/>
    <mergeCell ref="DZ799:ED799"/>
    <mergeCell ref="DZ800:ED800"/>
    <mergeCell ref="DZ801:ED801"/>
    <mergeCell ref="DZ802:ED802"/>
    <mergeCell ref="DZ803:ED803"/>
    <mergeCell ref="DZ804:ED804"/>
    <mergeCell ref="DZ805:ED805"/>
    <mergeCell ref="DE803:DI803"/>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DO796:DS796"/>
    <mergeCell ref="DO797:DS797"/>
    <mergeCell ref="DO798:DS798"/>
    <mergeCell ref="EO803:ES803"/>
    <mergeCell ref="DO800:DS800"/>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EO800:ES800"/>
    <mergeCell ref="EO801:ES801"/>
    <mergeCell ref="EO802:ES802"/>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selection activeCell="I2" sqref="I2"/>
    </sheetView>
  </sheetViews>
  <sheetFormatPr defaultColWidth="0" defaultRowHeight="11.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548</v>
      </c>
      <c r="B1" s="125"/>
      <c r="C1" s="125"/>
      <c r="D1" s="125"/>
      <c r="E1" s="126"/>
      <c r="F1" s="1869" t="s">
        <v>620</v>
      </c>
      <c r="G1" s="1870"/>
      <c r="H1" s="1870"/>
      <c r="I1" s="1870"/>
      <c r="J1" s="1870"/>
      <c r="K1" s="1870"/>
      <c r="L1" s="1870"/>
      <c r="M1" s="1870"/>
      <c r="N1" s="1870"/>
      <c r="O1" s="1870"/>
      <c r="P1" s="1870"/>
      <c r="Q1" s="1870"/>
      <c r="R1" s="1871"/>
      <c r="S1" s="112"/>
      <c r="T1" s="111"/>
      <c r="U1" s="113"/>
    </row>
    <row r="2" spans="1:21" s="138" customFormat="1" ht="71.25" customHeight="1">
      <c r="A2" s="137"/>
      <c r="B2" s="138" t="s">
        <v>23</v>
      </c>
      <c r="C2" s="138" t="s">
        <v>373</v>
      </c>
      <c r="D2" s="138" t="s">
        <v>372</v>
      </c>
      <c r="E2" s="138" t="s">
        <v>24</v>
      </c>
      <c r="F2" s="139" t="str">
        <f>Application!B635&amp;Application!C635</f>
        <v>1)Citibank, N.A. - Series B</v>
      </c>
      <c r="G2" s="139" t="str">
        <f>Application!B636&amp;Application!C636</f>
        <v>2)Bonneville Multifamily Capital</v>
      </c>
      <c r="H2" s="139" t="str">
        <f>Application!B637&amp;Application!C637</f>
        <v>3)Safehold TI Allowance</v>
      </c>
      <c r="I2" s="139" t="str">
        <f>Application!B638&amp;Application!C638</f>
        <v>4)LIHTC Advisors, LLC</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182</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150000</v>
      </c>
      <c r="C5" s="147">
        <v>150000</v>
      </c>
      <c r="D5" s="147"/>
      <c r="E5" s="147">
        <v>150000</v>
      </c>
      <c r="F5" s="147"/>
      <c r="G5" s="147"/>
      <c r="H5" s="147"/>
      <c r="I5" s="147"/>
      <c r="J5" s="147"/>
      <c r="K5" s="147"/>
      <c r="L5" s="147"/>
      <c r="M5" s="147"/>
      <c r="N5" s="147"/>
      <c r="O5" s="147"/>
      <c r="P5" s="147"/>
      <c r="Q5" s="147"/>
      <c r="R5" s="516">
        <f>SUM(E5:Q5)</f>
        <v>150000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592</v>
      </c>
      <c r="B8" s="146">
        <f>SUM(C8:D8)</f>
        <v>150000</v>
      </c>
      <c r="C8" s="146">
        <f t="shared" ref="C8:Q8" si="0">SUM(C4:C7)</f>
        <v>150000</v>
      </c>
      <c r="D8" s="146">
        <f t="shared" si="0"/>
        <v>0</v>
      </c>
      <c r="E8" s="146">
        <f t="shared" si="0"/>
        <v>150000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150000</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300000</v>
      </c>
      <c r="C10" s="147">
        <v>300000</v>
      </c>
      <c r="D10" s="147"/>
      <c r="E10" s="147">
        <v>300000</v>
      </c>
      <c r="F10" s="147"/>
      <c r="G10" s="147"/>
      <c r="H10" s="147"/>
      <c r="I10" s="147"/>
      <c r="J10" s="147"/>
      <c r="K10" s="147"/>
      <c r="L10" s="147"/>
      <c r="M10" s="147"/>
      <c r="N10" s="147"/>
      <c r="O10" s="147"/>
      <c r="P10" s="147"/>
      <c r="Q10" s="147"/>
      <c r="R10" s="516">
        <f>SUM(E10:Q10)</f>
        <v>300000</v>
      </c>
      <c r="S10" s="147">
        <v>300000</v>
      </c>
      <c r="T10" s="147"/>
      <c r="U10" s="143"/>
    </row>
    <row r="11" spans="1:21" s="144" customFormat="1">
      <c r="A11" s="149" t="s">
        <v>595</v>
      </c>
      <c r="B11" s="146">
        <f>SUM(C11:D11)</f>
        <v>300000</v>
      </c>
      <c r="C11" s="146">
        <f t="shared" ref="C11:Q11" si="1">SUM(C9:C10)</f>
        <v>300000</v>
      </c>
      <c r="D11" s="146">
        <f t="shared" si="1"/>
        <v>0</v>
      </c>
      <c r="E11" s="146">
        <f t="shared" si="1"/>
        <v>300000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300000</v>
      </c>
      <c r="S11" s="148"/>
      <c r="T11" s="150">
        <f>SUM(T9:T10)</f>
        <v>0</v>
      </c>
      <c r="U11" s="143"/>
    </row>
    <row r="12" spans="1:21" s="144" customFormat="1">
      <c r="A12" s="149" t="s">
        <v>84</v>
      </c>
      <c r="B12" s="146">
        <f t="shared" ref="B12:Q12" si="2">SUM(B8+B11)</f>
        <v>450000</v>
      </c>
      <c r="C12" s="146">
        <f t="shared" si="2"/>
        <v>450000</v>
      </c>
      <c r="D12" s="146">
        <f t="shared" si="2"/>
        <v>0</v>
      </c>
      <c r="E12" s="146">
        <f t="shared" si="2"/>
        <v>450000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450000</v>
      </c>
      <c r="S12" s="148"/>
      <c r="T12" s="148"/>
      <c r="U12" s="143"/>
    </row>
    <row r="13" spans="1:21" s="144" customFormat="1">
      <c r="A13" s="287" t="s">
        <v>901</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3">
      <c r="A14" s="288" t="s">
        <v>1630</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1159</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2">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1627</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3930000</v>
      </c>
      <c r="C29" s="147">
        <v>3930000</v>
      </c>
      <c r="D29" s="147"/>
      <c r="E29" s="147">
        <v>3930000</v>
      </c>
      <c r="F29" s="147"/>
      <c r="G29" s="147"/>
      <c r="H29" s="147"/>
      <c r="I29" s="147"/>
      <c r="J29" s="147"/>
      <c r="K29" s="147"/>
      <c r="L29" s="147"/>
      <c r="M29" s="147"/>
      <c r="N29" s="147"/>
      <c r="O29" s="147"/>
      <c r="P29" s="147"/>
      <c r="Q29" s="147"/>
      <c r="R29" s="516">
        <f t="shared" ref="R29:R37" si="7">SUM(E29:Q29)</f>
        <v>3930000</v>
      </c>
      <c r="S29" s="147">
        <v>3930000</v>
      </c>
      <c r="T29" s="147"/>
      <c r="U29" s="143"/>
    </row>
    <row r="30" spans="1:21" s="144" customFormat="1">
      <c r="A30" s="145" t="s">
        <v>598</v>
      </c>
      <c r="B30" s="146">
        <f t="shared" si="6"/>
        <v>31683885</v>
      </c>
      <c r="C30" s="147">
        <v>31683885</v>
      </c>
      <c r="D30" s="147"/>
      <c r="E30" s="147">
        <v>5833885</v>
      </c>
      <c r="F30" s="147">
        <v>17000000</v>
      </c>
      <c r="G30" s="147">
        <v>5000000</v>
      </c>
      <c r="H30" s="147">
        <v>3850000</v>
      </c>
      <c r="I30" s="147"/>
      <c r="J30" s="147"/>
      <c r="K30" s="147"/>
      <c r="L30" s="147"/>
      <c r="M30" s="147"/>
      <c r="N30" s="147"/>
      <c r="O30" s="147"/>
      <c r="P30" s="147"/>
      <c r="Q30" s="147"/>
      <c r="R30" s="516">
        <f t="shared" si="7"/>
        <v>31683885</v>
      </c>
      <c r="S30" s="147">
        <v>31683885</v>
      </c>
      <c r="T30" s="147"/>
      <c r="U30" s="143"/>
    </row>
    <row r="31" spans="1:21" s="144" customFormat="1">
      <c r="A31" s="145" t="s">
        <v>599</v>
      </c>
      <c r="B31" s="146">
        <f t="shared" si="6"/>
        <v>1795694</v>
      </c>
      <c r="C31" s="147">
        <v>1795694</v>
      </c>
      <c r="D31" s="147"/>
      <c r="E31" s="147">
        <v>1795694</v>
      </c>
      <c r="F31" s="147"/>
      <c r="G31" s="147"/>
      <c r="H31" s="147"/>
      <c r="I31" s="147"/>
      <c r="J31" s="147"/>
      <c r="K31" s="147"/>
      <c r="L31" s="147"/>
      <c r="M31" s="147"/>
      <c r="N31" s="147"/>
      <c r="O31" s="147"/>
      <c r="P31" s="147"/>
      <c r="Q31" s="147"/>
      <c r="R31" s="516">
        <f t="shared" si="7"/>
        <v>1795694</v>
      </c>
      <c r="S31" s="147">
        <v>1795694</v>
      </c>
      <c r="T31" s="147"/>
      <c r="U31" s="143"/>
    </row>
    <row r="32" spans="1:21" s="144" customFormat="1">
      <c r="A32" s="145" t="s">
        <v>137</v>
      </c>
      <c r="B32" s="146">
        <f t="shared" si="6"/>
        <v>718278</v>
      </c>
      <c r="C32" s="147">
        <v>718278</v>
      </c>
      <c r="D32" s="147"/>
      <c r="E32" s="147">
        <v>718278</v>
      </c>
      <c r="F32" s="147"/>
      <c r="G32" s="147"/>
      <c r="H32" s="147"/>
      <c r="I32" s="147"/>
      <c r="J32" s="147"/>
      <c r="K32" s="147"/>
      <c r="L32" s="147"/>
      <c r="M32" s="147"/>
      <c r="N32" s="147"/>
      <c r="O32" s="147"/>
      <c r="P32" s="147"/>
      <c r="Q32" s="147"/>
      <c r="R32" s="516">
        <f t="shared" si="7"/>
        <v>718278</v>
      </c>
      <c r="S32" s="147">
        <v>718278</v>
      </c>
      <c r="T32" s="147"/>
      <c r="U32" s="143"/>
    </row>
    <row r="33" spans="1:21" s="144" customFormat="1">
      <c r="A33" s="145" t="s">
        <v>138</v>
      </c>
      <c r="B33" s="146">
        <f t="shared" si="6"/>
        <v>2154833</v>
      </c>
      <c r="C33" s="147">
        <v>2154833</v>
      </c>
      <c r="D33" s="147"/>
      <c r="E33" s="147">
        <v>2154833</v>
      </c>
      <c r="F33" s="147"/>
      <c r="G33" s="147"/>
      <c r="H33" s="147"/>
      <c r="I33" s="147"/>
      <c r="J33" s="147"/>
      <c r="K33" s="147"/>
      <c r="L33" s="147"/>
      <c r="M33" s="147"/>
      <c r="N33" s="147"/>
      <c r="O33" s="147"/>
      <c r="P33" s="147"/>
      <c r="Q33" s="147"/>
      <c r="R33" s="516">
        <f t="shared" si="7"/>
        <v>2154833</v>
      </c>
      <c r="S33" s="147">
        <v>2154833</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6">
        <f t="shared" si="7"/>
        <v>0</v>
      </c>
      <c r="S35" s="147"/>
      <c r="T35" s="147"/>
      <c r="U35" s="143"/>
    </row>
    <row r="36" spans="1:21" s="144" customFormat="1">
      <c r="A36" s="283" t="s">
        <v>1627</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40282690</v>
      </c>
      <c r="C38" s="146">
        <f>SUM(C29:C37)</f>
        <v>40282690</v>
      </c>
      <c r="D38" s="146">
        <f t="shared" ref="D38:Q38" si="8">SUM(D29:D37)</f>
        <v>0</v>
      </c>
      <c r="E38" s="146">
        <f t="shared" si="8"/>
        <v>14432690</v>
      </c>
      <c r="F38" s="146">
        <f t="shared" si="8"/>
        <v>17000000</v>
      </c>
      <c r="G38" s="146">
        <f t="shared" si="8"/>
        <v>5000000</v>
      </c>
      <c r="H38" s="146">
        <f t="shared" si="8"/>
        <v>3850000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40282690</v>
      </c>
      <c r="S38" s="150">
        <f>SUM(S29:S37)</f>
        <v>40282690</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750000</v>
      </c>
      <c r="C40" s="147">
        <v>750000</v>
      </c>
      <c r="D40" s="147"/>
      <c r="E40" s="147">
        <v>750000</v>
      </c>
      <c r="F40" s="147"/>
      <c r="G40" s="147"/>
      <c r="H40" s="147"/>
      <c r="I40" s="147"/>
      <c r="J40" s="147"/>
      <c r="K40" s="147"/>
      <c r="L40" s="147"/>
      <c r="M40" s="147"/>
      <c r="N40" s="147"/>
      <c r="O40" s="147"/>
      <c r="P40" s="147"/>
      <c r="Q40" s="147"/>
      <c r="R40" s="516">
        <f>SUM(E40:Q40)</f>
        <v>750000</v>
      </c>
      <c r="S40" s="147">
        <v>750000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750000</v>
      </c>
      <c r="C42" s="146">
        <f>SUM(C39:C41)</f>
        <v>750000</v>
      </c>
      <c r="D42" s="146">
        <f>SUM(D39:D41)</f>
        <v>0</v>
      </c>
      <c r="E42" s="146">
        <f t="shared" ref="E42:T42" si="9">SUM(E40:E41)</f>
        <v>750000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750000</v>
      </c>
      <c r="S42" s="150">
        <f t="shared" si="9"/>
        <v>750000</v>
      </c>
      <c r="T42" s="150">
        <f t="shared" si="9"/>
        <v>0</v>
      </c>
      <c r="U42" s="143"/>
    </row>
    <row r="43" spans="1:21" s="144" customFormat="1">
      <c r="A43" s="149" t="s">
        <v>148</v>
      </c>
      <c r="B43" s="146">
        <f>SUM(C43:D43)</f>
        <v>400000</v>
      </c>
      <c r="C43" s="147">
        <v>400000</v>
      </c>
      <c r="D43" s="147"/>
      <c r="E43" s="147">
        <v>400000</v>
      </c>
      <c r="F43" s="147"/>
      <c r="G43" s="147"/>
      <c r="H43" s="147"/>
      <c r="I43" s="147"/>
      <c r="J43" s="147"/>
      <c r="K43" s="147"/>
      <c r="L43" s="147"/>
      <c r="M43" s="147"/>
      <c r="N43" s="147"/>
      <c r="O43" s="147"/>
      <c r="P43" s="147"/>
      <c r="Q43" s="147"/>
      <c r="R43" s="516">
        <f>SUM(E43:Q43)</f>
        <v>400000</v>
      </c>
      <c r="S43" s="147">
        <v>400000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3000000</v>
      </c>
      <c r="C45" s="147">
        <v>3000000</v>
      </c>
      <c r="D45" s="147"/>
      <c r="E45" s="147">
        <v>3000000</v>
      </c>
      <c r="F45" s="147"/>
      <c r="G45" s="147"/>
      <c r="H45" s="147"/>
      <c r="I45" s="147"/>
      <c r="J45" s="147"/>
      <c r="K45" s="147"/>
      <c r="L45" s="147"/>
      <c r="M45" s="147"/>
      <c r="N45" s="147"/>
      <c r="O45" s="147"/>
      <c r="P45" s="147"/>
      <c r="Q45" s="147"/>
      <c r="R45" s="516">
        <f t="shared" ref="R45:R53" si="11">SUM(E45:Q45)</f>
        <v>3000000</v>
      </c>
      <c r="S45" s="147">
        <v>3000000</v>
      </c>
      <c r="T45" s="147"/>
      <c r="U45" s="143"/>
    </row>
    <row r="46" spans="1:21" s="144" customFormat="1">
      <c r="A46" s="145" t="s">
        <v>151</v>
      </c>
      <c r="B46" s="146">
        <f t="shared" si="10"/>
        <v>275000</v>
      </c>
      <c r="C46" s="147">
        <v>275000</v>
      </c>
      <c r="D46" s="147"/>
      <c r="E46" s="147">
        <v>275000</v>
      </c>
      <c r="F46" s="147"/>
      <c r="G46" s="147"/>
      <c r="H46" s="147"/>
      <c r="I46" s="147"/>
      <c r="J46" s="147"/>
      <c r="K46" s="147"/>
      <c r="L46" s="147"/>
      <c r="M46" s="147"/>
      <c r="N46" s="147"/>
      <c r="O46" s="147"/>
      <c r="P46" s="147"/>
      <c r="Q46" s="147"/>
      <c r="R46" s="516">
        <f t="shared" si="11"/>
        <v>275000</v>
      </c>
      <c r="S46" s="147">
        <v>275000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0</v>
      </c>
      <c r="C49" s="147"/>
      <c r="D49" s="147"/>
      <c r="E49" s="147"/>
      <c r="F49" s="147"/>
      <c r="G49" s="147"/>
      <c r="H49" s="147"/>
      <c r="I49" s="147"/>
      <c r="J49" s="147"/>
      <c r="K49" s="147"/>
      <c r="L49" s="147"/>
      <c r="M49" s="147"/>
      <c r="N49" s="147"/>
      <c r="O49" s="147"/>
      <c r="P49" s="147"/>
      <c r="Q49" s="147"/>
      <c r="R49" s="516">
        <f t="shared" si="11"/>
        <v>0</v>
      </c>
      <c r="S49" s="147"/>
      <c r="T49" s="147"/>
      <c r="U49" s="143"/>
    </row>
    <row r="50" spans="1:21" s="144" customFormat="1">
      <c r="A50" s="145" t="s">
        <v>156</v>
      </c>
      <c r="B50" s="146">
        <f t="shared" si="10"/>
        <v>60000</v>
      </c>
      <c r="C50" s="147">
        <v>60000</v>
      </c>
      <c r="D50" s="147"/>
      <c r="E50" s="147">
        <v>60000</v>
      </c>
      <c r="F50" s="147"/>
      <c r="G50" s="147"/>
      <c r="H50" s="147"/>
      <c r="I50" s="147"/>
      <c r="J50" s="147"/>
      <c r="K50" s="147"/>
      <c r="L50" s="147"/>
      <c r="M50" s="147"/>
      <c r="N50" s="147"/>
      <c r="O50" s="147"/>
      <c r="P50" s="147"/>
      <c r="Q50" s="147"/>
      <c r="R50" s="516">
        <f t="shared" si="11"/>
        <v>60000</v>
      </c>
      <c r="S50" s="147">
        <v>60000</v>
      </c>
      <c r="T50" s="147"/>
      <c r="U50" s="143"/>
    </row>
    <row r="51" spans="1:21" s="144" customFormat="1">
      <c r="A51" s="283" t="s">
        <v>154</v>
      </c>
      <c r="B51" s="146">
        <f t="shared" si="10"/>
        <v>15000</v>
      </c>
      <c r="C51" s="147">
        <v>15000</v>
      </c>
      <c r="D51" s="147"/>
      <c r="E51" s="147">
        <v>15000</v>
      </c>
      <c r="F51" s="147"/>
      <c r="G51" s="147"/>
      <c r="H51" s="147"/>
      <c r="I51" s="147"/>
      <c r="J51" s="147"/>
      <c r="K51" s="147"/>
      <c r="L51" s="147"/>
      <c r="M51" s="147"/>
      <c r="N51" s="147"/>
      <c r="O51" s="147"/>
      <c r="P51" s="147"/>
      <c r="Q51" s="147"/>
      <c r="R51" s="516">
        <f t="shared" si="11"/>
        <v>15000</v>
      </c>
      <c r="S51" s="147">
        <v>15000</v>
      </c>
      <c r="T51" s="147"/>
      <c r="U51" s="143"/>
    </row>
    <row r="52" spans="1:21" s="144" customFormat="1">
      <c r="A52" s="145" t="s">
        <v>155</v>
      </c>
      <c r="B52" s="146">
        <f t="shared" si="10"/>
        <v>745700</v>
      </c>
      <c r="C52" s="147">
        <v>745700</v>
      </c>
      <c r="D52" s="147"/>
      <c r="E52" s="147">
        <v>745700</v>
      </c>
      <c r="F52" s="147"/>
      <c r="G52" s="147"/>
      <c r="H52" s="147"/>
      <c r="I52" s="147"/>
      <c r="J52" s="147"/>
      <c r="K52" s="147"/>
      <c r="L52" s="147"/>
      <c r="M52" s="147"/>
      <c r="N52" s="147"/>
      <c r="O52" s="147"/>
      <c r="P52" s="147"/>
      <c r="Q52" s="147"/>
      <c r="R52" s="516">
        <f t="shared" si="11"/>
        <v>745700</v>
      </c>
      <c r="S52" s="147">
        <v>745700</v>
      </c>
      <c r="T52" s="147"/>
      <c r="U52" s="143"/>
    </row>
    <row r="53" spans="1:21" s="144" customFormat="1">
      <c r="A53" s="1143" t="s">
        <v>2757</v>
      </c>
      <c r="B53" s="146">
        <f t="shared" si="10"/>
        <v>100000</v>
      </c>
      <c r="C53" s="147">
        <v>100000</v>
      </c>
      <c r="D53" s="147"/>
      <c r="E53" s="147">
        <v>100000</v>
      </c>
      <c r="F53" s="147"/>
      <c r="G53" s="147"/>
      <c r="H53" s="147"/>
      <c r="I53" s="147"/>
      <c r="J53" s="147"/>
      <c r="K53" s="147"/>
      <c r="L53" s="147"/>
      <c r="M53" s="147"/>
      <c r="N53" s="147"/>
      <c r="O53" s="147"/>
      <c r="P53" s="147"/>
      <c r="Q53" s="147"/>
      <c r="R53" s="516">
        <f t="shared" si="11"/>
        <v>100000</v>
      </c>
      <c r="S53" s="147">
        <v>100000</v>
      </c>
      <c r="T53" s="147"/>
      <c r="U53" s="143"/>
    </row>
    <row r="54" spans="1:21" s="153" customFormat="1">
      <c r="A54" s="149" t="s">
        <v>157</v>
      </c>
      <c r="B54" s="150">
        <f>SUM(C54:D54)</f>
        <v>4195700</v>
      </c>
      <c r="C54" s="150">
        <f t="shared" ref="C54:T54" si="12">SUM(C45:C53)</f>
        <v>4195700</v>
      </c>
      <c r="D54" s="150">
        <f t="shared" si="12"/>
        <v>0</v>
      </c>
      <c r="E54" s="150">
        <f t="shared" si="12"/>
        <v>4195700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4195700</v>
      </c>
      <c r="S54" s="150">
        <f t="shared" si="12"/>
        <v>4195700</v>
      </c>
      <c r="T54" s="150">
        <f t="shared" si="12"/>
        <v>0</v>
      </c>
      <c r="U54" s="152"/>
    </row>
    <row r="55" spans="1:21" s="144" customFormat="1" ht="12">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25000</v>
      </c>
      <c r="C56" s="147">
        <v>25000</v>
      </c>
      <c r="D56" s="147"/>
      <c r="E56" s="147">
        <v>25000</v>
      </c>
      <c r="F56" s="147"/>
      <c r="G56" s="147"/>
      <c r="H56" s="147"/>
      <c r="I56" s="147"/>
      <c r="J56" s="147"/>
      <c r="K56" s="147"/>
      <c r="L56" s="147"/>
      <c r="M56" s="147"/>
      <c r="N56" s="147"/>
      <c r="O56" s="147"/>
      <c r="P56" s="147"/>
      <c r="Q56" s="147"/>
      <c r="R56" s="516">
        <f t="shared" ref="R56:R61" si="14">SUM(E56:Q56)</f>
        <v>25000</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16">
        <f t="shared" si="14"/>
        <v>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3" t="s">
        <v>169</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75" customHeight="1">
      <c r="A62" s="149" t="s">
        <v>300</v>
      </c>
      <c r="B62" s="146">
        <f>SUM(C62:D62)</f>
        <v>25000</v>
      </c>
      <c r="C62" s="146">
        <f t="shared" ref="C62:R62" si="15">SUM(C56:C61)</f>
        <v>25000</v>
      </c>
      <c r="D62" s="146">
        <f t="shared" si="15"/>
        <v>0</v>
      </c>
      <c r="E62" s="146">
        <f t="shared" si="15"/>
        <v>25000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25000</v>
      </c>
      <c r="S62" s="148"/>
      <c r="T62" s="148"/>
      <c r="U62" s="143"/>
    </row>
    <row r="63" spans="1:21" s="144" customFormat="1">
      <c r="A63" s="154" t="s">
        <v>301</v>
      </c>
      <c r="B63" s="146">
        <f t="shared" ref="B63:R63" si="16">SUM(B8+B11+B13+B14+B15+B26+B27+B38+B42+B43+B54+B62)</f>
        <v>46103390</v>
      </c>
      <c r="C63" s="146">
        <f t="shared" si="16"/>
        <v>46103390</v>
      </c>
      <c r="D63" s="146">
        <f t="shared" si="16"/>
        <v>0</v>
      </c>
      <c r="E63" s="146">
        <f t="shared" si="16"/>
        <v>20253390</v>
      </c>
      <c r="F63" s="146">
        <f t="shared" si="16"/>
        <v>17000000</v>
      </c>
      <c r="G63" s="146">
        <f t="shared" si="16"/>
        <v>5000000</v>
      </c>
      <c r="H63" s="146">
        <f t="shared" si="16"/>
        <v>3850000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46103390</v>
      </c>
      <c r="S63" s="146">
        <f>SUM(S10+S13+S14+S15+S26+S27+S38+S42+S43+S54)</f>
        <v>45928390</v>
      </c>
      <c r="T63" s="146">
        <f>SUM(T11+T13+T14+T15+T26+T27+T38+T42+T43+T54)</f>
        <v>0</v>
      </c>
      <c r="U63" s="143"/>
    </row>
    <row r="64" spans="1:21" s="144" customFormat="1" ht="24">
      <c r="A64" s="141" t="s">
        <v>1631</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100000</v>
      </c>
      <c r="C65" s="147">
        <v>100000</v>
      </c>
      <c r="D65" s="147"/>
      <c r="E65" s="147">
        <v>100000</v>
      </c>
      <c r="F65" s="147"/>
      <c r="G65" s="147"/>
      <c r="H65" s="147"/>
      <c r="I65" s="147"/>
      <c r="J65" s="147"/>
      <c r="K65" s="147"/>
      <c r="L65" s="147"/>
      <c r="M65" s="147"/>
      <c r="N65" s="147"/>
      <c r="O65" s="147"/>
      <c r="P65" s="147"/>
      <c r="Q65" s="147"/>
      <c r="R65" s="516">
        <f>SUM(E65:Q65)</f>
        <v>100000</v>
      </c>
      <c r="S65" s="147">
        <v>100000</v>
      </c>
      <c r="T65" s="147"/>
      <c r="U65" s="143"/>
    </row>
    <row r="66" spans="1:21" s="144" customFormat="1" ht="24" customHeight="1">
      <c r="A66" s="283" t="s">
        <v>1628</v>
      </c>
      <c r="B66" s="146">
        <f>SUM(C66+D66)</f>
        <v>60000</v>
      </c>
      <c r="C66" s="147">
        <v>60000</v>
      </c>
      <c r="D66" s="147"/>
      <c r="E66" s="147">
        <v>60000</v>
      </c>
      <c r="F66" s="147"/>
      <c r="G66" s="147"/>
      <c r="H66" s="147"/>
      <c r="I66" s="147"/>
      <c r="J66" s="147"/>
      <c r="K66" s="147"/>
      <c r="L66" s="147"/>
      <c r="M66" s="147"/>
      <c r="N66" s="147"/>
      <c r="O66" s="147"/>
      <c r="P66" s="147"/>
      <c r="Q66" s="147"/>
      <c r="R66" s="516">
        <f>SUM(E66:Q66)</f>
        <v>60000</v>
      </c>
      <c r="S66" s="147">
        <v>60000</v>
      </c>
      <c r="T66" s="147"/>
      <c r="U66" s="143"/>
    </row>
    <row r="67" spans="1:21" s="144" customFormat="1" ht="24" customHeight="1">
      <c r="A67" s="283" t="s">
        <v>1629</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1635</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2758</v>
      </c>
      <c r="B69" s="146">
        <f>SUM(C69+D69)</f>
        <v>1000000</v>
      </c>
      <c r="C69" s="147">
        <v>1000000</v>
      </c>
      <c r="D69" s="147"/>
      <c r="E69" s="147">
        <v>1000000</v>
      </c>
      <c r="F69" s="147"/>
      <c r="G69" s="147"/>
      <c r="H69" s="147"/>
      <c r="I69" s="147"/>
      <c r="J69" s="147"/>
      <c r="K69" s="147"/>
      <c r="L69" s="147"/>
      <c r="M69" s="147"/>
      <c r="N69" s="147"/>
      <c r="O69" s="147"/>
      <c r="P69" s="147"/>
      <c r="Q69" s="147"/>
      <c r="R69" s="516">
        <f>SUM(E69:Q69)</f>
        <v>1000000</v>
      </c>
      <c r="S69" s="147">
        <v>1000000</v>
      </c>
      <c r="T69" s="147"/>
      <c r="U69" s="143"/>
    </row>
    <row r="70" spans="1:21" s="144" customFormat="1">
      <c r="A70" s="149" t="s">
        <v>1632</v>
      </c>
      <c r="B70" s="146">
        <f>SUM(C70:D70)</f>
        <v>1160000</v>
      </c>
      <c r="C70" s="146">
        <f>SUM(C65:C69)</f>
        <v>1160000</v>
      </c>
      <c r="D70" s="146">
        <f>SUM(D65:D69)</f>
        <v>0</v>
      </c>
      <c r="E70" s="146">
        <f t="shared" ref="E70:T70" si="17">SUM(E65:E69)</f>
        <v>1160000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1160000</v>
      </c>
      <c r="S70" s="150">
        <f t="shared" si="17"/>
        <v>1160000</v>
      </c>
      <c r="T70" s="150">
        <f t="shared" si="17"/>
        <v>0</v>
      </c>
      <c r="U70" s="143"/>
    </row>
    <row r="71" spans="1:21" s="144" customFormat="1" ht="12">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100000</v>
      </c>
      <c r="C72" s="147">
        <v>100000</v>
      </c>
      <c r="D72" s="147"/>
      <c r="E72" s="147">
        <v>100000</v>
      </c>
      <c r="F72" s="147"/>
      <c r="G72" s="147"/>
      <c r="H72" s="147"/>
      <c r="I72" s="147"/>
      <c r="J72" s="147"/>
      <c r="K72" s="147"/>
      <c r="L72" s="147"/>
      <c r="M72" s="147"/>
      <c r="N72" s="147"/>
      <c r="O72" s="147"/>
      <c r="P72" s="147"/>
      <c r="Q72" s="147"/>
      <c r="R72" s="516">
        <f>SUM(E72:Q72)</f>
        <v>100000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984</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544209</v>
      </c>
      <c r="C75" s="147">
        <v>544209</v>
      </c>
      <c r="D75" s="147"/>
      <c r="E75" s="147">
        <v>544209</v>
      </c>
      <c r="F75" s="147"/>
      <c r="G75" s="147"/>
      <c r="H75" s="147"/>
      <c r="I75" s="147"/>
      <c r="J75" s="147"/>
      <c r="K75" s="147"/>
      <c r="L75" s="147"/>
      <c r="M75" s="147"/>
      <c r="N75" s="147"/>
      <c r="O75" s="147"/>
      <c r="P75" s="147"/>
      <c r="Q75" s="147"/>
      <c r="R75" s="516">
        <f>SUM(E75:Q75)</f>
        <v>544209</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605</v>
      </c>
      <c r="B77" s="146">
        <f>SUM(C77:D77)</f>
        <v>644209</v>
      </c>
      <c r="C77" s="146">
        <f>SUM(C72:C76)</f>
        <v>644209</v>
      </c>
      <c r="D77" s="146">
        <f>SUM(D72:D76)</f>
        <v>0</v>
      </c>
      <c r="E77" s="146">
        <f t="shared" ref="E77:Q77" si="18">SUM(E72:E76)</f>
        <v>644209</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644209</v>
      </c>
      <c r="S77" s="148"/>
      <c r="T77" s="148"/>
      <c r="U77" s="143"/>
    </row>
    <row r="78" spans="1:21" s="144" customFormat="1" ht="12">
      <c r="A78" s="141" t="s">
        <v>1208</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1210</v>
      </c>
      <c r="B79" s="146">
        <f>SUM(C79:D79)</f>
        <v>2029100</v>
      </c>
      <c r="C79" s="147">
        <v>2029100</v>
      </c>
      <c r="D79" s="147"/>
      <c r="E79" s="147">
        <v>2029100</v>
      </c>
      <c r="F79" s="147"/>
      <c r="G79" s="147"/>
      <c r="H79" s="147"/>
      <c r="I79" s="147"/>
      <c r="J79" s="147"/>
      <c r="K79" s="147"/>
      <c r="L79" s="147"/>
      <c r="M79" s="147"/>
      <c r="N79" s="147"/>
      <c r="O79" s="147"/>
      <c r="P79" s="147"/>
      <c r="Q79" s="147"/>
      <c r="R79" s="516">
        <f>SUM(E79:Q79)</f>
        <v>2029100</v>
      </c>
      <c r="S79" s="147">
        <v>2029100</v>
      </c>
      <c r="T79" s="147"/>
      <c r="U79" s="143"/>
    </row>
    <row r="80" spans="1:21" s="144" customFormat="1">
      <c r="A80" s="283" t="s">
        <v>58</v>
      </c>
      <c r="B80" s="146">
        <f>SUM(C80:D80)</f>
        <v>300000</v>
      </c>
      <c r="C80" s="147">
        <v>300000</v>
      </c>
      <c r="D80" s="147"/>
      <c r="E80" s="147">
        <v>300000</v>
      </c>
      <c r="F80" s="147"/>
      <c r="G80" s="147"/>
      <c r="H80" s="147"/>
      <c r="I80" s="147"/>
      <c r="J80" s="147"/>
      <c r="K80" s="147"/>
      <c r="L80" s="147"/>
      <c r="M80" s="147"/>
      <c r="N80" s="147"/>
      <c r="O80" s="147"/>
      <c r="P80" s="147"/>
      <c r="Q80" s="147"/>
      <c r="R80" s="516">
        <f>SUM(E80:Q80)</f>
        <v>300000</v>
      </c>
      <c r="S80" s="147">
        <v>300000</v>
      </c>
      <c r="T80" s="147"/>
      <c r="U80" s="143"/>
    </row>
    <row r="81" spans="1:21" s="144" customFormat="1">
      <c r="A81" s="149" t="s">
        <v>1207</v>
      </c>
      <c r="B81" s="146">
        <f>SUM(C81:D81)</f>
        <v>2329100</v>
      </c>
      <c r="C81" s="509">
        <f>SUM(C79:C80)</f>
        <v>2329100</v>
      </c>
      <c r="D81" s="509">
        <f t="shared" ref="D81:T81" si="19">SUM(D79:D80)</f>
        <v>0</v>
      </c>
      <c r="E81" s="509">
        <f t="shared" si="19"/>
        <v>2329100</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2329100</v>
      </c>
      <c r="S81" s="509">
        <f t="shared" si="19"/>
        <v>2329100</v>
      </c>
      <c r="T81" s="509">
        <f t="shared" si="19"/>
        <v>0</v>
      </c>
      <c r="U81" s="143"/>
    </row>
    <row r="82" spans="1:21" s="144" customFormat="1" ht="12">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2048</v>
      </c>
      <c r="B83" s="146">
        <f t="shared" ref="B83:B95" si="20">SUM(C83+D83)</f>
        <v>89792</v>
      </c>
      <c r="C83" s="147">
        <v>89792</v>
      </c>
      <c r="D83" s="147"/>
      <c r="E83" s="147">
        <v>89792</v>
      </c>
      <c r="F83" s="147"/>
      <c r="G83" s="147"/>
      <c r="H83" s="147"/>
      <c r="I83" s="147"/>
      <c r="J83" s="147"/>
      <c r="K83" s="147"/>
      <c r="L83" s="147"/>
      <c r="M83" s="147"/>
      <c r="N83" s="147"/>
      <c r="O83" s="147"/>
      <c r="P83" s="147"/>
      <c r="Q83" s="147"/>
      <c r="R83" s="516">
        <f t="shared" ref="R83:R95" si="21">SUM(E83:Q83)</f>
        <v>89792</v>
      </c>
      <c r="S83" s="148"/>
      <c r="T83" s="148"/>
      <c r="U83" s="143"/>
    </row>
    <row r="84" spans="1:21" s="144" customFormat="1">
      <c r="A84" s="145" t="s">
        <v>766</v>
      </c>
      <c r="B84" s="146">
        <f t="shared" si="20"/>
        <v>0</v>
      </c>
      <c r="C84" s="147"/>
      <c r="D84" s="147"/>
      <c r="E84" s="147"/>
      <c r="F84" s="147"/>
      <c r="G84" s="147"/>
      <c r="H84" s="147"/>
      <c r="I84" s="147"/>
      <c r="J84" s="147"/>
      <c r="K84" s="147"/>
      <c r="L84" s="147"/>
      <c r="M84" s="147"/>
      <c r="N84" s="147"/>
      <c r="O84" s="147"/>
      <c r="P84" s="147"/>
      <c r="Q84" s="147"/>
      <c r="R84" s="516">
        <f t="shared" si="21"/>
        <v>0</v>
      </c>
      <c r="S84" s="147"/>
      <c r="T84" s="147"/>
      <c r="U84" s="143"/>
    </row>
    <row r="85" spans="1:21" s="144" customFormat="1">
      <c r="A85" s="145" t="s">
        <v>767</v>
      </c>
      <c r="B85" s="146">
        <f t="shared" si="20"/>
        <v>4771651</v>
      </c>
      <c r="C85" s="147">
        <v>4771651</v>
      </c>
      <c r="D85" s="147"/>
      <c r="E85" s="147">
        <v>4771651</v>
      </c>
      <c r="F85" s="147"/>
      <c r="G85" s="147"/>
      <c r="H85" s="147"/>
      <c r="I85" s="147"/>
      <c r="J85" s="147"/>
      <c r="K85" s="147"/>
      <c r="L85" s="147"/>
      <c r="M85" s="147"/>
      <c r="N85" s="147"/>
      <c r="O85" s="147"/>
      <c r="P85" s="147"/>
      <c r="Q85" s="147"/>
      <c r="R85" s="516">
        <f t="shared" si="21"/>
        <v>4771651</v>
      </c>
      <c r="S85" s="147">
        <v>4771651</v>
      </c>
      <c r="T85" s="147"/>
      <c r="U85" s="143"/>
    </row>
    <row r="86" spans="1:21" s="144" customFormat="1">
      <c r="A86" s="145" t="s">
        <v>768</v>
      </c>
      <c r="B86" s="146">
        <f t="shared" si="20"/>
        <v>1006494</v>
      </c>
      <c r="C86" s="147">
        <v>1006494</v>
      </c>
      <c r="D86" s="147"/>
      <c r="E86" s="147">
        <v>1006494</v>
      </c>
      <c r="F86" s="147"/>
      <c r="G86" s="147"/>
      <c r="H86" s="147"/>
      <c r="I86" s="147"/>
      <c r="J86" s="147"/>
      <c r="K86" s="147"/>
      <c r="L86" s="147"/>
      <c r="M86" s="147"/>
      <c r="N86" s="147"/>
      <c r="O86" s="147"/>
      <c r="P86" s="147"/>
      <c r="Q86" s="147"/>
      <c r="R86" s="516">
        <f t="shared" si="21"/>
        <v>1006494</v>
      </c>
      <c r="S86" s="147">
        <v>1006494</v>
      </c>
      <c r="T86" s="147"/>
      <c r="U86" s="143"/>
    </row>
    <row r="87" spans="1:21" s="144" customFormat="1">
      <c r="A87" s="145" t="s">
        <v>769</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770</v>
      </c>
      <c r="B88" s="146">
        <f t="shared" si="20"/>
        <v>119676</v>
      </c>
      <c r="C88" s="147">
        <v>119676</v>
      </c>
      <c r="D88" s="147"/>
      <c r="E88" s="147">
        <v>119676</v>
      </c>
      <c r="F88" s="147"/>
      <c r="G88" s="147"/>
      <c r="H88" s="147"/>
      <c r="I88" s="147"/>
      <c r="J88" s="147"/>
      <c r="K88" s="147"/>
      <c r="L88" s="147"/>
      <c r="M88" s="147"/>
      <c r="N88" s="147"/>
      <c r="O88" s="147"/>
      <c r="P88" s="147"/>
      <c r="Q88" s="147"/>
      <c r="R88" s="516">
        <f t="shared" si="21"/>
        <v>119676</v>
      </c>
      <c r="S88" s="148"/>
      <c r="T88" s="148"/>
      <c r="U88" s="143"/>
    </row>
    <row r="89" spans="1:21" s="144" customFormat="1">
      <c r="A89" s="145" t="s">
        <v>771</v>
      </c>
      <c r="B89" s="146">
        <f t="shared" si="20"/>
        <v>50000</v>
      </c>
      <c r="C89" s="147">
        <v>50000</v>
      </c>
      <c r="D89" s="147"/>
      <c r="E89" s="147">
        <v>50000</v>
      </c>
      <c r="F89" s="147"/>
      <c r="G89" s="147"/>
      <c r="H89" s="147"/>
      <c r="I89" s="147"/>
      <c r="J89" s="147"/>
      <c r="K89" s="147"/>
      <c r="L89" s="147"/>
      <c r="M89" s="147"/>
      <c r="N89" s="147"/>
      <c r="O89" s="147"/>
      <c r="P89" s="147"/>
      <c r="Q89" s="147"/>
      <c r="R89" s="516">
        <f t="shared" si="21"/>
        <v>50000</v>
      </c>
      <c r="S89" s="147">
        <v>50000</v>
      </c>
      <c r="T89" s="147"/>
      <c r="U89" s="143"/>
    </row>
    <row r="90" spans="1:21" s="144" customFormat="1">
      <c r="A90" s="145" t="s">
        <v>772</v>
      </c>
      <c r="B90" s="146">
        <f t="shared" si="20"/>
        <v>10000</v>
      </c>
      <c r="C90" s="147">
        <v>10000</v>
      </c>
      <c r="D90" s="147"/>
      <c r="E90" s="147">
        <v>10000</v>
      </c>
      <c r="F90" s="147"/>
      <c r="G90" s="147"/>
      <c r="H90" s="147"/>
      <c r="I90" s="147"/>
      <c r="J90" s="147"/>
      <c r="K90" s="147"/>
      <c r="L90" s="147"/>
      <c r="M90" s="147"/>
      <c r="N90" s="147"/>
      <c r="O90" s="147"/>
      <c r="P90" s="147"/>
      <c r="Q90" s="147"/>
      <c r="R90" s="516">
        <f t="shared" si="21"/>
        <v>10000</v>
      </c>
      <c r="S90" s="147">
        <v>10000</v>
      </c>
      <c r="T90" s="147"/>
      <c r="U90" s="143"/>
    </row>
    <row r="91" spans="1:21" s="144" customFormat="1">
      <c r="A91" s="145" t="s">
        <v>371</v>
      </c>
      <c r="B91" s="146">
        <f t="shared" si="20"/>
        <v>0</v>
      </c>
      <c r="C91" s="147"/>
      <c r="D91" s="147"/>
      <c r="E91" s="147"/>
      <c r="F91" s="147"/>
      <c r="G91" s="147"/>
      <c r="H91" s="147"/>
      <c r="I91" s="147"/>
      <c r="J91" s="147"/>
      <c r="K91" s="147"/>
      <c r="L91" s="147"/>
      <c r="M91" s="147"/>
      <c r="N91" s="147"/>
      <c r="O91" s="147"/>
      <c r="P91" s="147"/>
      <c r="Q91" s="147"/>
      <c r="R91" s="516">
        <f t="shared" si="21"/>
        <v>0</v>
      </c>
      <c r="S91" s="147"/>
      <c r="T91" s="147"/>
      <c r="U91" s="143"/>
    </row>
    <row r="92" spans="1:21" s="144" customFormat="1">
      <c r="A92" s="283" t="s">
        <v>1209</v>
      </c>
      <c r="B92" s="146">
        <f t="shared" si="20"/>
        <v>10000</v>
      </c>
      <c r="C92" s="147">
        <v>10000</v>
      </c>
      <c r="D92" s="147"/>
      <c r="E92" s="147">
        <v>10000</v>
      </c>
      <c r="F92" s="147"/>
      <c r="G92" s="147"/>
      <c r="H92" s="147"/>
      <c r="I92" s="147"/>
      <c r="J92" s="147"/>
      <c r="K92" s="147"/>
      <c r="L92" s="147"/>
      <c r="M92" s="147"/>
      <c r="N92" s="147"/>
      <c r="O92" s="147"/>
      <c r="P92" s="147"/>
      <c r="Q92" s="147"/>
      <c r="R92" s="516">
        <f t="shared" si="21"/>
        <v>10000</v>
      </c>
      <c r="S92" s="147">
        <v>10000</v>
      </c>
      <c r="T92" s="147"/>
      <c r="U92" s="143"/>
    </row>
    <row r="93" spans="1:21" s="144" customFormat="1">
      <c r="A93" s="1143" t="s">
        <v>2756</v>
      </c>
      <c r="B93" s="146">
        <f t="shared" si="20"/>
        <v>10000</v>
      </c>
      <c r="C93" s="147">
        <v>10000</v>
      </c>
      <c r="D93" s="147"/>
      <c r="E93" s="147">
        <v>10000</v>
      </c>
      <c r="F93" s="147"/>
      <c r="G93" s="147"/>
      <c r="H93" s="147"/>
      <c r="I93" s="147"/>
      <c r="J93" s="147"/>
      <c r="K93" s="147"/>
      <c r="L93" s="147"/>
      <c r="M93" s="147"/>
      <c r="N93" s="147"/>
      <c r="O93" s="147"/>
      <c r="P93" s="147"/>
      <c r="Q93" s="147"/>
      <c r="R93" s="516">
        <f t="shared" si="21"/>
        <v>10000</v>
      </c>
      <c r="S93" s="147">
        <v>10000</v>
      </c>
      <c r="T93" s="147"/>
      <c r="U93" s="143"/>
    </row>
    <row r="94" spans="1:21" s="144" customFormat="1">
      <c r="A94" s="1143" t="s">
        <v>2759</v>
      </c>
      <c r="B94" s="146">
        <f t="shared" si="20"/>
        <v>100000</v>
      </c>
      <c r="C94" s="147">
        <v>100000</v>
      </c>
      <c r="D94" s="147"/>
      <c r="E94" s="147">
        <v>100000</v>
      </c>
      <c r="F94" s="147"/>
      <c r="G94" s="147"/>
      <c r="H94" s="147"/>
      <c r="I94" s="147"/>
      <c r="J94" s="147"/>
      <c r="K94" s="147"/>
      <c r="L94" s="147"/>
      <c r="M94" s="147"/>
      <c r="N94" s="147"/>
      <c r="O94" s="147"/>
      <c r="P94" s="147"/>
      <c r="Q94" s="147"/>
      <c r="R94" s="516">
        <f t="shared" si="21"/>
        <v>100000</v>
      </c>
      <c r="S94" s="147"/>
      <c r="T94" s="147"/>
      <c r="U94" s="143"/>
    </row>
    <row r="95" spans="1:21" s="144" customFormat="1">
      <c r="A95" s="1143"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773</v>
      </c>
      <c r="B96" s="146">
        <f>SUM(C96:D96)</f>
        <v>6167613</v>
      </c>
      <c r="C96" s="146">
        <f t="shared" ref="C96:R96" si="22">SUM(C83:C95)</f>
        <v>6167613</v>
      </c>
      <c r="D96" s="146">
        <f t="shared" si="22"/>
        <v>0</v>
      </c>
      <c r="E96" s="146">
        <f t="shared" si="22"/>
        <v>6167613</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6167613</v>
      </c>
      <c r="S96" s="150">
        <f>SUM(S84:S87,S89:S95)</f>
        <v>5858145</v>
      </c>
      <c r="T96" s="146">
        <f>SUM(T84:T87,T89:T95)</f>
        <v>0</v>
      </c>
      <c r="U96" s="143"/>
    </row>
    <row r="97" spans="1:21" s="144" customFormat="1">
      <c r="A97" s="149" t="s">
        <v>774</v>
      </c>
      <c r="B97" s="146">
        <f>SUM(C97:D97)</f>
        <v>56404312</v>
      </c>
      <c r="C97" s="146">
        <f t="shared" ref="C97:R97" si="23">SUM(C63+C70+C77+C81+C96)</f>
        <v>56404312</v>
      </c>
      <c r="D97" s="146">
        <f t="shared" si="23"/>
        <v>0</v>
      </c>
      <c r="E97" s="146">
        <f t="shared" si="23"/>
        <v>30554312</v>
      </c>
      <c r="F97" s="146">
        <f t="shared" si="23"/>
        <v>17000000</v>
      </c>
      <c r="G97" s="146">
        <f t="shared" si="23"/>
        <v>5000000</v>
      </c>
      <c r="H97" s="146">
        <f t="shared" si="23"/>
        <v>3850000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56404312</v>
      </c>
      <c r="S97" s="146">
        <f>SUM(S63+S70+S81+S96)</f>
        <v>55275635</v>
      </c>
      <c r="T97" s="146">
        <f>SUM(T63+T70+T81+T96)</f>
        <v>0</v>
      </c>
      <c r="U97" s="143"/>
    </row>
    <row r="98" spans="1:21" s="144" customFormat="1" ht="12">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11055127</v>
      </c>
      <c r="C99" s="974">
        <v>11055127</v>
      </c>
      <c r="D99" s="974"/>
      <c r="E99" s="974">
        <v>2500000</v>
      </c>
      <c r="F99" s="147"/>
      <c r="G99" s="147"/>
      <c r="H99" s="147"/>
      <c r="I99" s="147">
        <v>8555127</v>
      </c>
      <c r="J99" s="147"/>
      <c r="K99" s="147"/>
      <c r="L99" s="147"/>
      <c r="M99" s="147"/>
      <c r="N99" s="147"/>
      <c r="O99" s="147"/>
      <c r="P99" s="147"/>
      <c r="Q99" s="147"/>
      <c r="R99" s="516">
        <f>SUM(E99:Q99)</f>
        <v>11055127</v>
      </c>
      <c r="S99" s="147">
        <v>11055127</v>
      </c>
      <c r="T99" s="147"/>
      <c r="U99" s="143"/>
    </row>
    <row r="100" spans="1:21" s="144" customFormat="1">
      <c r="A100" s="283" t="s">
        <v>1633</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1634</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11055127</v>
      </c>
      <c r="C104" s="146">
        <f>SUM(C99:C103)</f>
        <v>11055127</v>
      </c>
      <c r="D104" s="146">
        <f t="shared" ref="D104:T104" si="24">SUM(D99:D103)</f>
        <v>0</v>
      </c>
      <c r="E104" s="146">
        <f t="shared" si="24"/>
        <v>2500000</v>
      </c>
      <c r="F104" s="146">
        <f t="shared" si="24"/>
        <v>0</v>
      </c>
      <c r="G104" s="146">
        <f t="shared" si="24"/>
        <v>0</v>
      </c>
      <c r="H104" s="146">
        <f t="shared" si="24"/>
        <v>0</v>
      </c>
      <c r="I104" s="146">
        <f t="shared" si="24"/>
        <v>8555127</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11055127</v>
      </c>
      <c r="S104" s="150">
        <f t="shared" si="24"/>
        <v>11055127</v>
      </c>
      <c r="T104" s="150">
        <f t="shared" si="24"/>
        <v>0</v>
      </c>
      <c r="U104" s="143"/>
    </row>
    <row r="105" spans="1:21" s="144" customFormat="1">
      <c r="A105" s="149" t="s">
        <v>779</v>
      </c>
      <c r="B105" s="150">
        <f>SUM(C105:D105)</f>
        <v>67459439</v>
      </c>
      <c r="C105" s="150">
        <f t="shared" ref="C105:R105" si="25">SUM(C97+C104)</f>
        <v>67459439</v>
      </c>
      <c r="D105" s="150">
        <f t="shared" si="25"/>
        <v>0</v>
      </c>
      <c r="E105" s="150">
        <f t="shared" si="25"/>
        <v>33054312</v>
      </c>
      <c r="F105" s="150">
        <f t="shared" si="25"/>
        <v>17000000</v>
      </c>
      <c r="G105" s="150">
        <f t="shared" si="25"/>
        <v>5000000</v>
      </c>
      <c r="H105" s="150">
        <f t="shared" si="25"/>
        <v>3850000</v>
      </c>
      <c r="I105" s="150">
        <f t="shared" si="25"/>
        <v>8555127</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2">
        <f t="shared" si="25"/>
        <v>67459439</v>
      </c>
      <c r="S105" s="150">
        <f>S97+S104</f>
        <v>66330762</v>
      </c>
      <c r="T105" s="150">
        <f>T97+T104</f>
        <v>0</v>
      </c>
      <c r="U105" s="143"/>
    </row>
    <row r="106" spans="1:21">
      <c r="A106" s="514" t="s">
        <v>1018</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66330762</v>
      </c>
      <c r="T107" s="150">
        <f>T105+T106</f>
        <v>0</v>
      </c>
    </row>
    <row r="108" spans="1:21" s="189" customFormat="1">
      <c r="A108" s="162" t="s">
        <v>878</v>
      </c>
      <c r="B108" s="157"/>
      <c r="C108" s="157"/>
      <c r="D108" s="157"/>
      <c r="E108" s="301">
        <f>Application!AO648</f>
        <v>33054312</v>
      </c>
      <c r="F108" s="301">
        <f>Application!AO635</f>
        <v>17000000</v>
      </c>
      <c r="G108" s="301">
        <f>Application!AO636</f>
        <v>5000000</v>
      </c>
      <c r="H108" s="301">
        <f>Application!AO637</f>
        <v>3850000</v>
      </c>
      <c r="I108" s="301">
        <f>Application!AO638</f>
        <v>8555127</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1017</v>
      </c>
      <c r="B113" s="157"/>
      <c r="C113" s="157"/>
      <c r="D113" s="157"/>
    </row>
    <row r="114" spans="1:21">
      <c r="A114" s="156" t="s">
        <v>2049</v>
      </c>
      <c r="B114" s="157"/>
      <c r="C114" s="157"/>
      <c r="D114" s="157"/>
    </row>
    <row r="115" spans="1:21" ht="12" customHeight="1">
      <c r="A115" s="312"/>
      <c r="B115" s="157"/>
      <c r="C115" s="157"/>
      <c r="D115" s="157"/>
    </row>
    <row r="116" spans="1:21">
      <c r="A116" s="345" t="s">
        <v>1020</v>
      </c>
      <c r="B116" s="157"/>
      <c r="C116" s="157"/>
      <c r="D116" s="157"/>
    </row>
    <row r="117" spans="1:21">
      <c r="A117" s="345" t="s">
        <v>1221</v>
      </c>
      <c r="B117" s="157"/>
      <c r="C117" s="157"/>
      <c r="D117" s="157"/>
    </row>
    <row r="118" spans="1:21">
      <c r="A118" s="345" t="s">
        <v>1019</v>
      </c>
      <c r="B118" s="157"/>
      <c r="C118" s="157"/>
      <c r="D118" s="157"/>
    </row>
    <row r="119" spans="1:21">
      <c r="A119" s="345" t="s">
        <v>1021</v>
      </c>
      <c r="B119" s="157"/>
      <c r="C119" s="157"/>
      <c r="D119" s="157"/>
    </row>
    <row r="120" spans="1:21" ht="12" customHeight="1">
      <c r="A120" s="344"/>
      <c r="B120" s="157"/>
      <c r="C120" s="157"/>
      <c r="D120" s="157"/>
    </row>
    <row r="121" spans="1:21" ht="15.5">
      <c r="A121" s="338" t="s">
        <v>1003</v>
      </c>
      <c r="B121" s="157"/>
      <c r="C121" s="157"/>
      <c r="D121" s="157"/>
    </row>
    <row r="122" spans="1:21">
      <c r="A122" s="325" t="s">
        <v>987</v>
      </c>
      <c r="B122" s="324"/>
      <c r="C122" s="324"/>
      <c r="D122" s="1873" t="s">
        <v>988</v>
      </c>
      <c r="E122" s="1873"/>
      <c r="F122" s="1873"/>
      <c r="G122" s="324"/>
      <c r="H122" s="324"/>
      <c r="I122" s="324"/>
      <c r="J122" s="324"/>
      <c r="K122" s="324"/>
      <c r="L122" s="324"/>
      <c r="M122" s="324"/>
      <c r="N122" s="324"/>
      <c r="O122" s="324"/>
      <c r="P122" s="324"/>
      <c r="Q122" s="324"/>
      <c r="R122" s="324"/>
      <c r="S122" s="324"/>
      <c r="T122" s="324"/>
      <c r="U122" s="326"/>
    </row>
    <row r="123" spans="1:21">
      <c r="A123" s="324" t="s">
        <v>989</v>
      </c>
      <c r="B123" s="333"/>
      <c r="C123" s="324"/>
      <c r="D123" s="1865" t="s">
        <v>1222</v>
      </c>
      <c r="E123" s="1562"/>
      <c r="F123" s="1562"/>
      <c r="G123" s="1562"/>
      <c r="H123" s="1562"/>
      <c r="I123" s="1562"/>
      <c r="J123" s="1562"/>
      <c r="K123" s="1562"/>
      <c r="L123" s="1562"/>
      <c r="M123" s="1562"/>
      <c r="N123" s="1562"/>
      <c r="O123" s="1562"/>
      <c r="P123" s="1562"/>
      <c r="Q123" s="1562"/>
      <c r="R123" s="1562"/>
      <c r="S123" s="1562"/>
      <c r="T123" s="324"/>
      <c r="U123" s="326"/>
    </row>
    <row r="124" spans="1:21" ht="12.5">
      <c r="A124" s="117" t="s">
        <v>990</v>
      </c>
      <c r="B124" s="333"/>
      <c r="C124" s="117"/>
      <c r="D124" s="1562"/>
      <c r="E124" s="1562"/>
      <c r="F124" s="1562"/>
      <c r="G124" s="1562"/>
      <c r="H124" s="1562"/>
      <c r="I124" s="1562"/>
      <c r="J124" s="1562"/>
      <c r="K124" s="1562"/>
      <c r="L124" s="1562"/>
      <c r="M124" s="1562"/>
      <c r="N124" s="1562"/>
      <c r="O124" s="1562"/>
      <c r="P124" s="1562"/>
      <c r="Q124" s="1562"/>
      <c r="R124" s="1562"/>
      <c r="S124" s="1562"/>
      <c r="T124" s="324"/>
      <c r="U124" s="326"/>
    </row>
    <row r="125" spans="1:21" ht="12.5">
      <c r="A125" s="117" t="s">
        <v>991</v>
      </c>
      <c r="B125" s="333"/>
      <c r="C125" s="117"/>
      <c r="D125" s="1562"/>
      <c r="E125" s="1562"/>
      <c r="F125" s="1562"/>
      <c r="G125" s="1562"/>
      <c r="H125" s="1562"/>
      <c r="I125" s="1562"/>
      <c r="J125" s="1562"/>
      <c r="K125" s="1562"/>
      <c r="L125" s="1562"/>
      <c r="M125" s="1562"/>
      <c r="N125" s="1562"/>
      <c r="O125" s="1562"/>
      <c r="P125" s="1562"/>
      <c r="Q125" s="1562"/>
      <c r="R125" s="1562"/>
      <c r="S125" s="1562"/>
      <c r="T125" s="324"/>
      <c r="U125" s="326"/>
    </row>
    <row r="126" spans="1:21" ht="12.5">
      <c r="A126" s="117" t="s">
        <v>992</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993</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994</v>
      </c>
      <c r="B128" s="333"/>
      <c r="C128" s="117"/>
      <c r="D128" s="1868"/>
      <c r="E128" s="1868"/>
      <c r="F128" s="1868"/>
      <c r="G128" s="1868"/>
      <c r="H128" s="1868"/>
      <c r="I128" s="117"/>
      <c r="J128" s="1864"/>
      <c r="K128" s="1864"/>
      <c r="L128" s="117"/>
      <c r="M128" s="117"/>
      <c r="N128" s="117"/>
      <c r="O128" s="117"/>
      <c r="P128" s="117"/>
      <c r="Q128" s="117"/>
      <c r="R128" s="117"/>
      <c r="S128" s="117"/>
      <c r="T128" s="324"/>
      <c r="U128" s="326"/>
    </row>
    <row r="129" spans="1:21" ht="12.5">
      <c r="A129" s="117" t="s">
        <v>299</v>
      </c>
      <c r="B129" s="333"/>
      <c r="C129" s="117"/>
      <c r="D129" s="1872" t="s">
        <v>995</v>
      </c>
      <c r="E129" s="1872"/>
      <c r="F129" s="1872"/>
      <c r="G129" s="1872"/>
      <c r="H129" s="1872"/>
      <c r="I129" s="117"/>
      <c r="J129" s="117" t="s">
        <v>996</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997</v>
      </c>
      <c r="B131" s="334">
        <f>SUM(B123:B129)</f>
        <v>0</v>
      </c>
      <c r="C131" s="117"/>
      <c r="D131" s="1591"/>
      <c r="E131" s="1591"/>
      <c r="F131" s="1591"/>
      <c r="G131" s="1591"/>
      <c r="H131" s="1591"/>
      <c r="I131" s="117"/>
      <c r="J131" s="1591"/>
      <c r="K131" s="1591"/>
      <c r="L131" s="1591"/>
      <c r="M131" s="1591"/>
      <c r="N131" s="117"/>
      <c r="O131" s="117"/>
      <c r="P131" s="117"/>
      <c r="Q131" s="117"/>
      <c r="R131" s="117"/>
      <c r="S131" s="117"/>
      <c r="T131" s="324"/>
      <c r="U131" s="326"/>
    </row>
    <row r="132" spans="1:21" ht="12" customHeight="1">
      <c r="A132" s="336"/>
      <c r="B132" s="117"/>
      <c r="C132" s="117"/>
      <c r="D132" s="1866" t="s">
        <v>998</v>
      </c>
      <c r="E132" s="1866"/>
      <c r="F132" s="1866"/>
      <c r="G132" s="1866"/>
      <c r="H132" s="1866"/>
      <c r="I132" s="117"/>
      <c r="J132" s="1866" t="s">
        <v>999</v>
      </c>
      <c r="K132" s="1866"/>
      <c r="L132" s="1866"/>
      <c r="M132" s="1866"/>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1000</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1001</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7"/>
      <c r="B138" s="1868"/>
      <c r="C138" s="1868"/>
      <c r="D138" s="328"/>
      <c r="E138" s="1864"/>
      <c r="F138" s="1864"/>
      <c r="G138" s="117"/>
      <c r="H138" s="117"/>
      <c r="I138" s="117"/>
      <c r="J138" s="117"/>
      <c r="K138" s="117"/>
      <c r="L138" s="117"/>
      <c r="M138" s="117"/>
      <c r="N138" s="117"/>
      <c r="O138" s="117"/>
      <c r="P138" s="117"/>
      <c r="Q138" s="117"/>
      <c r="R138" s="117"/>
      <c r="S138" s="117"/>
      <c r="T138" s="330"/>
      <c r="U138" s="331"/>
    </row>
    <row r="139" spans="1:21" ht="13">
      <c r="A139" s="1863" t="s">
        <v>1002</v>
      </c>
      <c r="B139" s="1863"/>
      <c r="C139" s="1863"/>
      <c r="D139" s="328"/>
      <c r="E139" s="117" t="s">
        <v>996</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2" workbookViewId="0">
      <selection activeCell="C29" sqref="C29"/>
    </sheetView>
  </sheetViews>
  <sheetFormatPr defaultColWidth="0" defaultRowHeight="11.5" zeroHeight="1"/>
  <cols>
    <col min="1" max="1" width="32.7265625" style="397" customWidth="1"/>
    <col min="2" max="3" width="12.1796875" style="393" customWidth="1"/>
    <col min="4" max="6" width="12.81640625" style="393" customWidth="1"/>
    <col min="7" max="9" width="12.1796875" style="393" customWidth="1"/>
    <col min="10" max="10" width="12.1796875" style="394" customWidth="1"/>
    <col min="11" max="11" width="8.81640625" style="395" hidden="1" customWidth="1"/>
    <col min="12" max="21" width="8.81640625" style="393" hidden="1" customWidth="1"/>
    <col min="22" max="23" width="0" style="393" hidden="1"/>
    <col min="24" max="256" width="8.81640625" style="393" hidden="1"/>
    <col min="257" max="257" width="32.7265625" style="393" hidden="1" customWidth="1"/>
    <col min="258" max="259" width="12.1796875" style="393" hidden="1" customWidth="1"/>
    <col min="260" max="260" width="12.81640625" style="393" hidden="1" customWidth="1"/>
    <col min="261" max="266" width="12.1796875" style="393" hidden="1" customWidth="1"/>
    <col min="267" max="277" width="8.81640625" style="393" hidden="1" customWidth="1"/>
    <col min="278" max="512" width="8.81640625" style="393" hidden="1"/>
    <col min="513" max="513" width="32.7265625" style="393" hidden="1" customWidth="1"/>
    <col min="514" max="515" width="12.1796875" style="393" hidden="1" customWidth="1"/>
    <col min="516" max="516" width="12.81640625" style="393" hidden="1" customWidth="1"/>
    <col min="517" max="522" width="12.1796875" style="393" hidden="1" customWidth="1"/>
    <col min="523" max="533" width="8.81640625" style="393" hidden="1" customWidth="1"/>
    <col min="534" max="768" width="8.81640625" style="393" hidden="1"/>
    <col min="769" max="769" width="32.7265625" style="393" hidden="1" customWidth="1"/>
    <col min="770" max="771" width="12.1796875" style="393" hidden="1" customWidth="1"/>
    <col min="772" max="772" width="12.81640625" style="393" hidden="1" customWidth="1"/>
    <col min="773" max="778" width="12.1796875" style="393" hidden="1" customWidth="1"/>
    <col min="779" max="789" width="8.81640625" style="393" hidden="1" customWidth="1"/>
    <col min="790" max="1024" width="8.81640625" style="393" hidden="1"/>
    <col min="1025" max="1025" width="32.7265625" style="393" hidden="1" customWidth="1"/>
    <col min="1026" max="1027" width="12.1796875" style="393" hidden="1" customWidth="1"/>
    <col min="1028" max="1028" width="12.81640625" style="393" hidden="1" customWidth="1"/>
    <col min="1029" max="1034" width="12.1796875" style="393" hidden="1" customWidth="1"/>
    <col min="1035" max="1045" width="8.81640625" style="393" hidden="1" customWidth="1"/>
    <col min="1046" max="1280" width="8.81640625" style="393" hidden="1"/>
    <col min="1281" max="1281" width="32.7265625" style="393" hidden="1" customWidth="1"/>
    <col min="1282" max="1283" width="12.1796875" style="393" hidden="1" customWidth="1"/>
    <col min="1284" max="1284" width="12.81640625" style="393" hidden="1" customWidth="1"/>
    <col min="1285" max="1290" width="12.1796875" style="393" hidden="1" customWidth="1"/>
    <col min="1291" max="1301" width="8.81640625" style="393" hidden="1" customWidth="1"/>
    <col min="1302" max="1536" width="8.81640625" style="393" hidden="1"/>
    <col min="1537" max="1537" width="32.7265625" style="393" hidden="1" customWidth="1"/>
    <col min="1538" max="1539" width="12.1796875" style="393" hidden="1" customWidth="1"/>
    <col min="1540" max="1540" width="12.81640625" style="393" hidden="1" customWidth="1"/>
    <col min="1541" max="1546" width="12.1796875" style="393" hidden="1" customWidth="1"/>
    <col min="1547" max="1557" width="8.81640625" style="393" hidden="1" customWidth="1"/>
    <col min="1558" max="1792" width="8.81640625" style="393" hidden="1"/>
    <col min="1793" max="1793" width="32.7265625" style="393" hidden="1" customWidth="1"/>
    <col min="1794" max="1795" width="12.1796875" style="393" hidden="1" customWidth="1"/>
    <col min="1796" max="1796" width="12.81640625" style="393" hidden="1" customWidth="1"/>
    <col min="1797" max="1802" width="12.1796875" style="393" hidden="1" customWidth="1"/>
    <col min="1803" max="1813" width="8.81640625" style="393" hidden="1" customWidth="1"/>
    <col min="1814" max="2048" width="8.81640625" style="393" hidden="1"/>
    <col min="2049" max="2049" width="32.7265625" style="393" hidden="1" customWidth="1"/>
    <col min="2050" max="2051" width="12.1796875" style="393" hidden="1" customWidth="1"/>
    <col min="2052" max="2052" width="12.81640625" style="393" hidden="1" customWidth="1"/>
    <col min="2053" max="2058" width="12.1796875" style="393" hidden="1" customWidth="1"/>
    <col min="2059" max="2069" width="8.81640625" style="393" hidden="1" customWidth="1"/>
    <col min="2070" max="2304" width="8.81640625" style="393" hidden="1"/>
    <col min="2305" max="2305" width="32.7265625" style="393" hidden="1" customWidth="1"/>
    <col min="2306" max="2307" width="12.1796875" style="393" hidden="1" customWidth="1"/>
    <col min="2308" max="2308" width="12.81640625" style="393" hidden="1" customWidth="1"/>
    <col min="2309" max="2314" width="12.1796875" style="393" hidden="1" customWidth="1"/>
    <col min="2315" max="2325" width="8.81640625" style="393" hidden="1" customWidth="1"/>
    <col min="2326" max="2560" width="8.81640625" style="393" hidden="1"/>
    <col min="2561" max="2561" width="32.7265625" style="393" hidden="1" customWidth="1"/>
    <col min="2562" max="2563" width="12.1796875" style="393" hidden="1" customWidth="1"/>
    <col min="2564" max="2564" width="12.81640625" style="393" hidden="1" customWidth="1"/>
    <col min="2565" max="2570" width="12.1796875" style="393" hidden="1" customWidth="1"/>
    <col min="2571" max="2581" width="8.81640625" style="393" hidden="1" customWidth="1"/>
    <col min="2582" max="2816" width="8.81640625" style="393" hidden="1"/>
    <col min="2817" max="2817" width="32.7265625" style="393" hidden="1" customWidth="1"/>
    <col min="2818" max="2819" width="12.1796875" style="393" hidden="1" customWidth="1"/>
    <col min="2820" max="2820" width="12.81640625" style="393" hidden="1" customWidth="1"/>
    <col min="2821" max="2826" width="12.1796875" style="393" hidden="1" customWidth="1"/>
    <col min="2827" max="2837" width="8.81640625" style="393" hidden="1" customWidth="1"/>
    <col min="2838" max="3072" width="8.81640625" style="393" hidden="1"/>
    <col min="3073" max="3073" width="32.7265625" style="393" hidden="1" customWidth="1"/>
    <col min="3074" max="3075" width="12.1796875" style="393" hidden="1" customWidth="1"/>
    <col min="3076" max="3076" width="12.81640625" style="393" hidden="1" customWidth="1"/>
    <col min="3077" max="3082" width="12.1796875" style="393" hidden="1" customWidth="1"/>
    <col min="3083" max="3093" width="8.81640625" style="393" hidden="1" customWidth="1"/>
    <col min="3094" max="3328" width="8.81640625" style="393" hidden="1"/>
    <col min="3329" max="3329" width="32.7265625" style="393" hidden="1" customWidth="1"/>
    <col min="3330" max="3331" width="12.1796875" style="393" hidden="1" customWidth="1"/>
    <col min="3332" max="3332" width="12.81640625" style="393" hidden="1" customWidth="1"/>
    <col min="3333" max="3338" width="12.1796875" style="393" hidden="1" customWidth="1"/>
    <col min="3339" max="3349" width="8.81640625" style="393" hidden="1" customWidth="1"/>
    <col min="3350" max="3584" width="8.81640625" style="393" hidden="1"/>
    <col min="3585" max="3585" width="32.7265625" style="393" hidden="1" customWidth="1"/>
    <col min="3586" max="3587" width="12.1796875" style="393" hidden="1" customWidth="1"/>
    <col min="3588" max="3588" width="12.81640625" style="393" hidden="1" customWidth="1"/>
    <col min="3589" max="3594" width="12.1796875" style="393" hidden="1" customWidth="1"/>
    <col min="3595" max="3605" width="8.81640625" style="393" hidden="1" customWidth="1"/>
    <col min="3606" max="3840" width="8.81640625" style="393" hidden="1"/>
    <col min="3841" max="3841" width="32.7265625" style="393" hidden="1" customWidth="1"/>
    <col min="3842" max="3843" width="12.1796875" style="393" hidden="1" customWidth="1"/>
    <col min="3844" max="3844" width="12.81640625" style="393" hidden="1" customWidth="1"/>
    <col min="3845" max="3850" width="12.1796875" style="393" hidden="1" customWidth="1"/>
    <col min="3851" max="3861" width="8.81640625" style="393" hidden="1" customWidth="1"/>
    <col min="3862" max="4096" width="8.81640625" style="393" hidden="1"/>
    <col min="4097" max="4097" width="32.7265625" style="393" hidden="1" customWidth="1"/>
    <col min="4098" max="4099" width="12.1796875" style="393" hidden="1" customWidth="1"/>
    <col min="4100" max="4100" width="12.81640625" style="393" hidden="1" customWidth="1"/>
    <col min="4101" max="4106" width="12.1796875" style="393" hidden="1" customWidth="1"/>
    <col min="4107" max="4117" width="8.81640625" style="393" hidden="1" customWidth="1"/>
    <col min="4118" max="4352" width="8.81640625" style="393" hidden="1"/>
    <col min="4353" max="4353" width="32.7265625" style="393" hidden="1" customWidth="1"/>
    <col min="4354" max="4355" width="12.1796875" style="393" hidden="1" customWidth="1"/>
    <col min="4356" max="4356" width="12.81640625" style="393" hidden="1" customWidth="1"/>
    <col min="4357" max="4362" width="12.1796875" style="393" hidden="1" customWidth="1"/>
    <col min="4363" max="4373" width="8.81640625" style="393" hidden="1" customWidth="1"/>
    <col min="4374" max="4608" width="8.81640625" style="393" hidden="1"/>
    <col min="4609" max="4609" width="32.7265625" style="393" hidden="1" customWidth="1"/>
    <col min="4610" max="4611" width="12.1796875" style="393" hidden="1" customWidth="1"/>
    <col min="4612" max="4612" width="12.81640625" style="393" hidden="1" customWidth="1"/>
    <col min="4613" max="4618" width="12.1796875" style="393" hidden="1" customWidth="1"/>
    <col min="4619" max="4629" width="8.81640625" style="393" hidden="1" customWidth="1"/>
    <col min="4630" max="4864" width="8.81640625" style="393" hidden="1"/>
    <col min="4865" max="4865" width="32.7265625" style="393" hidden="1" customWidth="1"/>
    <col min="4866" max="4867" width="12.1796875" style="393" hidden="1" customWidth="1"/>
    <col min="4868" max="4868" width="12.81640625" style="393" hidden="1" customWidth="1"/>
    <col min="4869" max="4874" width="12.1796875" style="393" hidden="1" customWidth="1"/>
    <col min="4875" max="4885" width="8.81640625" style="393" hidden="1" customWidth="1"/>
    <col min="4886" max="5120" width="8.81640625" style="393" hidden="1"/>
    <col min="5121" max="5121" width="32.7265625" style="393" hidden="1" customWidth="1"/>
    <col min="5122" max="5123" width="12.1796875" style="393" hidden="1" customWidth="1"/>
    <col min="5124" max="5124" width="12.81640625" style="393" hidden="1" customWidth="1"/>
    <col min="5125" max="5130" width="12.1796875" style="393" hidden="1" customWidth="1"/>
    <col min="5131" max="5141" width="8.81640625" style="393" hidden="1" customWidth="1"/>
    <col min="5142" max="5376" width="8.81640625" style="393" hidden="1"/>
    <col min="5377" max="5377" width="32.7265625" style="393" hidden="1" customWidth="1"/>
    <col min="5378" max="5379" width="12.1796875" style="393" hidden="1" customWidth="1"/>
    <col min="5380" max="5380" width="12.81640625" style="393" hidden="1" customWidth="1"/>
    <col min="5381" max="5386" width="12.1796875" style="393" hidden="1" customWidth="1"/>
    <col min="5387" max="5397" width="8.81640625" style="393" hidden="1" customWidth="1"/>
    <col min="5398" max="5632" width="8.81640625" style="393" hidden="1"/>
    <col min="5633" max="5633" width="32.7265625" style="393" hidden="1" customWidth="1"/>
    <col min="5634" max="5635" width="12.1796875" style="393" hidden="1" customWidth="1"/>
    <col min="5636" max="5636" width="12.81640625" style="393" hidden="1" customWidth="1"/>
    <col min="5637" max="5642" width="12.1796875" style="393" hidden="1" customWidth="1"/>
    <col min="5643" max="5653" width="8.81640625" style="393" hidden="1" customWidth="1"/>
    <col min="5654" max="5888" width="8.81640625" style="393" hidden="1"/>
    <col min="5889" max="5889" width="32.7265625" style="393" hidden="1" customWidth="1"/>
    <col min="5890" max="5891" width="12.1796875" style="393" hidden="1" customWidth="1"/>
    <col min="5892" max="5892" width="12.81640625" style="393" hidden="1" customWidth="1"/>
    <col min="5893" max="5898" width="12.1796875" style="393" hidden="1" customWidth="1"/>
    <col min="5899" max="5909" width="8.81640625" style="393" hidden="1" customWidth="1"/>
    <col min="5910" max="6144" width="8.81640625" style="393" hidden="1"/>
    <col min="6145" max="6145" width="32.7265625" style="393" hidden="1" customWidth="1"/>
    <col min="6146" max="6147" width="12.1796875" style="393" hidden="1" customWidth="1"/>
    <col min="6148" max="6148" width="12.81640625" style="393" hidden="1" customWidth="1"/>
    <col min="6149" max="6154" width="12.1796875" style="393" hidden="1" customWidth="1"/>
    <col min="6155" max="6165" width="8.81640625" style="393" hidden="1" customWidth="1"/>
    <col min="6166" max="6400" width="8.81640625" style="393" hidden="1"/>
    <col min="6401" max="6401" width="32.7265625" style="393" hidden="1" customWidth="1"/>
    <col min="6402" max="6403" width="12.1796875" style="393" hidden="1" customWidth="1"/>
    <col min="6404" max="6404" width="12.81640625" style="393" hidden="1" customWidth="1"/>
    <col min="6405" max="6410" width="12.1796875" style="393" hidden="1" customWidth="1"/>
    <col min="6411" max="6421" width="8.81640625" style="393" hidden="1" customWidth="1"/>
    <col min="6422" max="6656" width="8.81640625" style="393" hidden="1"/>
    <col min="6657" max="6657" width="32.7265625" style="393" hidden="1" customWidth="1"/>
    <col min="6658" max="6659" width="12.1796875" style="393" hidden="1" customWidth="1"/>
    <col min="6660" max="6660" width="12.81640625" style="393" hidden="1" customWidth="1"/>
    <col min="6661" max="6666" width="12.1796875" style="393" hidden="1" customWidth="1"/>
    <col min="6667" max="6677" width="8.81640625" style="393" hidden="1" customWidth="1"/>
    <col min="6678" max="6912" width="8.81640625" style="393" hidden="1"/>
    <col min="6913" max="6913" width="32.7265625" style="393" hidden="1" customWidth="1"/>
    <col min="6914" max="6915" width="12.1796875" style="393" hidden="1" customWidth="1"/>
    <col min="6916" max="6916" width="12.81640625" style="393" hidden="1" customWidth="1"/>
    <col min="6917" max="6922" width="12.1796875" style="393" hidden="1" customWidth="1"/>
    <col min="6923" max="6933" width="8.81640625" style="393" hidden="1" customWidth="1"/>
    <col min="6934" max="7168" width="8.81640625" style="393" hidden="1"/>
    <col min="7169" max="7169" width="32.7265625" style="393" hidden="1" customWidth="1"/>
    <col min="7170" max="7171" width="12.1796875" style="393" hidden="1" customWidth="1"/>
    <col min="7172" max="7172" width="12.81640625" style="393" hidden="1" customWidth="1"/>
    <col min="7173" max="7178" width="12.1796875" style="393" hidden="1" customWidth="1"/>
    <col min="7179" max="7189" width="8.81640625" style="393" hidden="1" customWidth="1"/>
    <col min="7190" max="7424" width="8.81640625" style="393" hidden="1"/>
    <col min="7425" max="7425" width="32.7265625" style="393" hidden="1" customWidth="1"/>
    <col min="7426" max="7427" width="12.1796875" style="393" hidden="1" customWidth="1"/>
    <col min="7428" max="7428" width="12.81640625" style="393" hidden="1" customWidth="1"/>
    <col min="7429" max="7434" width="12.1796875" style="393" hidden="1" customWidth="1"/>
    <col min="7435" max="7445" width="8.81640625" style="393" hidden="1" customWidth="1"/>
    <col min="7446" max="7680" width="8.81640625" style="393" hidden="1"/>
    <col min="7681" max="7681" width="32.7265625" style="393" hidden="1" customWidth="1"/>
    <col min="7682" max="7683" width="12.1796875" style="393" hidden="1" customWidth="1"/>
    <col min="7684" max="7684" width="12.81640625" style="393" hidden="1" customWidth="1"/>
    <col min="7685" max="7690" width="12.1796875" style="393" hidden="1" customWidth="1"/>
    <col min="7691" max="7701" width="8.81640625" style="393" hidden="1" customWidth="1"/>
    <col min="7702" max="7936" width="8.81640625" style="393" hidden="1"/>
    <col min="7937" max="7937" width="32.7265625" style="393" hidden="1" customWidth="1"/>
    <col min="7938" max="7939" width="12.1796875" style="393" hidden="1" customWidth="1"/>
    <col min="7940" max="7940" width="12.81640625" style="393" hidden="1" customWidth="1"/>
    <col min="7941" max="7946" width="12.1796875" style="393" hidden="1" customWidth="1"/>
    <col min="7947" max="7957" width="8.81640625" style="393" hidden="1" customWidth="1"/>
    <col min="7958" max="8192" width="8.81640625" style="393" hidden="1"/>
    <col min="8193" max="8193" width="32.7265625" style="393" hidden="1" customWidth="1"/>
    <col min="8194" max="8195" width="12.1796875" style="393" hidden="1" customWidth="1"/>
    <col min="8196" max="8196" width="12.81640625" style="393" hidden="1" customWidth="1"/>
    <col min="8197" max="8202" width="12.1796875" style="393" hidden="1" customWidth="1"/>
    <col min="8203" max="8213" width="8.81640625" style="393" hidden="1" customWidth="1"/>
    <col min="8214" max="8448" width="8.81640625" style="393" hidden="1"/>
    <col min="8449" max="8449" width="32.7265625" style="393" hidden="1" customWidth="1"/>
    <col min="8450" max="8451" width="12.1796875" style="393" hidden="1" customWidth="1"/>
    <col min="8452" max="8452" width="12.81640625" style="393" hidden="1" customWidth="1"/>
    <col min="8453" max="8458" width="12.1796875" style="393" hidden="1" customWidth="1"/>
    <col min="8459" max="8469" width="8.81640625" style="393" hidden="1" customWidth="1"/>
    <col min="8470" max="8704" width="8.81640625" style="393" hidden="1"/>
    <col min="8705" max="8705" width="32.7265625" style="393" hidden="1" customWidth="1"/>
    <col min="8706" max="8707" width="12.1796875" style="393" hidden="1" customWidth="1"/>
    <col min="8708" max="8708" width="12.81640625" style="393" hidden="1" customWidth="1"/>
    <col min="8709" max="8714" width="12.1796875" style="393" hidden="1" customWidth="1"/>
    <col min="8715" max="8725" width="8.81640625" style="393" hidden="1" customWidth="1"/>
    <col min="8726" max="8960" width="8.81640625" style="393" hidden="1"/>
    <col min="8961" max="8961" width="32.7265625" style="393" hidden="1" customWidth="1"/>
    <col min="8962" max="8963" width="12.1796875" style="393" hidden="1" customWidth="1"/>
    <col min="8964" max="8964" width="12.81640625" style="393" hidden="1" customWidth="1"/>
    <col min="8965" max="8970" width="12.1796875" style="393" hidden="1" customWidth="1"/>
    <col min="8971" max="8981" width="8.81640625" style="393" hidden="1" customWidth="1"/>
    <col min="8982" max="9216" width="8.81640625" style="393" hidden="1"/>
    <col min="9217" max="9217" width="32.7265625" style="393" hidden="1" customWidth="1"/>
    <col min="9218" max="9219" width="12.1796875" style="393" hidden="1" customWidth="1"/>
    <col min="9220" max="9220" width="12.81640625" style="393" hidden="1" customWidth="1"/>
    <col min="9221" max="9226" width="12.1796875" style="393" hidden="1" customWidth="1"/>
    <col min="9227" max="9237" width="8.81640625" style="393" hidden="1" customWidth="1"/>
    <col min="9238" max="9472" width="8.81640625" style="393" hidden="1"/>
    <col min="9473" max="9473" width="32.7265625" style="393" hidden="1" customWidth="1"/>
    <col min="9474" max="9475" width="12.1796875" style="393" hidden="1" customWidth="1"/>
    <col min="9476" max="9476" width="12.81640625" style="393" hidden="1" customWidth="1"/>
    <col min="9477" max="9482" width="12.1796875" style="393" hidden="1" customWidth="1"/>
    <col min="9483" max="9493" width="8.81640625" style="393" hidden="1" customWidth="1"/>
    <col min="9494" max="9728" width="8.81640625" style="393" hidden="1"/>
    <col min="9729" max="9729" width="32.7265625" style="393" hidden="1" customWidth="1"/>
    <col min="9730" max="9731" width="12.1796875" style="393" hidden="1" customWidth="1"/>
    <col min="9732" max="9732" width="12.81640625" style="393" hidden="1" customWidth="1"/>
    <col min="9733" max="9738" width="12.1796875" style="393" hidden="1" customWidth="1"/>
    <col min="9739" max="9749" width="8.81640625" style="393" hidden="1" customWidth="1"/>
    <col min="9750" max="9984" width="8.81640625" style="393" hidden="1"/>
    <col min="9985" max="9985" width="32.7265625" style="393" hidden="1" customWidth="1"/>
    <col min="9986" max="9987" width="12.1796875" style="393" hidden="1" customWidth="1"/>
    <col min="9988" max="9988" width="12.81640625" style="393" hidden="1" customWidth="1"/>
    <col min="9989" max="9994" width="12.1796875" style="393" hidden="1" customWidth="1"/>
    <col min="9995" max="10005" width="8.81640625" style="393" hidden="1" customWidth="1"/>
    <col min="10006" max="10240" width="8.81640625" style="393" hidden="1"/>
    <col min="10241" max="10241" width="32.7265625" style="393" hidden="1" customWidth="1"/>
    <col min="10242" max="10243" width="12.1796875" style="393" hidden="1" customWidth="1"/>
    <col min="10244" max="10244" width="12.81640625" style="393" hidden="1" customWidth="1"/>
    <col min="10245" max="10250" width="12.1796875" style="393" hidden="1" customWidth="1"/>
    <col min="10251" max="10261" width="8.81640625" style="393" hidden="1" customWidth="1"/>
    <col min="10262" max="10496" width="8.81640625" style="393" hidden="1"/>
    <col min="10497" max="10497" width="32.7265625" style="393" hidden="1" customWidth="1"/>
    <col min="10498" max="10499" width="12.1796875" style="393" hidden="1" customWidth="1"/>
    <col min="10500" max="10500" width="12.81640625" style="393" hidden="1" customWidth="1"/>
    <col min="10501" max="10506" width="12.1796875" style="393" hidden="1" customWidth="1"/>
    <col min="10507" max="10517" width="8.81640625" style="393" hidden="1" customWidth="1"/>
    <col min="10518" max="10752" width="8.81640625" style="393" hidden="1"/>
    <col min="10753" max="10753" width="32.7265625" style="393" hidden="1" customWidth="1"/>
    <col min="10754" max="10755" width="12.1796875" style="393" hidden="1" customWidth="1"/>
    <col min="10756" max="10756" width="12.81640625" style="393" hidden="1" customWidth="1"/>
    <col min="10757" max="10762" width="12.1796875" style="393" hidden="1" customWidth="1"/>
    <col min="10763" max="10773" width="8.81640625" style="393" hidden="1" customWidth="1"/>
    <col min="10774" max="11008" width="8.81640625" style="393" hidden="1"/>
    <col min="11009" max="11009" width="32.7265625" style="393" hidden="1" customWidth="1"/>
    <col min="11010" max="11011" width="12.1796875" style="393" hidden="1" customWidth="1"/>
    <col min="11012" max="11012" width="12.81640625" style="393" hidden="1" customWidth="1"/>
    <col min="11013" max="11018" width="12.1796875" style="393" hidden="1" customWidth="1"/>
    <col min="11019" max="11029" width="8.81640625" style="393" hidden="1" customWidth="1"/>
    <col min="11030" max="11264" width="8.81640625" style="393" hidden="1"/>
    <col min="11265" max="11265" width="32.7265625" style="393" hidden="1" customWidth="1"/>
    <col min="11266" max="11267" width="12.1796875" style="393" hidden="1" customWidth="1"/>
    <col min="11268" max="11268" width="12.81640625" style="393" hidden="1" customWidth="1"/>
    <col min="11269" max="11274" width="12.1796875" style="393" hidden="1" customWidth="1"/>
    <col min="11275" max="11285" width="8.81640625" style="393" hidden="1" customWidth="1"/>
    <col min="11286" max="11520" width="8.81640625" style="393" hidden="1"/>
    <col min="11521" max="11521" width="32.7265625" style="393" hidden="1" customWidth="1"/>
    <col min="11522" max="11523" width="12.1796875" style="393" hidden="1" customWidth="1"/>
    <col min="11524" max="11524" width="12.81640625" style="393" hidden="1" customWidth="1"/>
    <col min="11525" max="11530" width="12.1796875" style="393" hidden="1" customWidth="1"/>
    <col min="11531" max="11541" width="8.81640625" style="393" hidden="1" customWidth="1"/>
    <col min="11542" max="11776" width="8.81640625" style="393" hidden="1"/>
    <col min="11777" max="11777" width="32.7265625" style="393" hidden="1" customWidth="1"/>
    <col min="11778" max="11779" width="12.1796875" style="393" hidden="1" customWidth="1"/>
    <col min="11780" max="11780" width="12.81640625" style="393" hidden="1" customWidth="1"/>
    <col min="11781" max="11786" width="12.1796875" style="393" hidden="1" customWidth="1"/>
    <col min="11787" max="11797" width="8.81640625" style="393" hidden="1" customWidth="1"/>
    <col min="11798" max="12032" width="8.81640625" style="393" hidden="1"/>
    <col min="12033" max="12033" width="32.7265625" style="393" hidden="1" customWidth="1"/>
    <col min="12034" max="12035" width="12.1796875" style="393" hidden="1" customWidth="1"/>
    <col min="12036" max="12036" width="12.81640625" style="393" hidden="1" customWidth="1"/>
    <col min="12037" max="12042" width="12.1796875" style="393" hidden="1" customWidth="1"/>
    <col min="12043" max="12053" width="8.81640625" style="393" hidden="1" customWidth="1"/>
    <col min="12054" max="12288" width="8.81640625" style="393" hidden="1"/>
    <col min="12289" max="12289" width="32.7265625" style="393" hidden="1" customWidth="1"/>
    <col min="12290" max="12291" width="12.1796875" style="393" hidden="1" customWidth="1"/>
    <col min="12292" max="12292" width="12.81640625" style="393" hidden="1" customWidth="1"/>
    <col min="12293" max="12298" width="12.1796875" style="393" hidden="1" customWidth="1"/>
    <col min="12299" max="12309" width="8.81640625" style="393" hidden="1" customWidth="1"/>
    <col min="12310" max="12544" width="8.81640625" style="393" hidden="1"/>
    <col min="12545" max="12545" width="32.7265625" style="393" hidden="1" customWidth="1"/>
    <col min="12546" max="12547" width="12.1796875" style="393" hidden="1" customWidth="1"/>
    <col min="12548" max="12548" width="12.81640625" style="393" hidden="1" customWidth="1"/>
    <col min="12549" max="12554" width="12.1796875" style="393" hidden="1" customWidth="1"/>
    <col min="12555" max="12565" width="8.81640625" style="393" hidden="1" customWidth="1"/>
    <col min="12566" max="12800" width="8.81640625" style="393" hidden="1"/>
    <col min="12801" max="12801" width="32.7265625" style="393" hidden="1" customWidth="1"/>
    <col min="12802" max="12803" width="12.1796875" style="393" hidden="1" customWidth="1"/>
    <col min="12804" max="12804" width="12.81640625" style="393" hidden="1" customWidth="1"/>
    <col min="12805" max="12810" width="12.1796875" style="393" hidden="1" customWidth="1"/>
    <col min="12811" max="12821" width="8.81640625" style="393" hidden="1" customWidth="1"/>
    <col min="12822" max="13056" width="8.81640625" style="393" hidden="1"/>
    <col min="13057" max="13057" width="32.7265625" style="393" hidden="1" customWidth="1"/>
    <col min="13058" max="13059" width="12.1796875" style="393" hidden="1" customWidth="1"/>
    <col min="13060" max="13060" width="12.81640625" style="393" hidden="1" customWidth="1"/>
    <col min="13061" max="13066" width="12.1796875" style="393" hidden="1" customWidth="1"/>
    <col min="13067" max="13077" width="8.81640625" style="393" hidden="1" customWidth="1"/>
    <col min="13078" max="13312" width="8.81640625" style="393" hidden="1"/>
    <col min="13313" max="13313" width="32.7265625" style="393" hidden="1" customWidth="1"/>
    <col min="13314" max="13315" width="12.1796875" style="393" hidden="1" customWidth="1"/>
    <col min="13316" max="13316" width="12.81640625" style="393" hidden="1" customWidth="1"/>
    <col min="13317" max="13322" width="12.1796875" style="393" hidden="1" customWidth="1"/>
    <col min="13323" max="13333" width="8.81640625" style="393" hidden="1" customWidth="1"/>
    <col min="13334" max="13568" width="8.81640625" style="393" hidden="1"/>
    <col min="13569" max="13569" width="32.7265625" style="393" hidden="1" customWidth="1"/>
    <col min="13570" max="13571" width="12.1796875" style="393" hidden="1" customWidth="1"/>
    <col min="13572" max="13572" width="12.81640625" style="393" hidden="1" customWidth="1"/>
    <col min="13573" max="13578" width="12.1796875" style="393" hidden="1" customWidth="1"/>
    <col min="13579" max="13589" width="8.81640625" style="393" hidden="1" customWidth="1"/>
    <col min="13590" max="13824" width="8.81640625" style="393" hidden="1"/>
    <col min="13825" max="13825" width="32.7265625" style="393" hidden="1" customWidth="1"/>
    <col min="13826" max="13827" width="12.1796875" style="393" hidden="1" customWidth="1"/>
    <col min="13828" max="13828" width="12.81640625" style="393" hidden="1" customWidth="1"/>
    <col min="13829" max="13834" width="12.1796875" style="393" hidden="1" customWidth="1"/>
    <col min="13835" max="13845" width="8.81640625" style="393" hidden="1" customWidth="1"/>
    <col min="13846" max="14080" width="8.81640625" style="393" hidden="1"/>
    <col min="14081" max="14081" width="32.7265625" style="393" hidden="1" customWidth="1"/>
    <col min="14082" max="14083" width="12.1796875" style="393" hidden="1" customWidth="1"/>
    <col min="14084" max="14084" width="12.81640625" style="393" hidden="1" customWidth="1"/>
    <col min="14085" max="14090" width="12.1796875" style="393" hidden="1" customWidth="1"/>
    <col min="14091" max="14101" width="8.81640625" style="393" hidden="1" customWidth="1"/>
    <col min="14102" max="14336" width="8.81640625" style="393" hidden="1"/>
    <col min="14337" max="14337" width="32.7265625" style="393" hidden="1" customWidth="1"/>
    <col min="14338" max="14339" width="12.1796875" style="393" hidden="1" customWidth="1"/>
    <col min="14340" max="14340" width="12.81640625" style="393" hidden="1" customWidth="1"/>
    <col min="14341" max="14346" width="12.1796875" style="393" hidden="1" customWidth="1"/>
    <col min="14347" max="14357" width="8.81640625" style="393" hidden="1" customWidth="1"/>
    <col min="14358" max="14592" width="8.81640625" style="393" hidden="1"/>
    <col min="14593" max="14593" width="32.7265625" style="393" hidden="1" customWidth="1"/>
    <col min="14594" max="14595" width="12.1796875" style="393" hidden="1" customWidth="1"/>
    <col min="14596" max="14596" width="12.81640625" style="393" hidden="1" customWidth="1"/>
    <col min="14597" max="14602" width="12.1796875" style="393" hidden="1" customWidth="1"/>
    <col min="14603" max="14613" width="8.81640625" style="393" hidden="1" customWidth="1"/>
    <col min="14614" max="14848" width="8.81640625" style="393" hidden="1"/>
    <col min="14849" max="14849" width="32.7265625" style="393" hidden="1" customWidth="1"/>
    <col min="14850" max="14851" width="12.1796875" style="393" hidden="1" customWidth="1"/>
    <col min="14852" max="14852" width="12.81640625" style="393" hidden="1" customWidth="1"/>
    <col min="14853" max="14858" width="12.1796875" style="393" hidden="1" customWidth="1"/>
    <col min="14859" max="14869" width="8.81640625" style="393" hidden="1" customWidth="1"/>
    <col min="14870" max="15104" width="8.81640625" style="393" hidden="1"/>
    <col min="15105" max="15105" width="32.7265625" style="393" hidden="1" customWidth="1"/>
    <col min="15106" max="15107" width="12.1796875" style="393" hidden="1" customWidth="1"/>
    <col min="15108" max="15108" width="12.81640625" style="393" hidden="1" customWidth="1"/>
    <col min="15109" max="15114" width="12.1796875" style="393" hidden="1" customWidth="1"/>
    <col min="15115" max="15125" width="8.81640625" style="393" hidden="1" customWidth="1"/>
    <col min="15126" max="15360" width="8.81640625" style="393" hidden="1"/>
    <col min="15361" max="15361" width="32.7265625" style="393" hidden="1" customWidth="1"/>
    <col min="15362" max="15363" width="12.1796875" style="393" hidden="1" customWidth="1"/>
    <col min="15364" max="15364" width="12.81640625" style="393" hidden="1" customWidth="1"/>
    <col min="15365" max="15370" width="12.1796875" style="393" hidden="1" customWidth="1"/>
    <col min="15371" max="15381" width="8.81640625" style="393" hidden="1" customWidth="1"/>
    <col min="15382" max="15616" width="8.81640625" style="393" hidden="1"/>
    <col min="15617" max="15617" width="32.7265625" style="393" hidden="1" customWidth="1"/>
    <col min="15618" max="15619" width="12.1796875" style="393" hidden="1" customWidth="1"/>
    <col min="15620" max="15620" width="12.81640625" style="393" hidden="1" customWidth="1"/>
    <col min="15621" max="15626" width="12.1796875" style="393" hidden="1" customWidth="1"/>
    <col min="15627" max="15637" width="8.81640625" style="393" hidden="1" customWidth="1"/>
    <col min="15638" max="15872" width="8.81640625" style="393" hidden="1"/>
    <col min="15873" max="15873" width="32.7265625" style="393" hidden="1" customWidth="1"/>
    <col min="15874" max="15875" width="12.1796875" style="393" hidden="1" customWidth="1"/>
    <col min="15876" max="15876" width="12.81640625" style="393" hidden="1" customWidth="1"/>
    <col min="15877" max="15882" width="12.1796875" style="393" hidden="1" customWidth="1"/>
    <col min="15883" max="15893" width="8.81640625" style="393" hidden="1" customWidth="1"/>
    <col min="15894" max="16128" width="8.81640625" style="393" hidden="1"/>
    <col min="16129" max="16129" width="32.7265625" style="393" hidden="1" customWidth="1"/>
    <col min="16130" max="16131" width="12.1796875" style="393" hidden="1" customWidth="1"/>
    <col min="16132" max="16132" width="12.81640625" style="393" hidden="1" customWidth="1"/>
    <col min="16133" max="16138" width="12.1796875" style="393" hidden="1" customWidth="1"/>
    <col min="16139" max="16149" width="8.81640625" style="393" hidden="1" customWidth="1"/>
    <col min="16150" max="16384" width="8.81640625" style="393" hidden="1"/>
  </cols>
  <sheetData>
    <row r="1" spans="1:11" s="356" customFormat="1" ht="13">
      <c r="A1" s="1876" t="s">
        <v>1225</v>
      </c>
      <c r="B1" s="1877"/>
      <c r="C1" s="1877"/>
      <c r="D1" s="1877"/>
      <c r="E1" s="1877"/>
      <c r="F1" s="1877"/>
      <c r="G1" s="1877"/>
      <c r="H1" s="1877"/>
      <c r="I1" s="1877"/>
      <c r="J1" s="1878"/>
      <c r="K1" s="355"/>
    </row>
    <row r="2" spans="1:11" s="401" customFormat="1" ht="69">
      <c r="A2" s="398"/>
      <c r="B2" s="399" t="s">
        <v>1025</v>
      </c>
      <c r="C2" s="399" t="s">
        <v>1227</v>
      </c>
      <c r="D2" s="399" t="s">
        <v>1228</v>
      </c>
      <c r="E2" s="399" t="s">
        <v>1156</v>
      </c>
      <c r="F2" s="399" t="s">
        <v>1229</v>
      </c>
      <c r="G2" s="399" t="s">
        <v>1230</v>
      </c>
      <c r="H2" s="399" t="s">
        <v>1026</v>
      </c>
      <c r="I2" s="399" t="s">
        <v>1231</v>
      </c>
      <c r="J2" s="399" t="s">
        <v>1232</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150000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592</v>
      </c>
      <c r="B8" s="361">
        <f>'Sources and Uses Budget'!C8</f>
        <v>150000</v>
      </c>
      <c r="C8" s="361">
        <f>SUM(C4:C7)</f>
        <v>0</v>
      </c>
      <c r="D8" s="361">
        <f>SUM(D4:D7)</f>
        <v>0</v>
      </c>
      <c r="E8" s="363"/>
      <c r="F8" s="363"/>
      <c r="G8" s="363"/>
      <c r="H8" s="363"/>
      <c r="I8" s="363"/>
      <c r="J8" s="363"/>
      <c r="K8" s="359"/>
    </row>
    <row r="9" spans="1:11" s="360" customFormat="1">
      <c r="A9" s="364" t="s">
        <v>593</v>
      </c>
      <c r="B9" s="361">
        <f>'Sources and Uses Budget'!C9</f>
        <v>0</v>
      </c>
      <c r="C9" s="362"/>
      <c r="D9" s="362"/>
      <c r="E9" s="363"/>
      <c r="F9" s="363"/>
      <c r="G9" s="363"/>
      <c r="H9" s="361">
        <f>'Sources and Uses Budget'!T9</f>
        <v>0</v>
      </c>
      <c r="I9" s="362"/>
      <c r="J9" s="362"/>
      <c r="K9" s="359"/>
    </row>
    <row r="10" spans="1:11" s="360" customFormat="1">
      <c r="A10" s="364" t="s">
        <v>594</v>
      </c>
      <c r="B10" s="361">
        <f>'Sources and Uses Budget'!C10</f>
        <v>300000</v>
      </c>
      <c r="C10" s="362"/>
      <c r="D10" s="362"/>
      <c r="E10" s="361">
        <f>'Sources and Uses Budget'!S10</f>
        <v>300000</v>
      </c>
      <c r="F10" s="362"/>
      <c r="G10" s="362"/>
      <c r="H10" s="361">
        <f>'Sources and Uses Budget'!T10</f>
        <v>0</v>
      </c>
      <c r="I10" s="362"/>
      <c r="J10" s="362"/>
      <c r="K10" s="359"/>
    </row>
    <row r="11" spans="1:11" s="360" customFormat="1">
      <c r="A11" s="365" t="s">
        <v>595</v>
      </c>
      <c r="B11" s="361">
        <f>'Sources and Uses Budget'!C11</f>
        <v>300000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450000</v>
      </c>
      <c r="C12" s="361">
        <f>SUM(C8+C11)</f>
        <v>0</v>
      </c>
      <c r="D12" s="361">
        <f>SUM(D8+D11)</f>
        <v>0</v>
      </c>
      <c r="E12" s="363"/>
      <c r="F12" s="363"/>
      <c r="G12" s="363"/>
      <c r="H12" s="363"/>
      <c r="I12" s="363"/>
      <c r="J12" s="363"/>
      <c r="K12" s="359"/>
    </row>
    <row r="13" spans="1:11" s="360" customFormat="1">
      <c r="A13" s="366" t="s">
        <v>901</v>
      </c>
      <c r="B13" s="361">
        <f>'Sources and Uses Budget'!C13</f>
        <v>0</v>
      </c>
      <c r="C13" s="362"/>
      <c r="D13" s="362"/>
      <c r="E13" s="361">
        <f>'Sources and Uses Budget'!S13</f>
        <v>0</v>
      </c>
      <c r="F13" s="362"/>
      <c r="G13" s="362"/>
      <c r="H13" s="361">
        <f>'Sources and Uses Budget'!T13</f>
        <v>0</v>
      </c>
      <c r="I13" s="362"/>
      <c r="J13" s="362"/>
      <c r="K13" s="359"/>
    </row>
    <row r="14" spans="1:11" s="360" customFormat="1" ht="23">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1159</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596</v>
      </c>
      <c r="B16" s="358"/>
      <c r="C16" s="358"/>
      <c r="D16" s="358"/>
      <c r="E16" s="358"/>
      <c r="F16" s="358"/>
      <c r="G16" s="358"/>
      <c r="H16" s="358"/>
      <c r="I16" s="358"/>
      <c r="J16" s="358"/>
      <c r="K16" s="359"/>
    </row>
    <row r="17" spans="1:11" s="360" customFormat="1">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1627</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597</v>
      </c>
      <c r="B29" s="361">
        <f>'Sources and Uses Budget'!C29</f>
        <v>3930000</v>
      </c>
      <c r="C29" s="362"/>
      <c r="D29" s="362"/>
      <c r="E29" s="361">
        <f>'Sources and Uses Budget'!S29</f>
        <v>3930000</v>
      </c>
      <c r="F29" s="362"/>
      <c r="G29" s="362"/>
      <c r="H29" s="361">
        <f>'Sources and Uses Budget'!T29</f>
        <v>0</v>
      </c>
      <c r="I29" s="362"/>
      <c r="J29" s="362"/>
      <c r="K29" s="359"/>
    </row>
    <row r="30" spans="1:11" s="360" customFormat="1">
      <c r="A30" s="145" t="s">
        <v>598</v>
      </c>
      <c r="B30" s="361">
        <f>'Sources and Uses Budget'!C30</f>
        <v>31683885</v>
      </c>
      <c r="C30" s="362"/>
      <c r="D30" s="362"/>
      <c r="E30" s="361">
        <f>'Sources and Uses Budget'!S30</f>
        <v>31683885</v>
      </c>
      <c r="F30" s="362"/>
      <c r="G30" s="362"/>
      <c r="H30" s="361">
        <f>'Sources and Uses Budget'!T30</f>
        <v>0</v>
      </c>
      <c r="I30" s="362"/>
      <c r="J30" s="362"/>
      <c r="K30" s="359"/>
    </row>
    <row r="31" spans="1:11" s="360" customFormat="1">
      <c r="A31" s="145" t="s">
        <v>599</v>
      </c>
      <c r="B31" s="361">
        <f>'Sources and Uses Budget'!C31</f>
        <v>1795694</v>
      </c>
      <c r="C31" s="362"/>
      <c r="D31" s="362"/>
      <c r="E31" s="361">
        <f>'Sources and Uses Budget'!S31</f>
        <v>1795694</v>
      </c>
      <c r="F31" s="362"/>
      <c r="G31" s="362"/>
      <c r="H31" s="361">
        <f>'Sources and Uses Budget'!T31</f>
        <v>0</v>
      </c>
      <c r="I31" s="362"/>
      <c r="J31" s="362"/>
      <c r="K31" s="359"/>
    </row>
    <row r="32" spans="1:11" s="360" customFormat="1">
      <c r="A32" s="145" t="s">
        <v>137</v>
      </c>
      <c r="B32" s="361">
        <f>'Sources and Uses Budget'!C32</f>
        <v>718278</v>
      </c>
      <c r="C32" s="362"/>
      <c r="D32" s="362"/>
      <c r="E32" s="361">
        <f>'Sources and Uses Budget'!S32</f>
        <v>718278</v>
      </c>
      <c r="F32" s="362"/>
      <c r="G32" s="362"/>
      <c r="H32" s="361">
        <f>'Sources and Uses Budget'!T32</f>
        <v>0</v>
      </c>
      <c r="I32" s="362"/>
      <c r="J32" s="362"/>
      <c r="K32" s="359"/>
    </row>
    <row r="33" spans="1:11" s="360" customFormat="1">
      <c r="A33" s="145" t="s">
        <v>138</v>
      </c>
      <c r="B33" s="361">
        <f>'Sources and Uses Budget'!C33</f>
        <v>2154833</v>
      </c>
      <c r="C33" s="362"/>
      <c r="D33" s="362"/>
      <c r="E33" s="361">
        <f>'Sources and Uses Budget'!S33</f>
        <v>2154833</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1627</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40282690</v>
      </c>
      <c r="C38" s="361">
        <f>SUM(C29:C37)</f>
        <v>0</v>
      </c>
      <c r="D38" s="361">
        <f>SUM(D29:D37)</f>
        <v>0</v>
      </c>
      <c r="E38" s="361">
        <f>'Sources and Uses Budget'!S38</f>
        <v>40282690</v>
      </c>
      <c r="F38" s="367">
        <f>SUM(F29:F37)</f>
        <v>0</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750000</v>
      </c>
      <c r="C40" s="362"/>
      <c r="D40" s="362"/>
      <c r="E40" s="361">
        <f>'Sources and Uses Budget'!S40</f>
        <v>750000</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750000</v>
      </c>
      <c r="C42" s="361">
        <f>SUM(C39:C41)</f>
        <v>0</v>
      </c>
      <c r="D42" s="361">
        <f>SUM(D39:D41)</f>
        <v>0</v>
      </c>
      <c r="E42" s="361">
        <f>'Sources and Uses Budget'!S42</f>
        <v>750000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400000</v>
      </c>
      <c r="C43" s="362"/>
      <c r="D43" s="362"/>
      <c r="E43" s="361">
        <f>'Sources and Uses Budget'!S43</f>
        <v>400000</v>
      </c>
      <c r="F43" s="362"/>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3000000</v>
      </c>
      <c r="C45" s="362"/>
      <c r="D45" s="362"/>
      <c r="E45" s="361">
        <f>'Sources and Uses Budget'!S45</f>
        <v>3000000</v>
      </c>
      <c r="F45" s="362"/>
      <c r="G45" s="362"/>
      <c r="H45" s="361">
        <f>'Sources and Uses Budget'!T45</f>
        <v>0</v>
      </c>
      <c r="I45" s="362"/>
      <c r="J45" s="362"/>
      <c r="K45" s="359"/>
    </row>
    <row r="46" spans="1:11" s="360" customFormat="1">
      <c r="A46" s="364" t="s">
        <v>151</v>
      </c>
      <c r="B46" s="361">
        <f>'Sources and Uses Budget'!C46</f>
        <v>275000</v>
      </c>
      <c r="C46" s="362"/>
      <c r="D46" s="362"/>
      <c r="E46" s="361">
        <f>'Sources and Uses Budget'!S46</f>
        <v>275000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60000</v>
      </c>
      <c r="C50" s="362"/>
      <c r="D50" s="362"/>
      <c r="E50" s="361">
        <f>'Sources and Uses Budget'!S50</f>
        <v>60000</v>
      </c>
      <c r="F50" s="362"/>
      <c r="G50" s="362"/>
      <c r="H50" s="361">
        <f>'Sources and Uses Budget'!T50</f>
        <v>0</v>
      </c>
      <c r="I50" s="362"/>
      <c r="J50" s="362"/>
      <c r="K50" s="359"/>
    </row>
    <row r="51" spans="1:11" s="360" customFormat="1">
      <c r="A51" s="364" t="s">
        <v>154</v>
      </c>
      <c r="B51" s="361">
        <f>'Sources and Uses Budget'!C51</f>
        <v>15000</v>
      </c>
      <c r="C51" s="362"/>
      <c r="D51" s="362"/>
      <c r="E51" s="361">
        <f>'Sources and Uses Budget'!S51</f>
        <v>15000</v>
      </c>
      <c r="F51" s="362"/>
      <c r="G51" s="362"/>
      <c r="H51" s="361">
        <f>'Sources and Uses Budget'!T51</f>
        <v>0</v>
      </c>
      <c r="I51" s="362"/>
      <c r="J51" s="362"/>
      <c r="K51" s="359"/>
    </row>
    <row r="52" spans="1:11" s="360" customFormat="1">
      <c r="A52" s="364" t="s">
        <v>155</v>
      </c>
      <c r="B52" s="361">
        <f>'Sources and Uses Budget'!C52</f>
        <v>745700</v>
      </c>
      <c r="C52" s="362"/>
      <c r="D52" s="362"/>
      <c r="E52" s="361">
        <f>'Sources and Uses Budget'!S52</f>
        <v>745700</v>
      </c>
      <c r="F52" s="362"/>
      <c r="G52" s="362"/>
      <c r="H52" s="361">
        <f>'Sources and Uses Budget'!T52</f>
        <v>0</v>
      </c>
      <c r="I52" s="362"/>
      <c r="J52" s="362"/>
      <c r="K52" s="359"/>
    </row>
    <row r="53" spans="1:11" s="360" customFormat="1">
      <c r="A53" s="364" t="str">
        <f>'Sources and Uses Budget'!$A53</f>
        <v>Other: Bond Issuer &amp; Trustee Fees</v>
      </c>
      <c r="B53" s="361">
        <f>'Sources and Uses Budget'!C53</f>
        <v>100000</v>
      </c>
      <c r="C53" s="362"/>
      <c r="D53" s="362"/>
      <c r="E53" s="361">
        <f>'Sources and Uses Budget'!S53</f>
        <v>100000</v>
      </c>
      <c r="F53" s="362"/>
      <c r="G53" s="362"/>
      <c r="H53" s="361">
        <f>'Sources and Uses Budget'!T53</f>
        <v>0</v>
      </c>
      <c r="I53" s="362"/>
      <c r="J53" s="362"/>
      <c r="K53" s="359"/>
    </row>
    <row r="54" spans="1:11" s="369" customFormat="1">
      <c r="A54" s="365" t="s">
        <v>157</v>
      </c>
      <c r="B54" s="361">
        <f>'Sources and Uses Budget'!C54</f>
        <v>4195700</v>
      </c>
      <c r="C54" s="367">
        <f>SUM(C45:C53)</f>
        <v>0</v>
      </c>
      <c r="D54" s="367">
        <f>SUM(D45:D53)</f>
        <v>0</v>
      </c>
      <c r="E54" s="361">
        <f>'Sources and Uses Budget'!S54</f>
        <v>4195700</v>
      </c>
      <c r="F54" s="367">
        <f>SUM(F45:F53)</f>
        <v>0</v>
      </c>
      <c r="G54" s="367">
        <f>SUM(G45:G53)</f>
        <v>0</v>
      </c>
      <c r="H54" s="361">
        <f>'Sources and Uses Budget'!T54</f>
        <v>0</v>
      </c>
      <c r="I54" s="367">
        <f>SUM(I45:I53)</f>
        <v>0</v>
      </c>
      <c r="J54" s="367">
        <f>SUM(J45:J53)</f>
        <v>0</v>
      </c>
      <c r="K54" s="368"/>
    </row>
    <row r="55" spans="1:11" s="360" customFormat="1" ht="12">
      <c r="A55" s="357" t="s">
        <v>417</v>
      </c>
      <c r="B55" s="358"/>
      <c r="C55" s="358"/>
      <c r="D55" s="358"/>
      <c r="E55" s="358"/>
      <c r="F55" s="358"/>
      <c r="G55" s="358"/>
      <c r="H55" s="358"/>
      <c r="I55" s="358"/>
      <c r="J55" s="358"/>
      <c r="K55" s="359"/>
    </row>
    <row r="56" spans="1:11" s="360" customFormat="1">
      <c r="A56" s="364" t="s">
        <v>158</v>
      </c>
      <c r="B56" s="361">
        <f>'Sources and Uses Budget'!C56</f>
        <v>25000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v>
      </c>
      <c r="B61" s="361">
        <f>'Sources and Uses Budget'!C61</f>
        <v>0</v>
      </c>
      <c r="C61" s="362"/>
      <c r="D61" s="362"/>
      <c r="E61" s="363"/>
      <c r="F61" s="363"/>
      <c r="G61" s="363"/>
      <c r="H61" s="363"/>
      <c r="I61" s="363"/>
      <c r="J61" s="363"/>
      <c r="K61" s="359"/>
    </row>
    <row r="62" spans="1:11" s="360" customFormat="1" ht="13.75" customHeight="1">
      <c r="A62" s="365" t="s">
        <v>300</v>
      </c>
      <c r="B62" s="361">
        <f>'Sources and Uses Budget'!C62</f>
        <v>25000</v>
      </c>
      <c r="C62" s="361">
        <f>SUM(C56:C61)</f>
        <v>0</v>
      </c>
      <c r="D62" s="361">
        <f>SUM(D56:D61)</f>
        <v>0</v>
      </c>
      <c r="E62" s="363"/>
      <c r="F62" s="363"/>
      <c r="G62" s="363"/>
      <c r="H62" s="363"/>
      <c r="I62" s="363"/>
      <c r="J62" s="363"/>
      <c r="K62" s="359"/>
    </row>
    <row r="63" spans="1:11" s="360" customFormat="1">
      <c r="A63" s="370" t="s">
        <v>301</v>
      </c>
      <c r="B63" s="361">
        <f>'Sources and Uses Budget'!C63</f>
        <v>46103390</v>
      </c>
      <c r="C63" s="361">
        <f>SUM(C8+C11+C13+C14+C15+C26+C27+C38+C42+C43+C54+C62)</f>
        <v>0</v>
      </c>
      <c r="D63" s="361">
        <f>SUM(D8+D11+D13+D14+D15+D26+D27+D38+D42+D43+D54+D62)</f>
        <v>0</v>
      </c>
      <c r="E63" s="361">
        <f>'Sources and Uses Budget'!S63</f>
        <v>45928390</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1631</v>
      </c>
      <c r="B64" s="358"/>
      <c r="C64" s="358"/>
      <c r="D64" s="358"/>
      <c r="E64" s="358"/>
      <c r="F64" s="358"/>
      <c r="G64" s="358"/>
      <c r="H64" s="358"/>
      <c r="I64" s="358"/>
      <c r="J64" s="358"/>
      <c r="K64" s="359"/>
    </row>
    <row r="65" spans="1:11" s="360" customFormat="1">
      <c r="A65" s="145" t="s">
        <v>170</v>
      </c>
      <c r="B65" s="361">
        <f>'Sources and Uses Budget'!C65</f>
        <v>100000</v>
      </c>
      <c r="C65" s="362"/>
      <c r="D65" s="362"/>
      <c r="E65" s="361">
        <f>'Sources and Uses Budget'!S65</f>
        <v>100000</v>
      </c>
      <c r="F65" s="362"/>
      <c r="G65" s="362"/>
      <c r="H65" s="361">
        <f>'Sources and Uses Budget'!T65</f>
        <v>0</v>
      </c>
      <c r="I65" s="362"/>
      <c r="J65" s="362"/>
      <c r="K65" s="359"/>
    </row>
    <row r="66" spans="1:11" s="360" customFormat="1" ht="23">
      <c r="A66" s="283" t="s">
        <v>1628</v>
      </c>
      <c r="B66" s="361">
        <f>'Sources and Uses Budget'!C66</f>
        <v>60000</v>
      </c>
      <c r="C66" s="362"/>
      <c r="D66" s="362"/>
      <c r="E66" s="361">
        <f>'Sources and Uses Budget'!S66</f>
        <v>60000</v>
      </c>
      <c r="F66" s="362"/>
      <c r="G66" s="362"/>
      <c r="H66" s="361">
        <f>'Sources and Uses Budget'!T66</f>
        <v>0</v>
      </c>
      <c r="I66" s="362"/>
      <c r="J66" s="362"/>
      <c r="K66" s="359"/>
    </row>
    <row r="67" spans="1:11" s="360" customFormat="1" ht="23">
      <c r="A67" s="283" t="s">
        <v>1629</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1635</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Interest &amp; Loan Fees - Series B</v>
      </c>
      <c r="B69" s="361">
        <f>'Sources and Uses Budget'!C69</f>
        <v>1000000</v>
      </c>
      <c r="C69" s="362"/>
      <c r="D69" s="362"/>
      <c r="E69" s="361">
        <f>'Sources and Uses Budget'!S69</f>
        <v>1000000</v>
      </c>
      <c r="F69" s="362"/>
      <c r="G69" s="362"/>
      <c r="H69" s="361">
        <f>'Sources and Uses Budget'!T69</f>
        <v>0</v>
      </c>
      <c r="I69" s="362"/>
      <c r="J69" s="362"/>
      <c r="K69" s="359"/>
    </row>
    <row r="70" spans="1:11" s="360" customFormat="1">
      <c r="A70" s="365" t="s">
        <v>600</v>
      </c>
      <c r="B70" s="361">
        <f>'Sources and Uses Budget'!C70</f>
        <v>1160000</v>
      </c>
      <c r="C70" s="361">
        <f>SUM(C64:C69)</f>
        <v>0</v>
      </c>
      <c r="D70" s="361">
        <f>SUM(D64:D69)</f>
        <v>0</v>
      </c>
      <c r="E70" s="361">
        <f>'Sources and Uses Budget'!S70</f>
        <v>1160000</v>
      </c>
      <c r="F70" s="367">
        <f>SUM(F65:F69)</f>
        <v>0</v>
      </c>
      <c r="G70" s="367">
        <f>SUM(G65:G69)</f>
        <v>0</v>
      </c>
      <c r="H70" s="361">
        <f>'Sources and Uses Budget'!T70</f>
        <v>0</v>
      </c>
      <c r="I70" s="367">
        <f>SUM(I65:I69)</f>
        <v>0</v>
      </c>
      <c r="J70" s="367">
        <f>SUM(J65:J69)</f>
        <v>0</v>
      </c>
      <c r="K70" s="359"/>
    </row>
    <row r="71" spans="1:11" s="360" customFormat="1" ht="12">
      <c r="A71" s="357" t="s">
        <v>601</v>
      </c>
      <c r="B71" s="358"/>
      <c r="C71" s="358"/>
      <c r="D71" s="358"/>
      <c r="E71" s="358"/>
      <c r="F71" s="358"/>
      <c r="G71" s="358"/>
      <c r="H71" s="358"/>
      <c r="I71" s="358"/>
      <c r="J71" s="358"/>
      <c r="K71" s="359"/>
    </row>
    <row r="72" spans="1:11" s="360" customFormat="1">
      <c r="A72" s="364" t="s">
        <v>602</v>
      </c>
      <c r="B72" s="361">
        <f>'Sources and Uses Budget'!C72</f>
        <v>100000</v>
      </c>
      <c r="C72" s="362"/>
      <c r="D72" s="362"/>
      <c r="E72" s="363"/>
      <c r="F72" s="363"/>
      <c r="G72" s="363"/>
      <c r="H72" s="363"/>
      <c r="I72" s="363"/>
      <c r="J72" s="363"/>
      <c r="K72" s="359"/>
    </row>
    <row r="73" spans="1:11" s="360" customFormat="1">
      <c r="A73" s="364" t="s">
        <v>603</v>
      </c>
      <c r="B73" s="361">
        <f>'Sources and Uses Budget'!C73</f>
        <v>0</v>
      </c>
      <c r="C73" s="362"/>
      <c r="D73" s="362"/>
      <c r="E73" s="363"/>
      <c r="F73" s="363"/>
      <c r="G73" s="363"/>
      <c r="H73" s="363"/>
      <c r="I73" s="363"/>
      <c r="J73" s="363"/>
      <c r="K73" s="359"/>
    </row>
    <row r="74" spans="1:11" s="360" customFormat="1">
      <c r="A74" s="366" t="s">
        <v>984</v>
      </c>
      <c r="B74" s="361">
        <f>'Sources and Uses Budget'!C74</f>
        <v>0</v>
      </c>
      <c r="C74" s="362"/>
      <c r="D74" s="362"/>
      <c r="E74" s="363"/>
      <c r="F74" s="363"/>
      <c r="G74" s="363"/>
      <c r="H74" s="363"/>
      <c r="I74" s="363"/>
      <c r="J74" s="363"/>
      <c r="K74" s="359"/>
    </row>
    <row r="75" spans="1:11" s="360" customFormat="1">
      <c r="A75" s="364" t="s">
        <v>604</v>
      </c>
      <c r="B75" s="361">
        <f>'Sources and Uses Budget'!C75</f>
        <v>544209</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605</v>
      </c>
      <c r="B77" s="361">
        <f>'Sources and Uses Budget'!C77</f>
        <v>644209</v>
      </c>
      <c r="C77" s="361">
        <f>SUM(C72:C76)</f>
        <v>0</v>
      </c>
      <c r="D77" s="361">
        <f>SUM(D72:D76)</f>
        <v>0</v>
      </c>
      <c r="E77" s="363"/>
      <c r="F77" s="363"/>
      <c r="G77" s="363"/>
      <c r="H77" s="363"/>
      <c r="I77" s="363"/>
      <c r="J77" s="363"/>
      <c r="K77" s="359"/>
    </row>
    <row r="78" spans="1:11" s="360" customFormat="1" ht="12">
      <c r="A78" s="357" t="s">
        <v>1208</v>
      </c>
      <c r="B78" s="358"/>
      <c r="C78" s="358"/>
      <c r="D78" s="358"/>
      <c r="E78" s="358"/>
      <c r="F78" s="358"/>
      <c r="G78" s="358"/>
      <c r="H78" s="358"/>
      <c r="I78" s="358"/>
      <c r="J78" s="358"/>
      <c r="K78" s="359"/>
    </row>
    <row r="79" spans="1:11" s="360" customFormat="1">
      <c r="A79" s="364" t="s">
        <v>1210</v>
      </c>
      <c r="B79" s="361">
        <f>'Sources and Uses Budget'!C79</f>
        <v>2029100</v>
      </c>
      <c r="C79" s="362"/>
      <c r="D79" s="362"/>
      <c r="E79" s="361">
        <f>'Sources and Uses Budget'!S79</f>
        <v>2029100</v>
      </c>
      <c r="F79" s="362"/>
      <c r="G79" s="362"/>
      <c r="H79" s="361">
        <f>'Sources and Uses Budget'!T79</f>
        <v>0</v>
      </c>
      <c r="I79" s="362"/>
      <c r="J79" s="362"/>
      <c r="K79" s="359"/>
    </row>
    <row r="80" spans="1:11" s="360" customFormat="1">
      <c r="A80" s="364" t="s">
        <v>58</v>
      </c>
      <c r="B80" s="361">
        <f>'Sources and Uses Budget'!C80</f>
        <v>300000</v>
      </c>
      <c r="C80" s="362"/>
      <c r="D80" s="362"/>
      <c r="E80" s="361">
        <f>'Sources and Uses Budget'!S80</f>
        <v>300000</v>
      </c>
      <c r="F80" s="362"/>
      <c r="G80" s="362"/>
      <c r="H80" s="361">
        <f>'Sources and Uses Budget'!T80</f>
        <v>0</v>
      </c>
      <c r="I80" s="362"/>
      <c r="J80" s="362"/>
      <c r="K80" s="359"/>
    </row>
    <row r="81" spans="1:11" s="360" customFormat="1">
      <c r="A81" s="365" t="s">
        <v>1207</v>
      </c>
      <c r="B81" s="361">
        <f>'Sources and Uses Budget'!C81</f>
        <v>2329100</v>
      </c>
      <c r="C81" s="361">
        <f>SUM(C79:C80)</f>
        <v>0</v>
      </c>
      <c r="D81" s="361">
        <f>SUM(D79:D80)</f>
        <v>0</v>
      </c>
      <c r="E81" s="361">
        <f>'Sources and Uses Budget'!S81</f>
        <v>2329100</v>
      </c>
      <c r="F81" s="361">
        <f>SUM(F79:F80)</f>
        <v>0</v>
      </c>
      <c r="G81" s="361">
        <f>SUM(G79:G80)</f>
        <v>0</v>
      </c>
      <c r="H81" s="361">
        <f>'Sources and Uses Budget'!T81</f>
        <v>0</v>
      </c>
      <c r="I81" s="361">
        <f>SUM(I79:I80)</f>
        <v>0</v>
      </c>
      <c r="J81" s="361">
        <f>SUM(J79:J80)</f>
        <v>0</v>
      </c>
      <c r="K81" s="359"/>
    </row>
    <row r="82" spans="1:11" s="360" customFormat="1" ht="12">
      <c r="A82" s="357" t="s">
        <v>764</v>
      </c>
      <c r="B82" s="358"/>
      <c r="C82" s="358"/>
      <c r="D82" s="358"/>
      <c r="E82" s="358"/>
      <c r="F82" s="358"/>
      <c r="G82" s="358"/>
      <c r="H82" s="358"/>
      <c r="I82" s="358"/>
      <c r="J82" s="358"/>
      <c r="K82" s="359"/>
    </row>
    <row r="83" spans="1:11" s="360" customFormat="1" ht="13.75" customHeight="1">
      <c r="A83" s="145" t="s">
        <v>2048</v>
      </c>
      <c r="B83" s="361">
        <f>'Sources and Uses Budget'!C83</f>
        <v>89792</v>
      </c>
      <c r="C83" s="362"/>
      <c r="D83" s="362"/>
      <c r="E83" s="363"/>
      <c r="F83" s="363"/>
      <c r="G83" s="363"/>
      <c r="H83" s="363"/>
      <c r="I83" s="363"/>
      <c r="J83" s="363"/>
      <c r="K83" s="359"/>
    </row>
    <row r="84" spans="1:11" s="360" customFormat="1">
      <c r="A84" s="145" t="s">
        <v>766</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767</v>
      </c>
      <c r="B85" s="361">
        <f>'Sources and Uses Budget'!C85</f>
        <v>4771651</v>
      </c>
      <c r="C85" s="362"/>
      <c r="D85" s="362"/>
      <c r="E85" s="361">
        <f>'Sources and Uses Budget'!S85</f>
        <v>4771651</v>
      </c>
      <c r="F85" s="362"/>
      <c r="G85" s="362"/>
      <c r="H85" s="361">
        <f>'Sources and Uses Budget'!T85</f>
        <v>0</v>
      </c>
      <c r="I85" s="362"/>
      <c r="J85" s="362"/>
      <c r="K85" s="359"/>
    </row>
    <row r="86" spans="1:11" s="360" customFormat="1">
      <c r="A86" s="145" t="s">
        <v>768</v>
      </c>
      <c r="B86" s="361">
        <f>'Sources and Uses Budget'!C86</f>
        <v>1006494</v>
      </c>
      <c r="C86" s="362"/>
      <c r="D86" s="362"/>
      <c r="E86" s="361">
        <f>'Sources and Uses Budget'!S86</f>
        <v>1006494</v>
      </c>
      <c r="F86" s="362"/>
      <c r="G86" s="362"/>
      <c r="H86" s="361">
        <f>'Sources and Uses Budget'!T86</f>
        <v>0</v>
      </c>
      <c r="I86" s="362"/>
      <c r="J86" s="362"/>
      <c r="K86" s="359"/>
    </row>
    <row r="87" spans="1:11" s="360" customFormat="1">
      <c r="A87" s="145" t="s">
        <v>769</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770</v>
      </c>
      <c r="B88" s="361">
        <f>'Sources and Uses Budget'!C88</f>
        <v>119676</v>
      </c>
      <c r="C88" s="362"/>
      <c r="D88" s="362"/>
      <c r="E88" s="363"/>
      <c r="F88" s="363"/>
      <c r="G88" s="363"/>
      <c r="H88" s="363"/>
      <c r="I88" s="363"/>
      <c r="J88" s="363"/>
      <c r="K88" s="359"/>
    </row>
    <row r="89" spans="1:11" s="360" customFormat="1">
      <c r="A89" s="145" t="s">
        <v>771</v>
      </c>
      <c r="B89" s="361">
        <f>'Sources and Uses Budget'!C89</f>
        <v>50000</v>
      </c>
      <c r="C89" s="362"/>
      <c r="D89" s="362"/>
      <c r="E89" s="361">
        <f>'Sources and Uses Budget'!S89</f>
        <v>50000</v>
      </c>
      <c r="F89" s="362"/>
      <c r="G89" s="362"/>
      <c r="H89" s="361">
        <f>'Sources and Uses Budget'!T89</f>
        <v>0</v>
      </c>
      <c r="I89" s="362"/>
      <c r="J89" s="362"/>
      <c r="K89" s="359"/>
    </row>
    <row r="90" spans="1:11" s="360" customFormat="1">
      <c r="A90" s="145" t="s">
        <v>772</v>
      </c>
      <c r="B90" s="361">
        <f>'Sources and Uses Budget'!C90</f>
        <v>10000</v>
      </c>
      <c r="C90" s="362"/>
      <c r="D90" s="362"/>
      <c r="E90" s="361">
        <f>'Sources and Uses Budget'!S90</f>
        <v>10000</v>
      </c>
      <c r="F90" s="362"/>
      <c r="G90" s="362"/>
      <c r="H90" s="361">
        <f>'Sources and Uses Budget'!T90</f>
        <v>0</v>
      </c>
      <c r="I90" s="362"/>
      <c r="J90" s="362"/>
      <c r="K90" s="359"/>
    </row>
    <row r="91" spans="1:11" s="360" customFormat="1">
      <c r="A91" s="155" t="s">
        <v>371</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1209</v>
      </c>
      <c r="B92" s="361">
        <f>'Sources and Uses Budget'!C92</f>
        <v>10000</v>
      </c>
      <c r="C92" s="362"/>
      <c r="D92" s="362"/>
      <c r="E92" s="361">
        <f>'Sources and Uses Budget'!S92</f>
        <v>10000</v>
      </c>
      <c r="F92" s="362"/>
      <c r="G92" s="362"/>
      <c r="H92" s="361">
        <f>'Sources and Uses Budget'!T92</f>
        <v>0</v>
      </c>
      <c r="I92" s="362"/>
      <c r="J92" s="362"/>
      <c r="K92" s="359"/>
    </row>
    <row r="93" spans="1:11" s="360" customFormat="1">
      <c r="A93" s="364" t="str">
        <f>'Sources and Uses Budget'!$A93</f>
        <v xml:space="preserve">Other: Cost Certification </v>
      </c>
      <c r="B93" s="361">
        <f>'Sources and Uses Budget'!C93</f>
        <v>10000</v>
      </c>
      <c r="C93" s="362"/>
      <c r="D93" s="362"/>
      <c r="E93" s="361">
        <f>'Sources and Uses Budget'!S93</f>
        <v>10000</v>
      </c>
      <c r="F93" s="362"/>
      <c r="G93" s="362"/>
      <c r="H93" s="361">
        <f>'Sources and Uses Budget'!T93</f>
        <v>0</v>
      </c>
      <c r="I93" s="362"/>
      <c r="J93" s="362"/>
      <c r="K93" s="359"/>
    </row>
    <row r="94" spans="1:11" s="360" customFormat="1">
      <c r="A94" s="364" t="str">
        <f>'Sources and Uses Budget'!$A94</f>
        <v>Other: Financial Advisors</v>
      </c>
      <c r="B94" s="361">
        <f>'Sources and Uses Budget'!C94</f>
        <v>100000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773</v>
      </c>
      <c r="B96" s="361">
        <f>'Sources and Uses Budget'!C96</f>
        <v>6167613</v>
      </c>
      <c r="C96" s="361">
        <f>SUM(C83:C95)</f>
        <v>0</v>
      </c>
      <c r="D96" s="361">
        <f>SUM(D83:D95)</f>
        <v>0</v>
      </c>
      <c r="E96" s="361">
        <f>'Sources and Uses Budget'!S96</f>
        <v>5858145</v>
      </c>
      <c r="F96" s="367">
        <f>SUM(F84:F87,F89:F95)</f>
        <v>0</v>
      </c>
      <c r="G96" s="367">
        <f>SUM(G84:G87,G89:G95)</f>
        <v>0</v>
      </c>
      <c r="H96" s="361">
        <f>'Sources and Uses Budget'!T96</f>
        <v>0</v>
      </c>
      <c r="I96" s="361">
        <f>SUM(I84:I87,I89:I95)</f>
        <v>0</v>
      </c>
      <c r="J96" s="361">
        <f>SUM(J84:J87,J89:J95)</f>
        <v>0</v>
      </c>
      <c r="K96" s="359"/>
    </row>
    <row r="97" spans="1:11" s="360" customFormat="1">
      <c r="A97" s="365" t="s">
        <v>1027</v>
      </c>
      <c r="B97" s="361">
        <f>'Sources and Uses Budget'!C97</f>
        <v>56404312</v>
      </c>
      <c r="C97" s="361">
        <f>SUM(C63+C70+C77+C81+C96)</f>
        <v>0</v>
      </c>
      <c r="D97" s="361">
        <f>SUM(D63+D70+D77+D81+D96)</f>
        <v>0</v>
      </c>
      <c r="E97" s="361">
        <f>'Sources and Uses Budget'!S97</f>
        <v>55275635</v>
      </c>
      <c r="F97" s="367">
        <f>SUM(+F63+F70+F81+F96)</f>
        <v>0</v>
      </c>
      <c r="G97" s="367">
        <f>SUM(+G63+G70+G81+G96)</f>
        <v>0</v>
      </c>
      <c r="H97" s="361">
        <f>'Sources and Uses Budget'!T97</f>
        <v>0</v>
      </c>
      <c r="I97" s="367">
        <f>SUM(I63+I70+I81+I96)</f>
        <v>0</v>
      </c>
      <c r="J97" s="367">
        <f>SUM(J63+J70+J81+J96)</f>
        <v>0</v>
      </c>
      <c r="K97" s="359"/>
    </row>
    <row r="98" spans="1:11" s="360" customFormat="1" ht="12">
      <c r="A98" s="357" t="s">
        <v>775</v>
      </c>
      <c r="B98" s="358"/>
      <c r="C98" s="358"/>
      <c r="D98" s="358"/>
      <c r="E98" s="358"/>
      <c r="F98" s="358"/>
      <c r="G98" s="358"/>
      <c r="H98" s="358"/>
      <c r="I98" s="358"/>
      <c r="J98" s="358"/>
      <c r="K98" s="359"/>
    </row>
    <row r="99" spans="1:11" s="360" customFormat="1">
      <c r="A99" s="145" t="s">
        <v>776</v>
      </c>
      <c r="B99" s="361">
        <f>'Sources and Uses Budget'!C99</f>
        <v>11055127</v>
      </c>
      <c r="C99" s="362"/>
      <c r="D99" s="362"/>
      <c r="E99" s="361">
        <f>'Sources and Uses Budget'!S99</f>
        <v>11055127</v>
      </c>
      <c r="F99" s="362"/>
      <c r="G99" s="362"/>
      <c r="H99" s="361">
        <f>'Sources and Uses Budget'!T99</f>
        <v>0</v>
      </c>
      <c r="I99" s="362"/>
      <c r="J99" s="362"/>
      <c r="K99" s="359"/>
    </row>
    <row r="100" spans="1:11" s="360" customFormat="1">
      <c r="A100" s="283" t="s">
        <v>1633</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1634</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11055127</v>
      </c>
      <c r="C104" s="361">
        <f>SUM(C99:C103)</f>
        <v>0</v>
      </c>
      <c r="D104" s="361">
        <f>SUM(D99:D103)</f>
        <v>0</v>
      </c>
      <c r="E104" s="361">
        <f>'Sources and Uses Budget'!S104</f>
        <v>11055127</v>
      </c>
      <c r="F104" s="367">
        <f>SUM(F99:F103)</f>
        <v>0</v>
      </c>
      <c r="G104" s="367">
        <f>SUM(G99:G103)</f>
        <v>0</v>
      </c>
      <c r="H104" s="361">
        <f>'Sources and Uses Budget'!T104</f>
        <v>0</v>
      </c>
      <c r="I104" s="367">
        <f>SUM(I99:I103)</f>
        <v>0</v>
      </c>
      <c r="J104" s="367">
        <f>SUM(J99:J103)</f>
        <v>0</v>
      </c>
      <c r="K104" s="359"/>
    </row>
    <row r="105" spans="1:11" s="360" customFormat="1">
      <c r="A105" s="365" t="s">
        <v>1028</v>
      </c>
      <c r="B105" s="361">
        <f>'Sources and Uses Budget'!C105</f>
        <v>67459439</v>
      </c>
      <c r="C105" s="367">
        <f>SUM(C97+C104)</f>
        <v>0</v>
      </c>
      <c r="D105" s="367">
        <f>SUM(D97+D104)</f>
        <v>0</v>
      </c>
      <c r="E105" s="361">
        <f>'Sources and Uses Budget'!S105</f>
        <v>66330762</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66330762</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74"/>
      <c r="E124" s="1317"/>
      <c r="F124" s="1317"/>
      <c r="G124" s="1317"/>
      <c r="H124" s="1317"/>
      <c r="I124" s="1317"/>
      <c r="J124" s="376"/>
      <c r="K124" s="359"/>
    </row>
    <row r="125" spans="1:11" s="360" customFormat="1" ht="12.5">
      <c r="A125" s="385"/>
      <c r="B125" s="384"/>
      <c r="C125" s="385"/>
      <c r="D125" s="1317"/>
      <c r="E125" s="1317"/>
      <c r="F125" s="1317"/>
      <c r="G125" s="1317"/>
      <c r="H125" s="1317"/>
      <c r="I125" s="1317"/>
      <c r="J125" s="376"/>
      <c r="K125" s="359"/>
    </row>
    <row r="126" spans="1:11" s="360" customFormat="1" ht="12.5">
      <c r="A126" s="385"/>
      <c r="B126" s="384"/>
      <c r="C126" s="385"/>
      <c r="D126" s="1317"/>
      <c r="E126" s="1317"/>
      <c r="F126" s="1317"/>
      <c r="G126" s="1317"/>
      <c r="H126" s="1317"/>
      <c r="I126" s="1317"/>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75"/>
      <c r="B139" s="1317"/>
      <c r="C139" s="1317"/>
      <c r="D139" s="356"/>
      <c r="E139" s="385"/>
      <c r="F139" s="385"/>
      <c r="G139" s="385"/>
    </row>
    <row r="140" spans="1:11" ht="12" customHeight="1">
      <c r="A140" s="1290"/>
      <c r="B140" s="1290"/>
      <c r="C140" s="1290"/>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265625" defaultRowHeight="15.75" customHeight="1"/>
  <cols>
    <col min="1" max="8" width="2.7265625" style="1204"/>
    <col min="9" max="9" width="7.7265625" style="1204" customWidth="1"/>
    <col min="10" max="13" width="2.7265625" style="1204"/>
    <col min="14" max="14" width="4.7265625" style="1204" customWidth="1"/>
    <col min="15" max="19" width="2.7265625" style="1204"/>
    <col min="20" max="20" width="3.7265625" style="1204" customWidth="1"/>
    <col min="21" max="37" width="2.7265625" style="1204"/>
    <col min="38" max="38" width="3" style="1204" customWidth="1"/>
    <col min="39" max="45" width="2.7265625" style="1204"/>
    <col min="46" max="46" width="4.7265625" style="1204" customWidth="1"/>
    <col min="47" max="51" width="2.7265625" style="1204"/>
    <col min="52" max="52" width="3.54296875" style="1204" customWidth="1"/>
    <col min="53" max="53" width="2.7265625" style="1204"/>
    <col min="54" max="54" width="4.453125" style="1204" customWidth="1"/>
    <col min="55" max="64" width="2.7265625" style="1204"/>
    <col min="65" max="65" width="10.453125" style="1204" hidden="1" customWidth="1"/>
    <col min="66" max="66" width="5.54296875" style="1205" bestFit="1" customWidth="1"/>
    <col min="67" max="68" width="5.54296875" style="1205" customWidth="1"/>
    <col min="69" max="69" width="8" style="1205" customWidth="1"/>
    <col min="70" max="70" width="6" style="1205" customWidth="1"/>
    <col min="71" max="71" width="6.1796875" style="1205" customWidth="1"/>
    <col min="72" max="76" width="5.54296875" style="1205" customWidth="1"/>
    <col min="77" max="77" width="6.1796875" style="1205" bestFit="1" customWidth="1"/>
    <col min="78" max="78" width="5.54296875" style="1204" bestFit="1" customWidth="1"/>
    <col min="79" max="16384" width="2.7265625" style="1204"/>
  </cols>
  <sheetData>
    <row r="1" spans="1:65" ht="15.75" customHeight="1">
      <c r="A1" s="2315" t="s">
        <v>2387</v>
      </c>
      <c r="B1" s="2316"/>
      <c r="C1" s="2316"/>
      <c r="D1" s="2316"/>
      <c r="E1" s="2316"/>
      <c r="F1" s="2316"/>
      <c r="G1" s="2316"/>
      <c r="H1" s="2316"/>
      <c r="I1" s="2316"/>
      <c r="J1" s="2316"/>
      <c r="K1" s="2316"/>
      <c r="L1" s="2316"/>
      <c r="M1" s="2316"/>
      <c r="N1" s="2316"/>
      <c r="O1" s="2316"/>
      <c r="P1" s="2316"/>
      <c r="Q1" s="2316"/>
      <c r="R1" s="2316"/>
      <c r="S1" s="2316"/>
      <c r="T1" s="2316"/>
      <c r="U1" s="2316"/>
      <c r="V1" s="2316"/>
      <c r="W1" s="2316"/>
      <c r="X1" s="2316"/>
      <c r="Y1" s="2316"/>
      <c r="Z1" s="2316"/>
      <c r="AA1" s="2316"/>
      <c r="AB1" s="2316"/>
      <c r="AC1" s="2316"/>
      <c r="AD1" s="2316"/>
      <c r="AE1" s="2316"/>
      <c r="AF1" s="2316"/>
      <c r="AG1" s="2316"/>
      <c r="AH1" s="2316"/>
      <c r="AI1" s="2316"/>
      <c r="AJ1" s="2316"/>
      <c r="AK1" s="2316"/>
      <c r="AL1" s="2316"/>
      <c r="AM1" s="2316"/>
      <c r="AN1" s="2316"/>
      <c r="AO1" s="2316"/>
      <c r="AP1" s="2316"/>
      <c r="AQ1" s="2316"/>
      <c r="AR1" s="2316"/>
      <c r="AS1" s="2316"/>
      <c r="AT1" s="2316"/>
      <c r="AU1" s="2316"/>
      <c r="AV1" s="2316"/>
      <c r="AW1" s="2316"/>
      <c r="AX1" s="2316"/>
      <c r="AY1" s="2316"/>
      <c r="AZ1" s="2316"/>
      <c r="BA1" s="2316"/>
      <c r="BB1" s="2316"/>
      <c r="BC1" s="2316"/>
      <c r="BD1" s="2316"/>
      <c r="BE1" s="2317"/>
    </row>
    <row r="2" spans="1:65" ht="15.75" customHeight="1">
      <c r="A2" s="2318" t="s">
        <v>2386</v>
      </c>
      <c r="B2" s="2319"/>
      <c r="C2" s="2319"/>
      <c r="D2" s="2319"/>
      <c r="E2" s="2319"/>
      <c r="F2" s="2319"/>
      <c r="G2" s="2319"/>
      <c r="H2" s="2319"/>
      <c r="I2" s="2319"/>
      <c r="J2" s="2319"/>
      <c r="K2" s="2319"/>
      <c r="L2" s="2319"/>
      <c r="M2" s="2319"/>
      <c r="N2" s="2319"/>
      <c r="O2" s="2319"/>
      <c r="P2" s="2319"/>
      <c r="Q2" s="2319"/>
      <c r="R2" s="2319"/>
      <c r="S2" s="2319"/>
      <c r="T2" s="2319"/>
      <c r="U2" s="2319"/>
      <c r="V2" s="2319"/>
      <c r="W2" s="2319"/>
      <c r="X2" s="2319"/>
      <c r="Y2" s="2319"/>
      <c r="Z2" s="2319"/>
      <c r="AA2" s="2319"/>
      <c r="AB2" s="2319"/>
      <c r="AC2" s="2319"/>
      <c r="AD2" s="2319"/>
      <c r="AE2" s="2319"/>
      <c r="AF2" s="2319"/>
      <c r="AG2" s="2319"/>
      <c r="AH2" s="2319"/>
      <c r="AI2" s="2319"/>
      <c r="AJ2" s="2319"/>
      <c r="AK2" s="2319"/>
      <c r="AL2" s="2319"/>
      <c r="AM2" s="2319"/>
      <c r="AN2" s="2319"/>
      <c r="AO2" s="2319"/>
      <c r="AP2" s="2319"/>
      <c r="AQ2" s="2319"/>
      <c r="AR2" s="2319"/>
      <c r="AS2" s="2319"/>
      <c r="AT2" s="2319"/>
      <c r="AU2" s="2319"/>
      <c r="AV2" s="2319"/>
      <c r="AW2" s="2319"/>
      <c r="AX2" s="2319"/>
      <c r="AY2" s="2319"/>
      <c r="AZ2" s="2319"/>
      <c r="BA2" s="2319"/>
      <c r="BB2" s="2319"/>
      <c r="BC2" s="2319"/>
      <c r="BD2" s="2319"/>
      <c r="BE2" s="2320"/>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69" t="s">
        <v>2591</v>
      </c>
      <c r="AY3" s="2170"/>
      <c r="AZ3" s="2170"/>
      <c r="BA3" s="2321"/>
      <c r="BB3" s="2169" t="s">
        <v>2592</v>
      </c>
      <c r="BC3" s="2170"/>
      <c r="BD3" s="2170"/>
      <c r="BE3" s="2321"/>
    </row>
    <row r="4" spans="1:65" ht="15.75" customHeight="1" thickBot="1">
      <c r="A4" s="1207"/>
      <c r="B4" s="1209" t="s">
        <v>655</v>
      </c>
      <c r="C4" s="1209"/>
      <c r="D4" s="1209"/>
      <c r="E4" s="1209"/>
      <c r="F4" s="1209"/>
      <c r="G4" s="1208"/>
      <c r="H4" s="1208"/>
      <c r="I4" s="1208"/>
      <c r="J4" s="1208"/>
      <c r="K4" s="1208"/>
      <c r="L4" s="2312" t="str">
        <f>IF(Application!H18="","",Application!H18)</f>
        <v>Bella Village Apartments</v>
      </c>
      <c r="M4" s="2313"/>
      <c r="N4" s="2313"/>
      <c r="O4" s="2313"/>
      <c r="P4" s="2313"/>
      <c r="Q4" s="2313"/>
      <c r="R4" s="2313"/>
      <c r="S4" s="2313"/>
      <c r="T4" s="2313"/>
      <c r="U4" s="2313"/>
      <c r="V4" s="2313"/>
      <c r="W4" s="2313"/>
      <c r="X4" s="2313"/>
      <c r="Y4" s="2313"/>
      <c r="Z4" s="2313"/>
      <c r="AA4" s="2313"/>
      <c r="AB4" s="2313"/>
      <c r="AC4" s="2314"/>
      <c r="AD4" s="1208"/>
      <c r="AE4" s="1208"/>
      <c r="AF4" s="2301" t="s">
        <v>2385</v>
      </c>
      <c r="AG4" s="2301"/>
      <c r="AH4" s="2301"/>
      <c r="AI4" s="2301"/>
      <c r="AJ4" s="2301"/>
      <c r="AK4" s="2301"/>
      <c r="AL4" s="2301"/>
      <c r="AM4" s="2301"/>
      <c r="AN4" s="2301"/>
      <c r="AO4" s="2301"/>
      <c r="AP4" s="2302"/>
      <c r="AQ4" s="2303"/>
      <c r="AR4" s="2303"/>
      <c r="AS4" s="2303"/>
      <c r="AT4" s="2303"/>
      <c r="AU4" s="2303"/>
      <c r="AV4" s="1208"/>
      <c r="AW4" s="1208"/>
      <c r="AX4" s="2309" t="s">
        <v>2593</v>
      </c>
      <c r="AY4" s="2310"/>
      <c r="AZ4" s="2310"/>
      <c r="BA4" s="2311"/>
      <c r="BB4" s="1210">
        <f t="array" ref="BB4">ROUNDDOWN(SUM(IF((B19:I27&gt;0)*(B19:I27&lt;=30%),J19:O27,0))/J29,2)</f>
        <v>0.17</v>
      </c>
      <c r="BC4" s="1211"/>
      <c r="BD4" s="1211"/>
      <c r="BE4" s="1212"/>
    </row>
    <row r="5" spans="1:65" ht="1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1" t="s">
        <v>2384</v>
      </c>
      <c r="AG5" s="2301"/>
      <c r="AH5" s="2301"/>
      <c r="AI5" s="2301"/>
      <c r="AJ5" s="2301"/>
      <c r="AK5" s="2301"/>
      <c r="AL5" s="2301"/>
      <c r="AM5" s="2301"/>
      <c r="AN5" s="2301"/>
      <c r="AO5" s="2301"/>
      <c r="AP5" s="2302"/>
      <c r="AQ5" s="2303"/>
      <c r="AR5" s="2303"/>
      <c r="AS5" s="2303"/>
      <c r="AT5" s="2303"/>
      <c r="AU5" s="2303"/>
      <c r="AV5" s="1208"/>
      <c r="AW5" s="1208"/>
      <c r="AX5" s="2309" t="s">
        <v>2594</v>
      </c>
      <c r="AY5" s="2310"/>
      <c r="AZ5" s="2310"/>
      <c r="BA5" s="2311"/>
      <c r="BB5" s="1210">
        <f t="array" ref="BB5">ROUNDDOWN(SUM(IF((B19:I27&gt;0%)*(B19:I27&lt;=50%),J19:O27,0))/J29,2)</f>
        <v>0.38</v>
      </c>
      <c r="BC5" s="1211"/>
      <c r="BD5" s="1211"/>
      <c r="BE5" s="1212"/>
    </row>
    <row r="6" spans="1:65" ht="15.75" customHeight="1" thickBot="1">
      <c r="A6" s="1207"/>
      <c r="B6" s="1209" t="s">
        <v>2383</v>
      </c>
      <c r="C6" s="1208"/>
      <c r="D6" s="1208"/>
      <c r="E6" s="1208"/>
      <c r="F6" s="1208"/>
      <c r="G6" s="1208"/>
      <c r="H6" s="1208"/>
      <c r="I6" s="1208"/>
      <c r="J6" s="1208"/>
      <c r="K6" s="1208"/>
      <c r="L6" s="2312" t="str">
        <f>IF(Application!H16="","",Application!H16)</f>
        <v>LIHTC Advisors, LLC</v>
      </c>
      <c r="M6" s="2313"/>
      <c r="N6" s="2313"/>
      <c r="O6" s="2313"/>
      <c r="P6" s="2313"/>
      <c r="Q6" s="2313"/>
      <c r="R6" s="2313"/>
      <c r="S6" s="2313"/>
      <c r="T6" s="2313"/>
      <c r="U6" s="2313"/>
      <c r="V6" s="2313"/>
      <c r="W6" s="2313"/>
      <c r="X6" s="2313"/>
      <c r="Y6" s="2313"/>
      <c r="Z6" s="2313"/>
      <c r="AA6" s="2313"/>
      <c r="AB6" s="2313"/>
      <c r="AC6" s="2314"/>
      <c r="AD6" s="1208"/>
      <c r="AE6" s="1208"/>
      <c r="AF6" s="2304" t="s">
        <v>2382</v>
      </c>
      <c r="AG6" s="2304"/>
      <c r="AH6" s="2304"/>
      <c r="AI6" s="2304"/>
      <c r="AJ6" s="2304"/>
      <c r="AK6" s="2304"/>
      <c r="AL6" s="2304"/>
      <c r="AM6" s="2304"/>
      <c r="AN6" s="2304"/>
      <c r="AO6" s="2304"/>
      <c r="AP6" s="2305"/>
      <c r="AQ6" s="2305"/>
      <c r="AR6" s="2305"/>
      <c r="AS6" s="2305"/>
      <c r="AT6" s="2305"/>
      <c r="AU6" s="2305"/>
      <c r="AV6" s="1208"/>
      <c r="AW6" s="1208"/>
      <c r="AX6" s="2309" t="s">
        <v>2595</v>
      </c>
      <c r="AY6" s="2310"/>
      <c r="AZ6" s="2310"/>
      <c r="BA6" s="2311"/>
      <c r="BB6" s="1210">
        <f t="array" ref="BB6">ROUNDDOWN(SUM(IF((B19:I27&gt;60%)*(B19:I27&lt;=80%),J19:O27,0))/J29,2)</f>
        <v>0.35</v>
      </c>
      <c r="BC6" s="1211"/>
      <c r="BD6" s="1211"/>
      <c r="BE6" s="1212"/>
    </row>
    <row r="7" spans="1:65" ht="1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04" t="s">
        <v>2381</v>
      </c>
      <c r="AG7" s="2304"/>
      <c r="AH7" s="2304"/>
      <c r="AI7" s="2304"/>
      <c r="AJ7" s="2304"/>
      <c r="AK7" s="2304"/>
      <c r="AL7" s="2304"/>
      <c r="AM7" s="2304"/>
      <c r="AN7" s="2304"/>
      <c r="AO7" s="2304"/>
      <c r="AP7" s="2305"/>
      <c r="AQ7" s="2305"/>
      <c r="AR7" s="2305"/>
      <c r="AS7" s="2305"/>
      <c r="AT7" s="2305"/>
      <c r="AU7" s="2305"/>
      <c r="AV7" s="1208"/>
      <c r="AW7" s="1208"/>
      <c r="AX7" s="1208"/>
      <c r="AY7" s="1208"/>
      <c r="AZ7" s="1208"/>
      <c r="BA7" s="1208"/>
      <c r="BB7" s="1208"/>
      <c r="BC7" s="1208"/>
      <c r="BD7" s="1208"/>
      <c r="BE7" s="1213"/>
    </row>
    <row r="8" spans="1:65" ht="15" thickBot="1">
      <c r="A8" s="1207"/>
      <c r="B8" s="1209" t="s">
        <v>2632</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06" t="str">
        <f>Application!T197</f>
        <v>No</v>
      </c>
      <c r="AC8" s="2307"/>
      <c r="AD8" s="2308"/>
      <c r="AE8" s="1208"/>
      <c r="AF8" s="2304" t="s">
        <v>2380</v>
      </c>
      <c r="AG8" s="2304"/>
      <c r="AH8" s="2304"/>
      <c r="AI8" s="2304"/>
      <c r="AJ8" s="2304"/>
      <c r="AK8" s="2304"/>
      <c r="AL8" s="2304"/>
      <c r="AM8" s="2304"/>
      <c r="AN8" s="2304"/>
      <c r="AO8" s="2304"/>
      <c r="AP8" s="2305" t="s">
        <v>2052</v>
      </c>
      <c r="AQ8" s="2305"/>
      <c r="AR8" s="2305"/>
      <c r="AS8" s="2305"/>
      <c r="AT8" s="2305"/>
      <c r="AU8" s="2305"/>
      <c r="AV8" s="1208"/>
      <c r="AW8" s="1208"/>
      <c r="AX8" s="1208"/>
      <c r="AY8" s="1208"/>
      <c r="AZ8" s="1208"/>
      <c r="BA8" s="1208"/>
      <c r="BB8" s="1208"/>
      <c r="BC8" s="1208"/>
      <c r="BD8" s="1208"/>
      <c r="BE8" s="1213"/>
      <c r="BM8" s="1204" t="s">
        <v>1955</v>
      </c>
    </row>
    <row r="9" spans="1:65" ht="14.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1" t="s">
        <v>2379</v>
      </c>
      <c r="AG9" s="2301"/>
      <c r="AH9" s="2301"/>
      <c r="AI9" s="2301"/>
      <c r="AJ9" s="2301"/>
      <c r="AK9" s="2301"/>
      <c r="AL9" s="2301"/>
      <c r="AM9" s="2301"/>
      <c r="AN9" s="2301"/>
      <c r="AO9" s="2301"/>
      <c r="AP9" s="2302"/>
      <c r="AQ9" s="2303"/>
      <c r="AR9" s="2303"/>
      <c r="AS9" s="2303"/>
      <c r="AT9" s="2303"/>
      <c r="AU9" s="2303"/>
      <c r="AV9" s="1208"/>
      <c r="AW9" s="1208"/>
      <c r="AX9" s="1208"/>
      <c r="AY9" s="1208"/>
      <c r="AZ9" s="1208"/>
      <c r="BA9" s="1208"/>
      <c r="BB9" s="1208"/>
      <c r="BC9" s="1208"/>
      <c r="BD9" s="1208"/>
      <c r="BE9" s="1213"/>
      <c r="BM9" s="1204" t="s">
        <v>2378</v>
      </c>
    </row>
    <row r="10" spans="1:65" ht="14.5">
      <c r="A10" s="1207"/>
      <c r="B10" s="1209" t="s">
        <v>2377</v>
      </c>
      <c r="C10" s="1209"/>
      <c r="D10" s="1209"/>
      <c r="E10" s="1209"/>
      <c r="F10" s="1209"/>
      <c r="G10" s="1209"/>
      <c r="H10" s="1209"/>
      <c r="I10" s="1209"/>
      <c r="J10" s="1209"/>
      <c r="K10" s="1209"/>
      <c r="L10" s="1209"/>
      <c r="M10" s="1208"/>
      <c r="N10" s="2300">
        <f>Application!AO635</f>
        <v>17000000</v>
      </c>
      <c r="O10" s="2300"/>
      <c r="P10" s="2300"/>
      <c r="Q10" s="2300"/>
      <c r="R10" s="2300"/>
      <c r="S10" s="2300"/>
      <c r="T10" s="2300"/>
      <c r="U10" s="1208"/>
      <c r="V10" s="1208"/>
      <c r="W10" s="1208"/>
      <c r="X10" s="1214"/>
      <c r="Y10" s="1214"/>
      <c r="Z10" s="1214"/>
      <c r="AA10" s="1214"/>
      <c r="AB10" s="1214"/>
      <c r="AC10" s="1214"/>
      <c r="AD10" s="1214"/>
      <c r="AE10" s="1214"/>
      <c r="AF10" s="2301" t="s">
        <v>2376</v>
      </c>
      <c r="AG10" s="2301"/>
      <c r="AH10" s="2301"/>
      <c r="AI10" s="2301"/>
      <c r="AJ10" s="2301"/>
      <c r="AK10" s="2301"/>
      <c r="AL10" s="2301"/>
      <c r="AM10" s="2301"/>
      <c r="AN10" s="2301"/>
      <c r="AO10" s="2301"/>
      <c r="AP10" s="2302"/>
      <c r="AQ10" s="2303"/>
      <c r="AR10" s="2303"/>
      <c r="AS10" s="2303"/>
      <c r="AT10" s="2303"/>
      <c r="AU10" s="2303"/>
      <c r="AV10" s="1214"/>
      <c r="AW10" s="1214"/>
      <c r="AX10" s="1208"/>
      <c r="AY10" s="1208"/>
      <c r="AZ10" s="1208"/>
      <c r="BA10" s="1208"/>
      <c r="BB10" s="1208"/>
      <c r="BC10" s="1208"/>
      <c r="BD10" s="1208"/>
      <c r="BE10" s="1213"/>
      <c r="BM10" s="1204" t="s">
        <v>2375</v>
      </c>
    </row>
    <row r="11" spans="1:65" ht="14.5">
      <c r="A11" s="1207"/>
      <c r="B11" s="1209" t="s">
        <v>2374</v>
      </c>
      <c r="C11" s="1209"/>
      <c r="D11" s="1209"/>
      <c r="E11" s="1209"/>
      <c r="F11" s="1209"/>
      <c r="G11" s="1209"/>
      <c r="H11" s="1209"/>
      <c r="I11" s="1209"/>
      <c r="J11" s="1209"/>
      <c r="K11" s="1209"/>
      <c r="L11" s="1209"/>
      <c r="M11" s="1208"/>
      <c r="N11" s="2300">
        <f>Application!AA943</f>
        <v>0</v>
      </c>
      <c r="O11" s="2300"/>
      <c r="P11" s="2300"/>
      <c r="Q11" s="2300"/>
      <c r="R11" s="2300"/>
      <c r="S11" s="2300"/>
      <c r="T11" s="2300"/>
      <c r="U11" s="1208"/>
      <c r="V11" s="1208"/>
      <c r="W11" s="1208"/>
      <c r="X11" s="1214"/>
      <c r="Y11" s="1214"/>
      <c r="Z11" s="1214"/>
      <c r="AA11" s="1214"/>
      <c r="AB11" s="1214"/>
      <c r="AC11" s="1214"/>
      <c r="AD11" s="1214"/>
      <c r="AE11" s="1214"/>
      <c r="AF11" s="2301" t="s">
        <v>2373</v>
      </c>
      <c r="AG11" s="2301"/>
      <c r="AH11" s="2301"/>
      <c r="AI11" s="2301"/>
      <c r="AJ11" s="2301"/>
      <c r="AK11" s="2301"/>
      <c r="AL11" s="2301"/>
      <c r="AM11" s="2301"/>
      <c r="AN11" s="2301"/>
      <c r="AO11" s="2301"/>
      <c r="AP11" s="2302"/>
      <c r="AQ11" s="2303"/>
      <c r="AR11" s="2303"/>
      <c r="AS11" s="2303"/>
      <c r="AT11" s="2303"/>
      <c r="AU11" s="2303"/>
      <c r="AV11" s="1214"/>
      <c r="AW11" s="1214"/>
      <c r="AX11" s="1208"/>
      <c r="AY11" s="1208"/>
      <c r="AZ11" s="1208"/>
      <c r="BA11" s="1208"/>
      <c r="BB11" s="1208"/>
      <c r="BC11" s="1208"/>
      <c r="BD11" s="1208"/>
      <c r="BE11" s="1213"/>
      <c r="BM11" s="1204" t="s">
        <v>2052</v>
      </c>
    </row>
    <row r="12" spans="1:65" ht="1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2372</v>
      </c>
    </row>
    <row r="13" spans="1:65" ht="15" thickBot="1">
      <c r="A13" s="1208"/>
      <c r="B13" s="2291" t="s">
        <v>2371</v>
      </c>
      <c r="C13" s="2292"/>
      <c r="D13" s="2292"/>
      <c r="E13" s="2292"/>
      <c r="F13" s="2292"/>
      <c r="G13" s="2292"/>
      <c r="H13" s="2292"/>
      <c r="I13" s="2292"/>
      <c r="J13" s="2292"/>
      <c r="K13" s="2292"/>
      <c r="L13" s="2292"/>
      <c r="M13" s="2292"/>
      <c r="N13" s="2292"/>
      <c r="O13" s="2292"/>
      <c r="P13" s="2293"/>
      <c r="Q13" s="2294" t="s">
        <v>668</v>
      </c>
      <c r="R13" s="2295"/>
      <c r="S13" s="2295"/>
      <c r="T13" s="2296"/>
      <c r="U13" s="1214"/>
      <c r="V13" s="1208"/>
      <c r="W13" s="1208"/>
      <c r="X13" s="1208"/>
      <c r="Y13" s="1208"/>
      <c r="Z13" s="1208"/>
      <c r="AA13" s="2281" t="s">
        <v>2370</v>
      </c>
      <c r="AB13" s="2281"/>
      <c r="AC13" s="2281"/>
      <c r="AD13" s="2281"/>
      <c r="AE13" s="2281"/>
      <c r="AF13" s="2281"/>
      <c r="AG13" s="2281"/>
      <c r="AH13" s="2281"/>
      <c r="AI13" s="2281"/>
      <c r="AJ13" s="2281"/>
      <c r="AK13" s="2281"/>
      <c r="AL13" s="2281"/>
      <c r="AM13" s="2281"/>
      <c r="AN13" s="2281"/>
      <c r="AO13" s="2297">
        <f>Application!W481</f>
        <v>20</v>
      </c>
      <c r="AP13" s="2298"/>
      <c r="AQ13" s="2298"/>
      <c r="AR13" s="2298"/>
      <c r="AS13" s="2298"/>
      <c r="AT13" s="1214"/>
      <c r="AU13" s="1214"/>
      <c r="AV13" s="1214"/>
      <c r="AW13" s="1214"/>
      <c r="AX13" s="1214"/>
      <c r="AY13" s="1214"/>
      <c r="AZ13" s="1214"/>
      <c r="BA13" s="1214"/>
      <c r="BB13" s="1214"/>
      <c r="BC13" s="1214"/>
      <c r="BD13" s="1214"/>
      <c r="BE13" s="1215"/>
      <c r="BM13" s="1204" t="s">
        <v>2369</v>
      </c>
    </row>
    <row r="14" spans="1:65" ht="1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299" t="s">
        <v>2368</v>
      </c>
      <c r="AB14" s="2299"/>
      <c r="AC14" s="2299"/>
      <c r="AD14" s="2299"/>
      <c r="AE14" s="2299"/>
      <c r="AF14" s="2299"/>
      <c r="AG14" s="2299"/>
      <c r="AH14" s="2299"/>
      <c r="AI14" s="2299"/>
      <c r="AJ14" s="2299"/>
      <c r="AK14" s="2299"/>
      <c r="AL14" s="2299"/>
      <c r="AM14" s="2299"/>
      <c r="AN14" s="2299"/>
      <c r="AO14" s="2282"/>
      <c r="AP14" s="2283"/>
      <c r="AQ14" s="2283"/>
      <c r="AR14" s="2283"/>
      <c r="AS14" s="2283"/>
      <c r="AT14" s="1214"/>
      <c r="AU14" s="1214"/>
      <c r="AV14" s="1214"/>
      <c r="AW14" s="1214"/>
      <c r="AX14" s="1214"/>
      <c r="AY14" s="1214"/>
      <c r="AZ14" s="1214"/>
      <c r="BA14" s="1214"/>
      <c r="BB14" s="1214"/>
      <c r="BC14" s="1214"/>
      <c r="BD14" s="1214"/>
      <c r="BE14" s="1215"/>
    </row>
    <row r="15" spans="1:65" ht="15" thickBot="1">
      <c r="A15" s="1208"/>
      <c r="B15" s="2276" t="s">
        <v>2367</v>
      </c>
      <c r="C15" s="2277"/>
      <c r="D15" s="2277"/>
      <c r="E15" s="2277"/>
      <c r="F15" s="2277"/>
      <c r="G15" s="2277"/>
      <c r="H15" s="2277"/>
      <c r="I15" s="2277"/>
      <c r="J15" s="2277"/>
      <c r="K15" s="2277"/>
      <c r="L15" s="2277"/>
      <c r="M15" s="2277"/>
      <c r="N15" s="2277"/>
      <c r="O15" s="2277"/>
      <c r="P15" s="2277"/>
      <c r="Q15" s="2277"/>
      <c r="R15" s="2278"/>
      <c r="S15" s="2279" t="str">
        <f>IF(Application!AB215="","",Application!AB215)</f>
        <v/>
      </c>
      <c r="T15" s="2279"/>
      <c r="U15" s="2279"/>
      <c r="V15" s="2279"/>
      <c r="W15" s="2280"/>
      <c r="X15" s="1214"/>
      <c r="Y15" s="1208"/>
      <c r="Z15" s="1208"/>
      <c r="AA15" s="2281" t="s">
        <v>2366</v>
      </c>
      <c r="AB15" s="2281"/>
      <c r="AC15" s="2281"/>
      <c r="AD15" s="2281"/>
      <c r="AE15" s="2281"/>
      <c r="AF15" s="2281"/>
      <c r="AG15" s="2281"/>
      <c r="AH15" s="2281"/>
      <c r="AI15" s="2281"/>
      <c r="AJ15" s="2281"/>
      <c r="AK15" s="2281"/>
      <c r="AL15" s="2281"/>
      <c r="AM15" s="2281"/>
      <c r="AN15" s="2281"/>
      <c r="AO15" s="2282"/>
      <c r="AP15" s="2283"/>
      <c r="AQ15" s="2283"/>
      <c r="AR15" s="2283"/>
      <c r="AS15" s="2283"/>
      <c r="AT15" s="1214"/>
      <c r="AU15" s="1214"/>
      <c r="AV15" s="1214"/>
      <c r="AW15" s="1214"/>
      <c r="AX15" s="1214"/>
      <c r="AY15" s="1214"/>
      <c r="AZ15" s="1214"/>
      <c r="BA15" s="1214"/>
      <c r="BB15" s="1214"/>
      <c r="BC15" s="1214"/>
      <c r="BD15" s="1214"/>
      <c r="BE15" s="1215"/>
    </row>
    <row r="16" spans="1:65" ht="1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4.5">
      <c r="A17" s="1208"/>
      <c r="B17" s="2104" t="s">
        <v>2365</v>
      </c>
      <c r="C17" s="2105"/>
      <c r="D17" s="2105"/>
      <c r="E17" s="2105"/>
      <c r="F17" s="2105"/>
      <c r="G17" s="2105"/>
      <c r="H17" s="2105"/>
      <c r="I17" s="2105"/>
      <c r="J17" s="2105"/>
      <c r="K17" s="2105"/>
      <c r="L17" s="2105"/>
      <c r="M17" s="2105"/>
      <c r="N17" s="2105"/>
      <c r="O17" s="2105"/>
      <c r="P17" s="2105"/>
      <c r="Q17" s="2105"/>
      <c r="R17" s="2105"/>
      <c r="S17" s="2105"/>
      <c r="T17" s="2105"/>
      <c r="U17" s="2105"/>
      <c r="V17" s="2105"/>
      <c r="W17" s="2105"/>
      <c r="X17" s="2105"/>
      <c r="Y17" s="2105"/>
      <c r="Z17" s="2105"/>
      <c r="AA17" s="2105"/>
      <c r="AB17" s="2105"/>
      <c r="AC17" s="2105"/>
      <c r="AD17" s="2105"/>
      <c r="AE17" s="2105"/>
      <c r="AF17" s="2105"/>
      <c r="AG17" s="2105"/>
      <c r="AH17" s="2105"/>
      <c r="AI17" s="2105"/>
      <c r="AJ17" s="2105"/>
      <c r="AK17" s="2105"/>
      <c r="AL17" s="2105"/>
      <c r="AM17" s="2105"/>
      <c r="AN17" s="2105"/>
      <c r="AO17" s="2105"/>
      <c r="AP17" s="2105"/>
      <c r="AQ17" s="2105"/>
      <c r="AR17" s="2105"/>
      <c r="AS17" s="2105"/>
      <c r="AT17" s="2105"/>
      <c r="AU17" s="2105"/>
      <c r="AV17" s="2105"/>
      <c r="AW17" s="2105"/>
      <c r="AX17" s="2105"/>
      <c r="AY17" s="2106"/>
      <c r="AZ17" s="1208"/>
      <c r="BA17" s="1208"/>
      <c r="BB17" s="1208"/>
      <c r="BC17" s="1208"/>
      <c r="BD17" s="1208"/>
      <c r="BE17" s="1215"/>
      <c r="BF17" s="1206"/>
    </row>
    <row r="18" spans="1:58" ht="15.75" customHeight="1">
      <c r="A18" s="1208"/>
      <c r="B18" s="2284" t="s">
        <v>2364</v>
      </c>
      <c r="C18" s="2285"/>
      <c r="D18" s="2285"/>
      <c r="E18" s="2285"/>
      <c r="F18" s="2285"/>
      <c r="G18" s="2285"/>
      <c r="H18" s="2285"/>
      <c r="I18" s="2286"/>
      <c r="J18" s="2287" t="s">
        <v>1573</v>
      </c>
      <c r="K18" s="2288"/>
      <c r="L18" s="2288"/>
      <c r="M18" s="2288"/>
      <c r="N18" s="2288"/>
      <c r="O18" s="2289"/>
      <c r="P18" s="2287" t="s">
        <v>323</v>
      </c>
      <c r="Q18" s="2288"/>
      <c r="R18" s="2288"/>
      <c r="S18" s="2288"/>
      <c r="T18" s="2288"/>
      <c r="U18" s="2289"/>
      <c r="V18" s="2287" t="s">
        <v>324</v>
      </c>
      <c r="W18" s="2288"/>
      <c r="X18" s="2288"/>
      <c r="Y18" s="2288"/>
      <c r="Z18" s="2288"/>
      <c r="AA18" s="2289"/>
      <c r="AB18" s="2287" t="s">
        <v>163</v>
      </c>
      <c r="AC18" s="2288"/>
      <c r="AD18" s="2288"/>
      <c r="AE18" s="2288"/>
      <c r="AF18" s="2288"/>
      <c r="AG18" s="2289"/>
      <c r="AH18" s="2287" t="s">
        <v>164</v>
      </c>
      <c r="AI18" s="2288"/>
      <c r="AJ18" s="2288"/>
      <c r="AK18" s="2288"/>
      <c r="AL18" s="2288"/>
      <c r="AM18" s="2289"/>
      <c r="AN18" s="2287" t="s">
        <v>165</v>
      </c>
      <c r="AO18" s="2288"/>
      <c r="AP18" s="2288"/>
      <c r="AQ18" s="2288"/>
      <c r="AR18" s="2288"/>
      <c r="AS18" s="2289"/>
      <c r="AT18" s="2287" t="s">
        <v>2363</v>
      </c>
      <c r="AU18" s="2288"/>
      <c r="AV18" s="2288"/>
      <c r="AW18" s="2288"/>
      <c r="AX18" s="2288"/>
      <c r="AY18" s="2290"/>
      <c r="AZ18" s="1208"/>
      <c r="BA18" s="1208"/>
      <c r="BB18" s="1208"/>
      <c r="BC18" s="1208"/>
      <c r="BD18" s="1208"/>
      <c r="BE18" s="1215"/>
    </row>
    <row r="19" spans="1:58" ht="14.5">
      <c r="A19" s="1208"/>
      <c r="B19" s="2270">
        <v>0.3</v>
      </c>
      <c r="C19" s="2271"/>
      <c r="D19" s="2271"/>
      <c r="E19" s="2271"/>
      <c r="F19" s="2271"/>
      <c r="G19" s="2271"/>
      <c r="H19" s="2271"/>
      <c r="I19" s="2272"/>
      <c r="J19" s="2273">
        <f t="shared" ref="J19:J24" si="0">SUM(P19:AS19)</f>
        <v>23</v>
      </c>
      <c r="K19" s="2274"/>
      <c r="L19" s="2274"/>
      <c r="M19" s="2274"/>
      <c r="N19" s="2274"/>
      <c r="O19" s="2275"/>
      <c r="P19" s="2273" cm="1">
        <f t="array" ref="P19">SUMPRODUCT((Application!$B$726:$B$760 = 'CalHFA Addendum'!P$18)*(Application!$AC$726:$AC$760 = 'CalHFA Addendum'!$B19),Application!$G$726:$G$760)</f>
        <v>0</v>
      </c>
      <c r="Q19" s="2274"/>
      <c r="R19" s="2274"/>
      <c r="S19" s="2274"/>
      <c r="T19" s="2274"/>
      <c r="U19" s="2275"/>
      <c r="V19" s="2273" cm="1">
        <f t="array" ref="V19">SUMPRODUCT((Application!$B$726:$B$760 = 'CalHFA Addendum'!V$18)*(Application!$AC$726:$AC$760 = 'CalHFA Addendum'!$B19),Application!$G$726:$G$760)</f>
        <v>5</v>
      </c>
      <c r="W19" s="2274"/>
      <c r="X19" s="2274"/>
      <c r="Y19" s="2274"/>
      <c r="Z19" s="2274"/>
      <c r="AA19" s="2275"/>
      <c r="AB19" s="2273" cm="1">
        <f t="array" ref="AB19">SUMPRODUCT((Application!$B$726:$B$760 = 'CalHFA Addendum'!AB$18)*(Application!$AC$726:$AC$760 = 'CalHFA Addendum'!$B19),Application!$G$726:$G$760)</f>
        <v>7</v>
      </c>
      <c r="AC19" s="2274"/>
      <c r="AD19" s="2274"/>
      <c r="AE19" s="2274"/>
      <c r="AF19" s="2274"/>
      <c r="AG19" s="2275"/>
      <c r="AH19" s="2273" cm="1">
        <f t="array" ref="AH19">SUMPRODUCT((Application!$B$726:$B$760 = 'CalHFA Addendum'!AH$18)*(Application!$AC$726:$AC$760 = 'CalHFA Addendum'!$B19),Application!$G$726:$G$760)</f>
        <v>11</v>
      </c>
      <c r="AI19" s="2274"/>
      <c r="AJ19" s="2274"/>
      <c r="AK19" s="2274"/>
      <c r="AL19" s="2274"/>
      <c r="AM19" s="2275"/>
      <c r="AN19" s="2273" cm="1">
        <f t="array" ref="AN19">SUMPRODUCT((Application!$B$726:$B$760 = 'CalHFA Addendum'!AN$18)*(Application!$AC$726:$AC$760 = 'CalHFA Addendum'!$B19),Application!$G$726:$G$760)</f>
        <v>0</v>
      </c>
      <c r="AO19" s="2274"/>
      <c r="AP19" s="2274"/>
      <c r="AQ19" s="2274"/>
      <c r="AR19" s="2274"/>
      <c r="AS19" s="2275"/>
      <c r="AT19" s="2258">
        <f>J19/$J$29</f>
        <v>0.17557251908396945</v>
      </c>
      <c r="AU19" s="2259"/>
      <c r="AV19" s="2259"/>
      <c r="AW19" s="2259"/>
      <c r="AX19" s="2259"/>
      <c r="AY19" s="2260"/>
      <c r="AZ19" s="1216"/>
      <c r="BA19" s="1208"/>
      <c r="BB19" s="1208"/>
      <c r="BC19" s="1208"/>
      <c r="BD19" s="1208"/>
      <c r="BE19" s="1215"/>
    </row>
    <row r="20" spans="1:58" ht="15" customHeight="1">
      <c r="A20" s="1208"/>
      <c r="B20" s="2270">
        <v>0.4</v>
      </c>
      <c r="C20" s="2271"/>
      <c r="D20" s="2271"/>
      <c r="E20" s="2271"/>
      <c r="F20" s="2271"/>
      <c r="G20" s="2271"/>
      <c r="H20" s="2271"/>
      <c r="I20" s="2272"/>
      <c r="J20" s="2273">
        <f t="shared" si="0"/>
        <v>0</v>
      </c>
      <c r="K20" s="2274"/>
      <c r="L20" s="2274"/>
      <c r="M20" s="2274"/>
      <c r="N20" s="2274"/>
      <c r="O20" s="2275"/>
      <c r="P20" s="2273" cm="1">
        <f t="array" ref="P20">SUMPRODUCT((Application!$B$726:$B$760 = 'CalHFA Addendum'!P$18)*(Application!$AC$726:$AC$760 = 'CalHFA Addendum'!$B20),Application!$G$726:$G$760)</f>
        <v>0</v>
      </c>
      <c r="Q20" s="2274"/>
      <c r="R20" s="2274"/>
      <c r="S20" s="2274"/>
      <c r="T20" s="2274"/>
      <c r="U20" s="2275"/>
      <c r="V20" s="2273" cm="1">
        <f t="array" ref="V20">SUMPRODUCT((Application!$B$726:$B$760 = 'CalHFA Addendum'!V$18)*(Application!$AC$726:$AC$760 = 'CalHFA Addendum'!$B20),Application!$G$726:$G$760)</f>
        <v>0</v>
      </c>
      <c r="W20" s="2274"/>
      <c r="X20" s="2274"/>
      <c r="Y20" s="2274"/>
      <c r="Z20" s="2274"/>
      <c r="AA20" s="2275"/>
      <c r="AB20" s="2273" cm="1">
        <f t="array" ref="AB20">SUMPRODUCT((Application!$B$726:$B$760 = 'CalHFA Addendum'!AB$18)*(Application!$AC$726:$AC$760 = 'CalHFA Addendum'!$B20),Application!$G$726:$G$760)</f>
        <v>0</v>
      </c>
      <c r="AC20" s="2274"/>
      <c r="AD20" s="2274"/>
      <c r="AE20" s="2274"/>
      <c r="AF20" s="2274"/>
      <c r="AG20" s="2275"/>
      <c r="AH20" s="2273" cm="1">
        <f t="array" ref="AH20">SUMPRODUCT((Application!$B$726:$B$760 = 'CalHFA Addendum'!AH$18)*(Application!$AC$726:$AC$760 = 'CalHFA Addendum'!$B20),Application!$G$726:$G$760)</f>
        <v>0</v>
      </c>
      <c r="AI20" s="2274"/>
      <c r="AJ20" s="2274"/>
      <c r="AK20" s="2274"/>
      <c r="AL20" s="2274"/>
      <c r="AM20" s="2275"/>
      <c r="AN20" s="2273" cm="1">
        <f t="array" ref="AN20">SUMPRODUCT((Application!$B$726:$B$760 = 'CalHFA Addendum'!AN$18)*(Application!$AC$726:$AC$760 = 'CalHFA Addendum'!$B20),Application!$G$726:$G$760)</f>
        <v>0</v>
      </c>
      <c r="AO20" s="2274"/>
      <c r="AP20" s="2274"/>
      <c r="AQ20" s="2274"/>
      <c r="AR20" s="2274"/>
      <c r="AS20" s="2275"/>
      <c r="AT20" s="2258">
        <f t="shared" ref="AT20:AT29" si="1">J20/$J$29</f>
        <v>0</v>
      </c>
      <c r="AU20" s="2259"/>
      <c r="AV20" s="2259"/>
      <c r="AW20" s="2259"/>
      <c r="AX20" s="2259"/>
      <c r="AY20" s="2260"/>
      <c r="AZ20" s="1208"/>
      <c r="BA20" s="1208"/>
      <c r="BB20" s="1208"/>
      <c r="BC20" s="1208"/>
      <c r="BD20" s="1208"/>
      <c r="BE20" s="1215"/>
    </row>
    <row r="21" spans="1:58" ht="14.5">
      <c r="A21" s="1208"/>
      <c r="B21" s="2270">
        <v>0.5</v>
      </c>
      <c r="C21" s="2271"/>
      <c r="D21" s="2271"/>
      <c r="E21" s="2271"/>
      <c r="F21" s="2271"/>
      <c r="G21" s="2271"/>
      <c r="H21" s="2271"/>
      <c r="I21" s="2272"/>
      <c r="J21" s="2273">
        <f t="shared" si="0"/>
        <v>27</v>
      </c>
      <c r="K21" s="2274"/>
      <c r="L21" s="2274"/>
      <c r="M21" s="2274"/>
      <c r="N21" s="2274"/>
      <c r="O21" s="2275"/>
      <c r="P21" s="2273" cm="1">
        <f t="array" ref="P21">SUMPRODUCT((Application!$B$726:$B$760 = 'CalHFA Addendum'!P$18)*(Application!$AC$726:$AC$760 = 'CalHFA Addendum'!$B21),Application!$G$726:$G$760)</f>
        <v>0</v>
      </c>
      <c r="Q21" s="2274"/>
      <c r="R21" s="2274"/>
      <c r="S21" s="2274"/>
      <c r="T21" s="2274"/>
      <c r="U21" s="2275"/>
      <c r="V21" s="2273" cm="1">
        <f t="array" ref="V21">SUMPRODUCT((Application!$B$726:$B$760 = 'CalHFA Addendum'!V$18)*(Application!$AC$726:$AC$760 = 'CalHFA Addendum'!$B21),Application!$G$726:$G$760)</f>
        <v>8</v>
      </c>
      <c r="W21" s="2274"/>
      <c r="X21" s="2274"/>
      <c r="Y21" s="2274"/>
      <c r="Z21" s="2274"/>
      <c r="AA21" s="2275"/>
      <c r="AB21" s="2273" cm="1">
        <f t="array" ref="AB21">SUMPRODUCT((Application!$B$726:$B$760 = 'CalHFA Addendum'!AB$18)*(Application!$AC$726:$AC$760 = 'CalHFA Addendum'!$B21),Application!$G$726:$G$760)</f>
        <v>9</v>
      </c>
      <c r="AC21" s="2274"/>
      <c r="AD21" s="2274"/>
      <c r="AE21" s="2274"/>
      <c r="AF21" s="2274"/>
      <c r="AG21" s="2275"/>
      <c r="AH21" s="2273" cm="1">
        <f t="array" ref="AH21">SUMPRODUCT((Application!$B$726:$B$760 = 'CalHFA Addendum'!AH$18)*(Application!$AC$726:$AC$760 = 'CalHFA Addendum'!$B21),Application!$G$726:$G$760)</f>
        <v>10</v>
      </c>
      <c r="AI21" s="2274"/>
      <c r="AJ21" s="2274"/>
      <c r="AK21" s="2274"/>
      <c r="AL21" s="2274"/>
      <c r="AM21" s="2275"/>
      <c r="AN21" s="2273" cm="1">
        <f t="array" ref="AN21">SUMPRODUCT((Application!$B$726:$B$760 = 'CalHFA Addendum'!AN$18)*(Application!$AC$726:$AC$760 = 'CalHFA Addendum'!$B21),Application!$G$726:$G$760)</f>
        <v>0</v>
      </c>
      <c r="AO21" s="2274"/>
      <c r="AP21" s="2274"/>
      <c r="AQ21" s="2274"/>
      <c r="AR21" s="2274"/>
      <c r="AS21" s="2275"/>
      <c r="AT21" s="2258">
        <f t="shared" si="1"/>
        <v>0.20610687022900764</v>
      </c>
      <c r="AU21" s="2259"/>
      <c r="AV21" s="2259"/>
      <c r="AW21" s="2259"/>
      <c r="AX21" s="2259"/>
      <c r="AY21" s="2260"/>
      <c r="AZ21" s="1208"/>
      <c r="BA21" s="1208"/>
      <c r="BB21" s="1208"/>
      <c r="BC21" s="1208"/>
      <c r="BD21" s="1208"/>
      <c r="BE21" s="1215"/>
    </row>
    <row r="22" spans="1:58" ht="14.5">
      <c r="A22" s="1208"/>
      <c r="B22" s="2270">
        <v>0.6</v>
      </c>
      <c r="C22" s="2271"/>
      <c r="D22" s="2271"/>
      <c r="E22" s="2271"/>
      <c r="F22" s="2271"/>
      <c r="G22" s="2271"/>
      <c r="H22" s="2271"/>
      <c r="I22" s="2272"/>
      <c r="J22" s="2273">
        <f t="shared" si="0"/>
        <v>34</v>
      </c>
      <c r="K22" s="2274"/>
      <c r="L22" s="2274"/>
      <c r="M22" s="2274"/>
      <c r="N22" s="2274"/>
      <c r="O22" s="2275"/>
      <c r="P22" s="2273" cm="1">
        <f t="array" ref="P22">SUMPRODUCT((Application!$B$726:$B$760 = 'CalHFA Addendum'!P$18)*(Application!$AC$726:$AC$760 = 'CalHFA Addendum'!$B22),Application!$G$726:$G$760)</f>
        <v>0</v>
      </c>
      <c r="Q22" s="2274"/>
      <c r="R22" s="2274"/>
      <c r="S22" s="2274"/>
      <c r="T22" s="2274"/>
      <c r="U22" s="2275"/>
      <c r="V22" s="2273" cm="1">
        <f t="array" ref="V22">SUMPRODUCT((Application!$B$726:$B$760 = 'CalHFA Addendum'!V$18)*(Application!$AC$726:$AC$760 = 'CalHFA Addendum'!$B22),Application!$G$726:$G$760)</f>
        <v>12</v>
      </c>
      <c r="W22" s="2274"/>
      <c r="X22" s="2274"/>
      <c r="Y22" s="2274"/>
      <c r="Z22" s="2274"/>
      <c r="AA22" s="2275"/>
      <c r="AB22" s="2273" cm="1">
        <f t="array" ref="AB22">SUMPRODUCT((Application!$B$726:$B$760 = 'CalHFA Addendum'!AB$18)*(Application!$AC$726:$AC$760 = 'CalHFA Addendum'!$B22),Application!$G$726:$G$760)</f>
        <v>13</v>
      </c>
      <c r="AC22" s="2274"/>
      <c r="AD22" s="2274"/>
      <c r="AE22" s="2274"/>
      <c r="AF22" s="2274"/>
      <c r="AG22" s="2275"/>
      <c r="AH22" s="2273" cm="1">
        <f t="array" ref="AH22">SUMPRODUCT((Application!$B$726:$B$760 = 'CalHFA Addendum'!AH$18)*(Application!$AC$726:$AC$760 = 'CalHFA Addendum'!$B22),Application!$G$726:$G$760)</f>
        <v>9</v>
      </c>
      <c r="AI22" s="2274"/>
      <c r="AJ22" s="2274"/>
      <c r="AK22" s="2274"/>
      <c r="AL22" s="2274"/>
      <c r="AM22" s="2275"/>
      <c r="AN22" s="2273" cm="1">
        <f t="array" ref="AN22">SUMPRODUCT((Application!$B$726:$B$760 = 'CalHFA Addendum'!AN$18)*(Application!$AC$726:$AC$760 = 'CalHFA Addendum'!$B22),Application!$G$726:$G$760)</f>
        <v>0</v>
      </c>
      <c r="AO22" s="2274"/>
      <c r="AP22" s="2274"/>
      <c r="AQ22" s="2274"/>
      <c r="AR22" s="2274"/>
      <c r="AS22" s="2275"/>
      <c r="AT22" s="2258">
        <f t="shared" si="1"/>
        <v>0.25954198473282442</v>
      </c>
      <c r="AU22" s="2259"/>
      <c r="AV22" s="2259"/>
      <c r="AW22" s="2259"/>
      <c r="AX22" s="2259"/>
      <c r="AY22" s="2260"/>
      <c r="AZ22" s="1208"/>
      <c r="BA22" s="1208"/>
      <c r="BB22" s="1208"/>
      <c r="BC22" s="1208"/>
      <c r="BD22" s="1208"/>
      <c r="BE22" s="1215"/>
    </row>
    <row r="23" spans="1:58" ht="14.5">
      <c r="A23" s="1208"/>
      <c r="B23" s="2270">
        <v>0.7</v>
      </c>
      <c r="C23" s="2271"/>
      <c r="D23" s="2271"/>
      <c r="E23" s="2271"/>
      <c r="F23" s="2271"/>
      <c r="G23" s="2271"/>
      <c r="H23" s="2271"/>
      <c r="I23" s="2272"/>
      <c r="J23" s="2273">
        <f t="shared" si="0"/>
        <v>0</v>
      </c>
      <c r="K23" s="2274"/>
      <c r="L23" s="2274"/>
      <c r="M23" s="2274"/>
      <c r="N23" s="2274"/>
      <c r="O23" s="2275"/>
      <c r="P23" s="2273" cm="1">
        <f t="array" ref="P23">SUMPRODUCT((Application!$B$726:$B$760 = 'CalHFA Addendum'!P$18)*(Application!$AC$726:$AC$760 = 'CalHFA Addendum'!$B23),Application!$G$726:$G$760)</f>
        <v>0</v>
      </c>
      <c r="Q23" s="2274"/>
      <c r="R23" s="2274"/>
      <c r="S23" s="2274"/>
      <c r="T23" s="2274"/>
      <c r="U23" s="2275"/>
      <c r="V23" s="2273" cm="1">
        <f t="array" ref="V23">SUMPRODUCT((Application!$B$726:$B$760 = 'CalHFA Addendum'!V$18)*(Application!$AC$726:$AC$760 = 'CalHFA Addendum'!$B23),Application!$G$726:$G$760)</f>
        <v>0</v>
      </c>
      <c r="W23" s="2274"/>
      <c r="X23" s="2274"/>
      <c r="Y23" s="2274"/>
      <c r="Z23" s="2274"/>
      <c r="AA23" s="2275"/>
      <c r="AB23" s="2273" cm="1">
        <f t="array" ref="AB23">SUMPRODUCT((Application!$B$726:$B$760 = 'CalHFA Addendum'!AB$18)*(Application!$AC$726:$AC$760 = 'CalHFA Addendum'!$B23),Application!$G$726:$G$760)</f>
        <v>0</v>
      </c>
      <c r="AC23" s="2274"/>
      <c r="AD23" s="2274"/>
      <c r="AE23" s="2274"/>
      <c r="AF23" s="2274"/>
      <c r="AG23" s="2275"/>
      <c r="AH23" s="2273" cm="1">
        <f t="array" ref="AH23">SUMPRODUCT((Application!$B$726:$B$760 = 'CalHFA Addendum'!AH$18)*(Application!$AC$726:$AC$760 = 'CalHFA Addendum'!$B23),Application!$G$726:$G$760)</f>
        <v>0</v>
      </c>
      <c r="AI23" s="2274"/>
      <c r="AJ23" s="2274"/>
      <c r="AK23" s="2274"/>
      <c r="AL23" s="2274"/>
      <c r="AM23" s="2275"/>
      <c r="AN23" s="2273" cm="1">
        <f t="array" ref="AN23">SUMPRODUCT((Application!$B$726:$B$760 = 'CalHFA Addendum'!AN$18)*(Application!$AC$726:$AC$760 = 'CalHFA Addendum'!$B23),Application!$G$726:$G$760)</f>
        <v>0</v>
      </c>
      <c r="AO23" s="2274"/>
      <c r="AP23" s="2274"/>
      <c r="AQ23" s="2274"/>
      <c r="AR23" s="2274"/>
      <c r="AS23" s="2275"/>
      <c r="AT23" s="2258">
        <f t="shared" si="1"/>
        <v>0</v>
      </c>
      <c r="AU23" s="2259"/>
      <c r="AV23" s="2259"/>
      <c r="AW23" s="2259"/>
      <c r="AX23" s="2259"/>
      <c r="AY23" s="2260"/>
      <c r="AZ23" s="1208"/>
      <c r="BA23" s="1208"/>
      <c r="BB23" s="1208"/>
      <c r="BC23" s="1208"/>
      <c r="BD23" s="1208"/>
      <c r="BE23" s="1215"/>
    </row>
    <row r="24" spans="1:58" ht="14.5">
      <c r="A24" s="1208"/>
      <c r="B24" s="2270">
        <v>0.8</v>
      </c>
      <c r="C24" s="2271"/>
      <c r="D24" s="2271"/>
      <c r="E24" s="2271"/>
      <c r="F24" s="2271"/>
      <c r="G24" s="2271"/>
      <c r="H24" s="2271"/>
      <c r="I24" s="2272"/>
      <c r="J24" s="2273">
        <f t="shared" si="0"/>
        <v>46</v>
      </c>
      <c r="K24" s="2274"/>
      <c r="L24" s="2274"/>
      <c r="M24" s="2274"/>
      <c r="N24" s="2274"/>
      <c r="O24" s="2275"/>
      <c r="P24" s="2273" cm="1">
        <f t="array" ref="P24">SUMPRODUCT((Application!$B$726:$B$760 = 'CalHFA Addendum'!P$18)*(Application!$AC$726:$AC$760 = 'CalHFA Addendum'!$B24),Application!$G$726:$G$760)</f>
        <v>0</v>
      </c>
      <c r="Q24" s="2274"/>
      <c r="R24" s="2274"/>
      <c r="S24" s="2274"/>
      <c r="T24" s="2274"/>
      <c r="U24" s="2275"/>
      <c r="V24" s="2273" cm="1">
        <f t="array" ref="V24">SUMPRODUCT((Application!$B$726:$B$760 = 'CalHFA Addendum'!V$18)*(Application!$AC$726:$AC$760 = 'CalHFA Addendum'!$B24),Application!$G$726:$G$760)</f>
        <v>21</v>
      </c>
      <c r="W24" s="2274"/>
      <c r="X24" s="2274"/>
      <c r="Y24" s="2274"/>
      <c r="Z24" s="2274"/>
      <c r="AA24" s="2275"/>
      <c r="AB24" s="2273" cm="1">
        <f t="array" ref="AB24">SUMPRODUCT((Application!$B$726:$B$760 = 'CalHFA Addendum'!AB$18)*(Application!$AC$726:$AC$760 = 'CalHFA Addendum'!$B24),Application!$G$726:$G$760)</f>
        <v>13</v>
      </c>
      <c r="AC24" s="2274"/>
      <c r="AD24" s="2274"/>
      <c r="AE24" s="2274"/>
      <c r="AF24" s="2274"/>
      <c r="AG24" s="2275"/>
      <c r="AH24" s="2273" cm="1">
        <f t="array" ref="AH24">SUMPRODUCT((Application!$B$726:$B$760 = 'CalHFA Addendum'!AH$18)*(Application!$AC$726:$AC$760 = 'CalHFA Addendum'!$B24),Application!$G$726:$G$760)</f>
        <v>12</v>
      </c>
      <c r="AI24" s="2274"/>
      <c r="AJ24" s="2274"/>
      <c r="AK24" s="2274"/>
      <c r="AL24" s="2274"/>
      <c r="AM24" s="2275"/>
      <c r="AN24" s="2273" cm="1">
        <f t="array" ref="AN24">SUMPRODUCT((Application!$B$726:$B$760 = 'CalHFA Addendum'!AN$18)*(Application!$AC$726:$AC$760 = 'CalHFA Addendum'!$B24),Application!$G$726:$G$760)</f>
        <v>0</v>
      </c>
      <c r="AO24" s="2274"/>
      <c r="AP24" s="2274"/>
      <c r="AQ24" s="2274"/>
      <c r="AR24" s="2274"/>
      <c r="AS24" s="2275"/>
      <c r="AT24" s="2258">
        <f t="shared" si="1"/>
        <v>0.35114503816793891</v>
      </c>
      <c r="AU24" s="2259"/>
      <c r="AV24" s="2259"/>
      <c r="AW24" s="2259"/>
      <c r="AX24" s="2259"/>
      <c r="AY24" s="2260"/>
      <c r="AZ24" s="1208"/>
      <c r="BA24" s="1208"/>
      <c r="BB24" s="1208"/>
      <c r="BC24" s="1208"/>
      <c r="BD24" s="1208"/>
      <c r="BE24" s="1215"/>
    </row>
    <row r="25" spans="1:58" ht="14.5">
      <c r="A25" s="1208"/>
      <c r="B25" s="2270">
        <v>0.9</v>
      </c>
      <c r="C25" s="2271"/>
      <c r="D25" s="2271"/>
      <c r="E25" s="2271"/>
      <c r="F25" s="2271"/>
      <c r="G25" s="2271"/>
      <c r="H25" s="2271"/>
      <c r="I25" s="2272"/>
      <c r="J25" s="2255"/>
      <c r="K25" s="2256"/>
      <c r="L25" s="2256"/>
      <c r="M25" s="2256"/>
      <c r="N25" s="2256"/>
      <c r="O25" s="2257"/>
      <c r="P25" s="2255"/>
      <c r="Q25" s="2256"/>
      <c r="R25" s="2256"/>
      <c r="S25" s="2256"/>
      <c r="T25" s="2256"/>
      <c r="U25" s="2257"/>
      <c r="V25" s="2255"/>
      <c r="W25" s="2256"/>
      <c r="X25" s="2256"/>
      <c r="Y25" s="2256"/>
      <c r="Z25" s="2256"/>
      <c r="AA25" s="2257"/>
      <c r="AB25" s="2255"/>
      <c r="AC25" s="2256"/>
      <c r="AD25" s="2256"/>
      <c r="AE25" s="2256"/>
      <c r="AF25" s="2256"/>
      <c r="AG25" s="2257"/>
      <c r="AH25" s="2255"/>
      <c r="AI25" s="2256"/>
      <c r="AJ25" s="2256"/>
      <c r="AK25" s="2256"/>
      <c r="AL25" s="2256"/>
      <c r="AM25" s="2257"/>
      <c r="AN25" s="2255"/>
      <c r="AO25" s="2256"/>
      <c r="AP25" s="2256"/>
      <c r="AQ25" s="2256"/>
      <c r="AR25" s="2256"/>
      <c r="AS25" s="2257"/>
      <c r="AT25" s="2258">
        <f t="shared" si="1"/>
        <v>0</v>
      </c>
      <c r="AU25" s="2259"/>
      <c r="AV25" s="2259"/>
      <c r="AW25" s="2259"/>
      <c r="AX25" s="2259"/>
      <c r="AY25" s="2260"/>
      <c r="AZ25" s="1208"/>
      <c r="BA25" s="1208"/>
      <c r="BB25" s="1208"/>
      <c r="BC25" s="1208"/>
      <c r="BD25" s="1208"/>
      <c r="BE25" s="1215"/>
    </row>
    <row r="26" spans="1:58" ht="14.5">
      <c r="A26" s="1208"/>
      <c r="B26" s="2270">
        <v>1</v>
      </c>
      <c r="C26" s="2271"/>
      <c r="D26" s="2271"/>
      <c r="E26" s="2271"/>
      <c r="F26" s="2271"/>
      <c r="G26" s="2271"/>
      <c r="H26" s="2271"/>
      <c r="I26" s="2272"/>
      <c r="J26" s="2255"/>
      <c r="K26" s="2256"/>
      <c r="L26" s="2256"/>
      <c r="M26" s="2256"/>
      <c r="N26" s="2256"/>
      <c r="O26" s="2257"/>
      <c r="P26" s="2255"/>
      <c r="Q26" s="2256"/>
      <c r="R26" s="2256"/>
      <c r="S26" s="2256"/>
      <c r="T26" s="2256"/>
      <c r="U26" s="2257"/>
      <c r="V26" s="2255"/>
      <c r="W26" s="2256"/>
      <c r="X26" s="2256"/>
      <c r="Y26" s="2256"/>
      <c r="Z26" s="2256"/>
      <c r="AA26" s="2257"/>
      <c r="AB26" s="2255"/>
      <c r="AC26" s="2256"/>
      <c r="AD26" s="2256"/>
      <c r="AE26" s="2256"/>
      <c r="AF26" s="2256"/>
      <c r="AG26" s="2257"/>
      <c r="AH26" s="2255"/>
      <c r="AI26" s="2256"/>
      <c r="AJ26" s="2256"/>
      <c r="AK26" s="2256"/>
      <c r="AL26" s="2256"/>
      <c r="AM26" s="2257"/>
      <c r="AN26" s="2255"/>
      <c r="AO26" s="2256"/>
      <c r="AP26" s="2256"/>
      <c r="AQ26" s="2256"/>
      <c r="AR26" s="2256"/>
      <c r="AS26" s="2257"/>
      <c r="AT26" s="2258">
        <f t="shared" si="1"/>
        <v>0</v>
      </c>
      <c r="AU26" s="2259"/>
      <c r="AV26" s="2259"/>
      <c r="AW26" s="2259"/>
      <c r="AX26" s="2259"/>
      <c r="AY26" s="2260"/>
      <c r="AZ26" s="1208"/>
      <c r="BA26" s="1208"/>
      <c r="BB26" s="1208"/>
      <c r="BC26" s="1208"/>
      <c r="BD26" s="1208"/>
      <c r="BE26" s="1215"/>
    </row>
    <row r="27" spans="1:58" ht="14.5">
      <c r="A27" s="1208"/>
      <c r="B27" s="2270">
        <v>1.2</v>
      </c>
      <c r="C27" s="2271"/>
      <c r="D27" s="2271"/>
      <c r="E27" s="2271"/>
      <c r="F27" s="2271"/>
      <c r="G27" s="2271"/>
      <c r="H27" s="2271"/>
      <c r="I27" s="2272"/>
      <c r="J27" s="2255"/>
      <c r="K27" s="2256"/>
      <c r="L27" s="2256"/>
      <c r="M27" s="2256"/>
      <c r="N27" s="2256"/>
      <c r="O27" s="2257"/>
      <c r="P27" s="2255"/>
      <c r="Q27" s="2256"/>
      <c r="R27" s="2256"/>
      <c r="S27" s="2256"/>
      <c r="T27" s="2256"/>
      <c r="U27" s="2257"/>
      <c r="V27" s="2255"/>
      <c r="W27" s="2256"/>
      <c r="X27" s="2256"/>
      <c r="Y27" s="2256"/>
      <c r="Z27" s="2256"/>
      <c r="AA27" s="2257"/>
      <c r="AB27" s="2255"/>
      <c r="AC27" s="2256"/>
      <c r="AD27" s="2256"/>
      <c r="AE27" s="2256"/>
      <c r="AF27" s="2256"/>
      <c r="AG27" s="2257"/>
      <c r="AH27" s="2255"/>
      <c r="AI27" s="2256"/>
      <c r="AJ27" s="2256"/>
      <c r="AK27" s="2256"/>
      <c r="AL27" s="2256"/>
      <c r="AM27" s="2257"/>
      <c r="AN27" s="2255"/>
      <c r="AO27" s="2256"/>
      <c r="AP27" s="2256"/>
      <c r="AQ27" s="2256"/>
      <c r="AR27" s="2256"/>
      <c r="AS27" s="2257"/>
      <c r="AT27" s="2258">
        <f t="shared" si="1"/>
        <v>0</v>
      </c>
      <c r="AU27" s="2259"/>
      <c r="AV27" s="2259"/>
      <c r="AW27" s="2259"/>
      <c r="AX27" s="2259"/>
      <c r="AY27" s="2260"/>
      <c r="AZ27" s="1208"/>
      <c r="BA27" s="1208"/>
      <c r="BB27" s="1208"/>
      <c r="BC27" s="1208"/>
      <c r="BD27" s="1208"/>
      <c r="BE27" s="1215"/>
    </row>
    <row r="28" spans="1:58" ht="15" thickBot="1">
      <c r="A28" s="1208"/>
      <c r="B28" s="2261" t="s">
        <v>2362</v>
      </c>
      <c r="C28" s="2262"/>
      <c r="D28" s="2262"/>
      <c r="E28" s="2262"/>
      <c r="F28" s="2262"/>
      <c r="G28" s="2262"/>
      <c r="H28" s="2262"/>
      <c r="I28" s="2263"/>
      <c r="J28" s="2264">
        <f>SUM(P28:AS28)</f>
        <v>1</v>
      </c>
      <c r="K28" s="2265"/>
      <c r="L28" s="2265"/>
      <c r="M28" s="2265"/>
      <c r="N28" s="2265"/>
      <c r="O28" s="2266"/>
      <c r="P28" s="2264">
        <f>_xlfn.IFNA(VLOOKUP(P$18,Application!$J$781:$S$784,6,FALSE), 0)</f>
        <v>0</v>
      </c>
      <c r="Q28" s="2265"/>
      <c r="R28" s="2265"/>
      <c r="S28" s="2265"/>
      <c r="T28" s="2265"/>
      <c r="U28" s="2266"/>
      <c r="V28" s="2264">
        <f>_xlfn.IFNA(VLOOKUP(V$18,Application!$J$781:$S$784,6,FALSE), 0)</f>
        <v>0</v>
      </c>
      <c r="W28" s="2265"/>
      <c r="X28" s="2265"/>
      <c r="Y28" s="2265"/>
      <c r="Z28" s="2265"/>
      <c r="AA28" s="2266"/>
      <c r="AB28" s="2264">
        <f>_xlfn.IFNA(VLOOKUP(AB$18,Application!$J$781:$S$784,6,FALSE), 0)</f>
        <v>0</v>
      </c>
      <c r="AC28" s="2265"/>
      <c r="AD28" s="2265"/>
      <c r="AE28" s="2265"/>
      <c r="AF28" s="2265"/>
      <c r="AG28" s="2266"/>
      <c r="AH28" s="2264">
        <f>_xlfn.IFNA(VLOOKUP(AH$18,Application!$J$781:$S$784,6,FALSE), 0)</f>
        <v>1</v>
      </c>
      <c r="AI28" s="2265"/>
      <c r="AJ28" s="2265"/>
      <c r="AK28" s="2265"/>
      <c r="AL28" s="2265"/>
      <c r="AM28" s="2266"/>
      <c r="AN28" s="2264">
        <f>_xlfn.IFNA(VLOOKUP(AN$18,Application!$J$781:$S$784,6,FALSE), 0)</f>
        <v>0</v>
      </c>
      <c r="AO28" s="2265"/>
      <c r="AP28" s="2265"/>
      <c r="AQ28" s="2265"/>
      <c r="AR28" s="2265"/>
      <c r="AS28" s="2266"/>
      <c r="AT28" s="2267">
        <f t="shared" si="1"/>
        <v>7.6335877862595417E-3</v>
      </c>
      <c r="AU28" s="2268"/>
      <c r="AV28" s="2268"/>
      <c r="AW28" s="2268"/>
      <c r="AX28" s="2268"/>
      <c r="AY28" s="2269"/>
      <c r="AZ28" s="1208"/>
      <c r="BA28" s="1208"/>
      <c r="BB28" s="1208"/>
      <c r="BC28" s="1208"/>
      <c r="BD28" s="1208"/>
      <c r="BE28" s="1215"/>
    </row>
    <row r="29" spans="1:58" ht="15" thickBot="1">
      <c r="A29" s="1208"/>
      <c r="B29" s="2244" t="s">
        <v>1573</v>
      </c>
      <c r="C29" s="2217"/>
      <c r="D29" s="2217"/>
      <c r="E29" s="2217"/>
      <c r="F29" s="2217"/>
      <c r="G29" s="2217"/>
      <c r="H29" s="2217"/>
      <c r="I29" s="2218"/>
      <c r="J29" s="2216">
        <f>SUM(J19:O28)</f>
        <v>131</v>
      </c>
      <c r="K29" s="2217"/>
      <c r="L29" s="2217"/>
      <c r="M29" s="2217"/>
      <c r="N29" s="2217"/>
      <c r="O29" s="2218"/>
      <c r="P29" s="2216">
        <f>SUM(P19:U28)</f>
        <v>0</v>
      </c>
      <c r="Q29" s="2217"/>
      <c r="R29" s="2217"/>
      <c r="S29" s="2217"/>
      <c r="T29" s="2217"/>
      <c r="U29" s="2218"/>
      <c r="V29" s="2216">
        <f>SUM(V19:AA28)</f>
        <v>46</v>
      </c>
      <c r="W29" s="2217"/>
      <c r="X29" s="2217"/>
      <c r="Y29" s="2217"/>
      <c r="Z29" s="2217"/>
      <c r="AA29" s="2218"/>
      <c r="AB29" s="2216">
        <f>SUM(AB19:AG28)</f>
        <v>42</v>
      </c>
      <c r="AC29" s="2217"/>
      <c r="AD29" s="2217"/>
      <c r="AE29" s="2217"/>
      <c r="AF29" s="2217"/>
      <c r="AG29" s="2218"/>
      <c r="AH29" s="2216">
        <f>SUM(AH19:AM28)</f>
        <v>43</v>
      </c>
      <c r="AI29" s="2217"/>
      <c r="AJ29" s="2217"/>
      <c r="AK29" s="2217"/>
      <c r="AL29" s="2217"/>
      <c r="AM29" s="2218"/>
      <c r="AN29" s="2216">
        <f>SUM(AN19:AS28)</f>
        <v>0</v>
      </c>
      <c r="AO29" s="2217"/>
      <c r="AP29" s="2217"/>
      <c r="AQ29" s="2217"/>
      <c r="AR29" s="2217"/>
      <c r="AS29" s="2218"/>
      <c r="AT29" s="2219">
        <f t="shared" si="1"/>
        <v>1</v>
      </c>
      <c r="AU29" s="2220"/>
      <c r="AV29" s="2220"/>
      <c r="AW29" s="2220"/>
      <c r="AX29" s="2220"/>
      <c r="AY29" s="2221"/>
      <c r="AZ29" s="1208"/>
      <c r="BA29" s="1208"/>
      <c r="BB29" s="1208"/>
      <c r="BC29" s="1208"/>
      <c r="BD29" s="1208"/>
      <c r="BE29" s="1215"/>
    </row>
    <row r="30" spans="1:58" ht="15"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5" thickBot="1">
      <c r="A31" s="1208"/>
      <c r="B31" s="2222" t="s">
        <v>2361</v>
      </c>
      <c r="C31" s="2223"/>
      <c r="D31" s="2223"/>
      <c r="E31" s="2223"/>
      <c r="F31" s="2223"/>
      <c r="G31" s="2223"/>
      <c r="H31" s="2223"/>
      <c r="I31" s="2223"/>
      <c r="J31" s="2223"/>
      <c r="K31" s="2223"/>
      <c r="L31" s="2223"/>
      <c r="M31" s="2223"/>
      <c r="N31" s="2223"/>
      <c r="O31" s="2223"/>
      <c r="P31" s="2223"/>
      <c r="Q31" s="2223"/>
      <c r="R31" s="2223"/>
      <c r="S31" s="2223"/>
      <c r="T31" s="2223"/>
      <c r="U31" s="2223"/>
      <c r="V31" s="2223"/>
      <c r="W31" s="2223"/>
      <c r="X31" s="2223"/>
      <c r="Y31" s="2223"/>
      <c r="Z31" s="2223"/>
      <c r="AA31" s="2223"/>
      <c r="AB31" s="2223"/>
      <c r="AC31" s="2223"/>
      <c r="AD31" s="2223"/>
      <c r="AE31" s="2223"/>
      <c r="AF31" s="2223"/>
      <c r="AG31" s="2223"/>
      <c r="AH31" s="2223"/>
      <c r="AI31" s="2223"/>
      <c r="AJ31" s="2223"/>
      <c r="AK31" s="2223"/>
      <c r="AL31" s="2223"/>
      <c r="AM31" s="2223"/>
      <c r="AN31" s="2223"/>
      <c r="AO31" s="2223"/>
      <c r="AP31" s="2223"/>
      <c r="AQ31" s="2223"/>
      <c r="AR31" s="2223"/>
      <c r="AS31" s="2223"/>
      <c r="AT31" s="2223"/>
      <c r="AU31" s="2223"/>
      <c r="AV31" s="2223"/>
      <c r="AW31" s="2223"/>
      <c r="AX31" s="2223"/>
      <c r="AY31" s="2223"/>
      <c r="AZ31" s="2223"/>
      <c r="BA31" s="2223"/>
      <c r="BB31" s="2223"/>
      <c r="BC31" s="2223"/>
      <c r="BD31" s="2224"/>
      <c r="BE31" s="1215"/>
    </row>
    <row r="32" spans="1:58" ht="15" thickBot="1">
      <c r="A32" s="1208"/>
      <c r="B32" s="2225" t="s">
        <v>2360</v>
      </c>
      <c r="C32" s="2226"/>
      <c r="D32" s="2226"/>
      <c r="E32" s="2226"/>
      <c r="F32" s="2226"/>
      <c r="G32" s="2226"/>
      <c r="H32" s="2226"/>
      <c r="I32" s="2226"/>
      <c r="J32" s="2229" t="s">
        <v>2359</v>
      </c>
      <c r="K32" s="2230"/>
      <c r="L32" s="2230"/>
      <c r="M32" s="2230"/>
      <c r="N32" s="2229" t="s">
        <v>2358</v>
      </c>
      <c r="O32" s="2230"/>
      <c r="P32" s="2230"/>
      <c r="Q32" s="2232"/>
      <c r="R32" s="2234" t="s">
        <v>2357</v>
      </c>
      <c r="S32" s="2235"/>
      <c r="T32" s="2235"/>
      <c r="U32" s="2235"/>
      <c r="V32" s="2235"/>
      <c r="W32" s="2235"/>
      <c r="X32" s="2235"/>
      <c r="Y32" s="2235"/>
      <c r="Z32" s="2235"/>
      <c r="AA32" s="2235"/>
      <c r="AB32" s="2235"/>
      <c r="AC32" s="2235"/>
      <c r="AD32" s="2235"/>
      <c r="AE32" s="2235"/>
      <c r="AF32" s="2235"/>
      <c r="AG32" s="2235"/>
      <c r="AH32" s="2235"/>
      <c r="AI32" s="2235"/>
      <c r="AJ32" s="2235"/>
      <c r="AK32" s="2235"/>
      <c r="AL32" s="2235"/>
      <c r="AM32" s="2235"/>
      <c r="AN32" s="2235"/>
      <c r="AO32" s="2235"/>
      <c r="AP32" s="2235"/>
      <c r="AQ32" s="2235"/>
      <c r="AR32" s="2235"/>
      <c r="AS32" s="2235"/>
      <c r="AT32" s="2235"/>
      <c r="AU32" s="2235"/>
      <c r="AV32" s="2235"/>
      <c r="AW32" s="2235"/>
      <c r="AX32" s="2235"/>
      <c r="AY32" s="2235"/>
      <c r="AZ32" s="2235"/>
      <c r="BA32" s="2235"/>
      <c r="BB32" s="2235"/>
      <c r="BC32" s="2235"/>
      <c r="BD32" s="2236"/>
      <c r="BE32" s="1215"/>
    </row>
    <row r="33" spans="1:58" ht="15" customHeight="1">
      <c r="A33" s="1208"/>
      <c r="B33" s="2227"/>
      <c r="C33" s="2228"/>
      <c r="D33" s="2228"/>
      <c r="E33" s="2228"/>
      <c r="F33" s="2228"/>
      <c r="G33" s="2228"/>
      <c r="H33" s="2228"/>
      <c r="I33" s="2228"/>
      <c r="J33" s="2231"/>
      <c r="K33" s="2231"/>
      <c r="L33" s="2231"/>
      <c r="M33" s="2231"/>
      <c r="N33" s="2231"/>
      <c r="O33" s="2231"/>
      <c r="P33" s="2231"/>
      <c r="Q33" s="2233"/>
      <c r="R33" s="2237" t="s">
        <v>2356</v>
      </c>
      <c r="S33" s="2238"/>
      <c r="T33" s="2238"/>
      <c r="U33" s="2238"/>
      <c r="V33" s="2238"/>
      <c r="W33" s="2238"/>
      <c r="X33" s="2238"/>
      <c r="Y33" s="2238"/>
      <c r="Z33" s="2238"/>
      <c r="AA33" s="2238"/>
      <c r="AB33" s="2238"/>
      <c r="AC33" s="2238"/>
      <c r="AD33" s="2238"/>
      <c r="AE33" s="2238"/>
      <c r="AF33" s="2238"/>
      <c r="AG33" s="2238"/>
      <c r="AH33" s="2238"/>
      <c r="AI33" s="2238"/>
      <c r="AJ33" s="2238"/>
      <c r="AK33" s="2238"/>
      <c r="AL33" s="2238"/>
      <c r="AM33" s="2238"/>
      <c r="AN33" s="2238"/>
      <c r="AO33" s="2238"/>
      <c r="AP33" s="2238"/>
      <c r="AQ33" s="2238"/>
      <c r="AR33" s="2238"/>
      <c r="AS33" s="2238"/>
      <c r="AT33" s="2238"/>
      <c r="AU33" s="2238"/>
      <c r="AV33" s="2238"/>
      <c r="AW33" s="2238"/>
      <c r="AX33" s="2238"/>
      <c r="AY33" s="2238"/>
      <c r="AZ33" s="2238"/>
      <c r="BA33" s="2238"/>
      <c r="BB33" s="2238"/>
      <c r="BC33" s="2238"/>
      <c r="BD33" s="2239"/>
      <c r="BE33" s="1215"/>
    </row>
    <row r="34" spans="1:58" ht="15.75" customHeight="1" thickBot="1">
      <c r="A34" s="1208"/>
      <c r="B34" s="2227"/>
      <c r="C34" s="2228"/>
      <c r="D34" s="2228"/>
      <c r="E34" s="2228"/>
      <c r="F34" s="2228"/>
      <c r="G34" s="2228"/>
      <c r="H34" s="2228"/>
      <c r="I34" s="2228"/>
      <c r="J34" s="2231"/>
      <c r="K34" s="2231"/>
      <c r="L34" s="2231"/>
      <c r="M34" s="2231"/>
      <c r="N34" s="2231"/>
      <c r="O34" s="2231"/>
      <c r="P34" s="2231"/>
      <c r="Q34" s="2233"/>
      <c r="R34" s="2240"/>
      <c r="S34" s="2241"/>
      <c r="T34" s="2241"/>
      <c r="U34" s="2241"/>
      <c r="V34" s="2241"/>
      <c r="W34" s="2241"/>
      <c r="X34" s="2241"/>
      <c r="Y34" s="2241"/>
      <c r="Z34" s="2241"/>
      <c r="AA34" s="2241"/>
      <c r="AB34" s="2241"/>
      <c r="AC34" s="2241"/>
      <c r="AD34" s="2241"/>
      <c r="AE34" s="2241"/>
      <c r="AF34" s="2241"/>
      <c r="AG34" s="2241"/>
      <c r="AH34" s="2241"/>
      <c r="AI34" s="2241"/>
      <c r="AJ34" s="2241"/>
      <c r="AK34" s="2241"/>
      <c r="AL34" s="2241"/>
      <c r="AM34" s="2241"/>
      <c r="AN34" s="2241"/>
      <c r="AO34" s="2241"/>
      <c r="AP34" s="2241"/>
      <c r="AQ34" s="2241"/>
      <c r="AR34" s="2241"/>
      <c r="AS34" s="2241"/>
      <c r="AT34" s="2241"/>
      <c r="AU34" s="2241"/>
      <c r="AV34" s="2241"/>
      <c r="AW34" s="2241"/>
      <c r="AX34" s="2241"/>
      <c r="AY34" s="2241"/>
      <c r="AZ34" s="2241"/>
      <c r="BA34" s="2241"/>
      <c r="BB34" s="2241"/>
      <c r="BC34" s="2241"/>
      <c r="BD34" s="2242"/>
      <c r="BE34" s="1215"/>
    </row>
    <row r="35" spans="1:58" ht="15.75" customHeight="1">
      <c r="A35" s="1208"/>
      <c r="B35" s="2227"/>
      <c r="C35" s="2228"/>
      <c r="D35" s="2228"/>
      <c r="E35" s="2228"/>
      <c r="F35" s="2228"/>
      <c r="G35" s="2228"/>
      <c r="H35" s="2228"/>
      <c r="I35" s="2228"/>
      <c r="J35" s="2231"/>
      <c r="K35" s="2231"/>
      <c r="L35" s="2231"/>
      <c r="M35" s="2231"/>
      <c r="N35" s="2231"/>
      <c r="O35" s="2231"/>
      <c r="P35" s="2231"/>
      <c r="Q35" s="2231"/>
      <c r="R35" s="2243">
        <v>0.3</v>
      </c>
      <c r="S35" s="2243"/>
      <c r="T35" s="2243"/>
      <c r="U35" s="2243"/>
      <c r="V35" s="2243">
        <v>0.4</v>
      </c>
      <c r="W35" s="2243"/>
      <c r="X35" s="2243"/>
      <c r="Y35" s="2243"/>
      <c r="Z35" s="2243">
        <v>0.5</v>
      </c>
      <c r="AA35" s="2243"/>
      <c r="AB35" s="2243"/>
      <c r="AC35" s="2243"/>
      <c r="AD35" s="2243">
        <v>0.6</v>
      </c>
      <c r="AE35" s="2243"/>
      <c r="AF35" s="2243"/>
      <c r="AG35" s="2243"/>
      <c r="AH35" s="2243">
        <v>0.7</v>
      </c>
      <c r="AI35" s="2243"/>
      <c r="AJ35" s="2243"/>
      <c r="AK35" s="2243"/>
      <c r="AL35" s="2248">
        <v>0.8</v>
      </c>
      <c r="AM35" s="2249"/>
      <c r="AN35" s="2249"/>
      <c r="AO35" s="2250"/>
      <c r="AP35" s="2251">
        <v>1.2</v>
      </c>
      <c r="AQ35" s="2252"/>
      <c r="AR35" s="2253"/>
      <c r="AS35" s="2245" t="s">
        <v>2355</v>
      </c>
      <c r="AT35" s="2246"/>
      <c r="AU35" s="2246"/>
      <c r="AV35" s="2246"/>
      <c r="AW35" s="2246"/>
      <c r="AX35" s="2254"/>
      <c r="AY35" s="2245" t="s">
        <v>2354</v>
      </c>
      <c r="AZ35" s="2246"/>
      <c r="BA35" s="2246"/>
      <c r="BB35" s="2246"/>
      <c r="BC35" s="2246"/>
      <c r="BD35" s="2247"/>
      <c r="BE35" s="1215"/>
    </row>
    <row r="36" spans="1:58" ht="15.75" customHeight="1">
      <c r="A36" s="1208"/>
      <c r="B36" s="2149" t="s">
        <v>2353</v>
      </c>
      <c r="C36" s="2150"/>
      <c r="D36" s="2150"/>
      <c r="E36" s="2150"/>
      <c r="F36" s="2150"/>
      <c r="G36" s="2150"/>
      <c r="H36" s="2150"/>
      <c r="I36" s="2150"/>
      <c r="J36" s="2214" t="s">
        <v>2352</v>
      </c>
      <c r="K36" s="2214"/>
      <c r="L36" s="2214"/>
      <c r="M36" s="2214"/>
      <c r="N36" s="2214">
        <v>55</v>
      </c>
      <c r="O36" s="2214"/>
      <c r="P36" s="2214"/>
      <c r="Q36" s="2214"/>
      <c r="R36" s="2215"/>
      <c r="S36" s="2215"/>
      <c r="T36" s="2215"/>
      <c r="U36" s="2215"/>
      <c r="V36" s="2215"/>
      <c r="W36" s="2215"/>
      <c r="X36" s="2215"/>
      <c r="Y36" s="2215"/>
      <c r="Z36" s="2215"/>
      <c r="AA36" s="2215"/>
      <c r="AB36" s="2215"/>
      <c r="AC36" s="2215"/>
      <c r="AD36" s="2215"/>
      <c r="AE36" s="2215"/>
      <c r="AF36" s="2215"/>
      <c r="AG36" s="2215"/>
      <c r="AH36" s="2215"/>
      <c r="AI36" s="2215"/>
      <c r="AJ36" s="2215"/>
      <c r="AK36" s="2215"/>
      <c r="AL36" s="2199"/>
      <c r="AM36" s="2200"/>
      <c r="AN36" s="2200"/>
      <c r="AO36" s="2201"/>
      <c r="AP36" s="2199"/>
      <c r="AQ36" s="2200"/>
      <c r="AR36" s="2201"/>
      <c r="AS36" s="2202">
        <f t="shared" ref="AS36:AS47" si="2">SUM(R36:AR36)</f>
        <v>0</v>
      </c>
      <c r="AT36" s="2203"/>
      <c r="AU36" s="2203"/>
      <c r="AV36" s="2203"/>
      <c r="AW36" s="2203"/>
      <c r="AX36" s="2204"/>
      <c r="AY36" s="2205">
        <f t="shared" ref="AY36:AY47" si="3">AS36/$J$29</f>
        <v>0</v>
      </c>
      <c r="AZ36" s="2206"/>
      <c r="BA36" s="2206"/>
      <c r="BB36" s="2206"/>
      <c r="BC36" s="2206"/>
      <c r="BD36" s="2207"/>
      <c r="BE36" s="1215"/>
    </row>
    <row r="37" spans="1:58" ht="15.75" customHeight="1">
      <c r="A37" s="1208"/>
      <c r="B37" s="2149" t="s">
        <v>2351</v>
      </c>
      <c r="C37" s="2150"/>
      <c r="D37" s="2150"/>
      <c r="E37" s="2150"/>
      <c r="F37" s="2150"/>
      <c r="G37" s="2150"/>
      <c r="H37" s="2150"/>
      <c r="I37" s="2150"/>
      <c r="J37" s="2214" t="s">
        <v>2350</v>
      </c>
      <c r="K37" s="2214"/>
      <c r="L37" s="2214"/>
      <c r="M37" s="2214"/>
      <c r="N37" s="2214">
        <v>55</v>
      </c>
      <c r="O37" s="2214"/>
      <c r="P37" s="2214"/>
      <c r="Q37" s="2214"/>
      <c r="R37" s="2215"/>
      <c r="S37" s="2215"/>
      <c r="T37" s="2215"/>
      <c r="U37" s="2215"/>
      <c r="V37" s="2215"/>
      <c r="W37" s="2215"/>
      <c r="X37" s="2215"/>
      <c r="Y37" s="2215"/>
      <c r="Z37" s="2215"/>
      <c r="AA37" s="2215"/>
      <c r="AB37" s="2215"/>
      <c r="AC37" s="2215"/>
      <c r="AD37" s="2215"/>
      <c r="AE37" s="2215"/>
      <c r="AF37" s="2215"/>
      <c r="AG37" s="2215"/>
      <c r="AH37" s="2215"/>
      <c r="AI37" s="2215"/>
      <c r="AJ37" s="2215"/>
      <c r="AK37" s="2215"/>
      <c r="AL37" s="2199"/>
      <c r="AM37" s="2200"/>
      <c r="AN37" s="2200"/>
      <c r="AO37" s="2201"/>
      <c r="AP37" s="2199"/>
      <c r="AQ37" s="2200"/>
      <c r="AR37" s="2201"/>
      <c r="AS37" s="2202">
        <f t="shared" si="2"/>
        <v>0</v>
      </c>
      <c r="AT37" s="2203"/>
      <c r="AU37" s="2203"/>
      <c r="AV37" s="2203"/>
      <c r="AW37" s="2203"/>
      <c r="AX37" s="2204"/>
      <c r="AY37" s="2205">
        <f t="shared" si="3"/>
        <v>0</v>
      </c>
      <c r="AZ37" s="2206"/>
      <c r="BA37" s="2206"/>
      <c r="BB37" s="2206"/>
      <c r="BC37" s="2206"/>
      <c r="BD37" s="2207"/>
      <c r="BE37" s="1215"/>
    </row>
    <row r="38" spans="1:58" ht="15.75" customHeight="1">
      <c r="A38" s="1208"/>
      <c r="B38" s="2149" t="s">
        <v>2349</v>
      </c>
      <c r="C38" s="2150"/>
      <c r="D38" s="2150"/>
      <c r="E38" s="2150"/>
      <c r="F38" s="2150"/>
      <c r="G38" s="2150"/>
      <c r="H38" s="2150"/>
      <c r="I38" s="2150"/>
      <c r="J38" s="2214" t="s">
        <v>2348</v>
      </c>
      <c r="K38" s="2214"/>
      <c r="L38" s="2214"/>
      <c r="M38" s="2214"/>
      <c r="N38" s="2214">
        <v>55</v>
      </c>
      <c r="O38" s="2214"/>
      <c r="P38" s="2214"/>
      <c r="Q38" s="2214"/>
      <c r="R38" s="2215"/>
      <c r="S38" s="2215"/>
      <c r="T38" s="2215"/>
      <c r="U38" s="2215"/>
      <c r="V38" s="2215"/>
      <c r="W38" s="2215"/>
      <c r="X38" s="2215"/>
      <c r="Y38" s="2215"/>
      <c r="Z38" s="2215"/>
      <c r="AA38" s="2215"/>
      <c r="AB38" s="2215"/>
      <c r="AC38" s="2215"/>
      <c r="AD38" s="2215"/>
      <c r="AE38" s="2215"/>
      <c r="AF38" s="2215"/>
      <c r="AG38" s="2215"/>
      <c r="AH38" s="2215"/>
      <c r="AI38" s="2215"/>
      <c r="AJ38" s="2215"/>
      <c r="AK38" s="2215"/>
      <c r="AL38" s="2199"/>
      <c r="AM38" s="2200"/>
      <c r="AN38" s="2200"/>
      <c r="AO38" s="2201"/>
      <c r="AP38" s="2199"/>
      <c r="AQ38" s="2200"/>
      <c r="AR38" s="2201"/>
      <c r="AS38" s="2202">
        <f t="shared" si="2"/>
        <v>0</v>
      </c>
      <c r="AT38" s="2203"/>
      <c r="AU38" s="2203"/>
      <c r="AV38" s="2203"/>
      <c r="AW38" s="2203"/>
      <c r="AX38" s="2204"/>
      <c r="AY38" s="2205">
        <f t="shared" si="3"/>
        <v>0</v>
      </c>
      <c r="AZ38" s="2206"/>
      <c r="BA38" s="2206"/>
      <c r="BB38" s="2206"/>
      <c r="BC38" s="2206"/>
      <c r="BD38" s="2207"/>
      <c r="BE38" s="1215"/>
    </row>
    <row r="39" spans="1:58" ht="15.75" customHeight="1">
      <c r="A39" s="1208"/>
      <c r="B39" s="2149" t="s">
        <v>2347</v>
      </c>
      <c r="C39" s="2150"/>
      <c r="D39" s="2150"/>
      <c r="E39" s="2150"/>
      <c r="F39" s="2150"/>
      <c r="G39" s="2150"/>
      <c r="H39" s="2150"/>
      <c r="I39" s="2150"/>
      <c r="J39" s="2214"/>
      <c r="K39" s="2214"/>
      <c r="L39" s="2214"/>
      <c r="M39" s="2214"/>
      <c r="N39" s="2214"/>
      <c r="O39" s="2214"/>
      <c r="P39" s="2214"/>
      <c r="Q39" s="2214"/>
      <c r="R39" s="2215"/>
      <c r="S39" s="2215"/>
      <c r="T39" s="2215"/>
      <c r="U39" s="2215"/>
      <c r="V39" s="2215"/>
      <c r="W39" s="2215"/>
      <c r="X39" s="2215"/>
      <c r="Y39" s="2215"/>
      <c r="Z39" s="2215"/>
      <c r="AA39" s="2215"/>
      <c r="AB39" s="2215"/>
      <c r="AC39" s="2215"/>
      <c r="AD39" s="2215"/>
      <c r="AE39" s="2215"/>
      <c r="AF39" s="2215"/>
      <c r="AG39" s="2215"/>
      <c r="AH39" s="2215"/>
      <c r="AI39" s="2215"/>
      <c r="AJ39" s="2215"/>
      <c r="AK39" s="2215"/>
      <c r="AL39" s="2199"/>
      <c r="AM39" s="2200"/>
      <c r="AN39" s="2200"/>
      <c r="AO39" s="2201"/>
      <c r="AP39" s="2199"/>
      <c r="AQ39" s="2200"/>
      <c r="AR39" s="2201"/>
      <c r="AS39" s="2202">
        <f t="shared" si="2"/>
        <v>0</v>
      </c>
      <c r="AT39" s="2203"/>
      <c r="AU39" s="2203"/>
      <c r="AV39" s="2203"/>
      <c r="AW39" s="2203"/>
      <c r="AX39" s="2204"/>
      <c r="AY39" s="2205">
        <f t="shared" si="3"/>
        <v>0</v>
      </c>
      <c r="AZ39" s="2206"/>
      <c r="BA39" s="2206"/>
      <c r="BB39" s="2206"/>
      <c r="BC39" s="2206"/>
      <c r="BD39" s="2207"/>
      <c r="BE39" s="1215"/>
    </row>
    <row r="40" spans="1:58" ht="15.75" customHeight="1">
      <c r="A40" s="1208"/>
      <c r="B40" s="2149" t="s">
        <v>2347</v>
      </c>
      <c r="C40" s="2150"/>
      <c r="D40" s="2150"/>
      <c r="E40" s="2150"/>
      <c r="F40" s="2150"/>
      <c r="G40" s="2150"/>
      <c r="H40" s="2150"/>
      <c r="I40" s="2150"/>
      <c r="J40" s="2214"/>
      <c r="K40" s="2214"/>
      <c r="L40" s="2214"/>
      <c r="M40" s="2214"/>
      <c r="N40" s="2214"/>
      <c r="O40" s="2214"/>
      <c r="P40" s="2214"/>
      <c r="Q40" s="2214"/>
      <c r="R40" s="2215"/>
      <c r="S40" s="2215"/>
      <c r="T40" s="2215"/>
      <c r="U40" s="2215"/>
      <c r="V40" s="2215"/>
      <c r="W40" s="2215"/>
      <c r="X40" s="2215"/>
      <c r="Y40" s="2215"/>
      <c r="Z40" s="2215"/>
      <c r="AA40" s="2215"/>
      <c r="AB40" s="2215"/>
      <c r="AC40" s="2215"/>
      <c r="AD40" s="2215"/>
      <c r="AE40" s="2215"/>
      <c r="AF40" s="2215"/>
      <c r="AG40" s="2215"/>
      <c r="AH40" s="2215"/>
      <c r="AI40" s="2215"/>
      <c r="AJ40" s="2215"/>
      <c r="AK40" s="2215"/>
      <c r="AL40" s="2199"/>
      <c r="AM40" s="2200"/>
      <c r="AN40" s="2200"/>
      <c r="AO40" s="2201"/>
      <c r="AP40" s="2199"/>
      <c r="AQ40" s="2200"/>
      <c r="AR40" s="2201"/>
      <c r="AS40" s="2202">
        <f t="shared" si="2"/>
        <v>0</v>
      </c>
      <c r="AT40" s="2203"/>
      <c r="AU40" s="2203"/>
      <c r="AV40" s="2203"/>
      <c r="AW40" s="2203"/>
      <c r="AX40" s="2204"/>
      <c r="AY40" s="2205">
        <f t="shared" si="3"/>
        <v>0</v>
      </c>
      <c r="AZ40" s="2206"/>
      <c r="BA40" s="2206"/>
      <c r="BB40" s="2206"/>
      <c r="BC40" s="2206"/>
      <c r="BD40" s="2207"/>
      <c r="BE40" s="1215"/>
    </row>
    <row r="41" spans="1:58" ht="15.75" customHeight="1">
      <c r="A41" s="1208"/>
      <c r="B41" s="2149" t="s">
        <v>2346</v>
      </c>
      <c r="C41" s="2150"/>
      <c r="D41" s="2150"/>
      <c r="E41" s="2150"/>
      <c r="F41" s="2150"/>
      <c r="G41" s="2150"/>
      <c r="H41" s="2150"/>
      <c r="I41" s="2150"/>
      <c r="J41" s="2214"/>
      <c r="K41" s="2214"/>
      <c r="L41" s="2214"/>
      <c r="M41" s="2214"/>
      <c r="N41" s="2214"/>
      <c r="O41" s="2214"/>
      <c r="P41" s="2214"/>
      <c r="Q41" s="2214"/>
      <c r="R41" s="2215"/>
      <c r="S41" s="2215"/>
      <c r="T41" s="2215"/>
      <c r="U41" s="2215"/>
      <c r="V41" s="2215"/>
      <c r="W41" s="2215"/>
      <c r="X41" s="2215"/>
      <c r="Y41" s="2215"/>
      <c r="Z41" s="2215"/>
      <c r="AA41" s="2215"/>
      <c r="AB41" s="2215"/>
      <c r="AC41" s="2215"/>
      <c r="AD41" s="2215"/>
      <c r="AE41" s="2215"/>
      <c r="AF41" s="2215"/>
      <c r="AG41" s="2215"/>
      <c r="AH41" s="2215"/>
      <c r="AI41" s="2215"/>
      <c r="AJ41" s="2215"/>
      <c r="AK41" s="2215"/>
      <c r="AL41" s="2199"/>
      <c r="AM41" s="2200"/>
      <c r="AN41" s="2200"/>
      <c r="AO41" s="2201"/>
      <c r="AP41" s="2199"/>
      <c r="AQ41" s="2200"/>
      <c r="AR41" s="2201"/>
      <c r="AS41" s="2202">
        <f t="shared" si="2"/>
        <v>0</v>
      </c>
      <c r="AT41" s="2203"/>
      <c r="AU41" s="2203"/>
      <c r="AV41" s="2203"/>
      <c r="AW41" s="2203"/>
      <c r="AX41" s="2204"/>
      <c r="AY41" s="2205">
        <f t="shared" si="3"/>
        <v>0</v>
      </c>
      <c r="AZ41" s="2206"/>
      <c r="BA41" s="2206"/>
      <c r="BB41" s="2206"/>
      <c r="BC41" s="2206"/>
      <c r="BD41" s="2207"/>
      <c r="BE41" s="1215"/>
    </row>
    <row r="42" spans="1:58" ht="15.75" customHeight="1">
      <c r="A42" s="1208"/>
      <c r="B42" s="2149" t="s">
        <v>2346</v>
      </c>
      <c r="C42" s="2150"/>
      <c r="D42" s="2150"/>
      <c r="E42" s="2150"/>
      <c r="F42" s="2150"/>
      <c r="G42" s="2150"/>
      <c r="H42" s="2150"/>
      <c r="I42" s="2150"/>
      <c r="J42" s="2214"/>
      <c r="K42" s="2214"/>
      <c r="L42" s="2214"/>
      <c r="M42" s="2214"/>
      <c r="N42" s="2214"/>
      <c r="O42" s="2214"/>
      <c r="P42" s="2214"/>
      <c r="Q42" s="2214"/>
      <c r="R42" s="2215"/>
      <c r="S42" s="2215"/>
      <c r="T42" s="2215"/>
      <c r="U42" s="2215"/>
      <c r="V42" s="2215"/>
      <c r="W42" s="2215"/>
      <c r="X42" s="2215"/>
      <c r="Y42" s="2215"/>
      <c r="Z42" s="2215"/>
      <c r="AA42" s="2215"/>
      <c r="AB42" s="2215"/>
      <c r="AC42" s="2215"/>
      <c r="AD42" s="2215"/>
      <c r="AE42" s="2215"/>
      <c r="AF42" s="2215"/>
      <c r="AG42" s="2215"/>
      <c r="AH42" s="2215"/>
      <c r="AI42" s="2215"/>
      <c r="AJ42" s="2215"/>
      <c r="AK42" s="2215"/>
      <c r="AL42" s="2199"/>
      <c r="AM42" s="2200"/>
      <c r="AN42" s="2200"/>
      <c r="AO42" s="2201"/>
      <c r="AP42" s="2199"/>
      <c r="AQ42" s="2200"/>
      <c r="AR42" s="2201"/>
      <c r="AS42" s="2202">
        <f t="shared" si="2"/>
        <v>0</v>
      </c>
      <c r="AT42" s="2203"/>
      <c r="AU42" s="2203"/>
      <c r="AV42" s="2203"/>
      <c r="AW42" s="2203"/>
      <c r="AX42" s="2204"/>
      <c r="AY42" s="2205">
        <f t="shared" si="3"/>
        <v>0</v>
      </c>
      <c r="AZ42" s="2206"/>
      <c r="BA42" s="2206"/>
      <c r="BB42" s="2206"/>
      <c r="BC42" s="2206"/>
      <c r="BD42" s="2207"/>
      <c r="BE42" s="1215"/>
    </row>
    <row r="43" spans="1:58" ht="15.75" customHeight="1">
      <c r="A43" s="1208"/>
      <c r="B43" s="2154" t="s">
        <v>2345</v>
      </c>
      <c r="C43" s="2155"/>
      <c r="D43" s="2155"/>
      <c r="E43" s="2155"/>
      <c r="F43" s="2155"/>
      <c r="G43" s="2155"/>
      <c r="H43" s="2155"/>
      <c r="I43" s="2155"/>
      <c r="J43" s="2214"/>
      <c r="K43" s="2214"/>
      <c r="L43" s="2214"/>
      <c r="M43" s="2214"/>
      <c r="N43" s="2214"/>
      <c r="O43" s="2214"/>
      <c r="P43" s="2214"/>
      <c r="Q43" s="2214"/>
      <c r="R43" s="2215"/>
      <c r="S43" s="2215"/>
      <c r="T43" s="2215"/>
      <c r="U43" s="2215"/>
      <c r="V43" s="2215"/>
      <c r="W43" s="2215"/>
      <c r="X43" s="2215"/>
      <c r="Y43" s="2215"/>
      <c r="Z43" s="2215"/>
      <c r="AA43" s="2215"/>
      <c r="AB43" s="2215"/>
      <c r="AC43" s="2215"/>
      <c r="AD43" s="2215"/>
      <c r="AE43" s="2215"/>
      <c r="AF43" s="2215"/>
      <c r="AG43" s="2215"/>
      <c r="AH43" s="2215"/>
      <c r="AI43" s="2215"/>
      <c r="AJ43" s="2215"/>
      <c r="AK43" s="2215"/>
      <c r="AL43" s="2199"/>
      <c r="AM43" s="2200"/>
      <c r="AN43" s="2200"/>
      <c r="AO43" s="2201"/>
      <c r="AP43" s="2199"/>
      <c r="AQ43" s="2200"/>
      <c r="AR43" s="2201"/>
      <c r="AS43" s="2202">
        <f t="shared" si="2"/>
        <v>0</v>
      </c>
      <c r="AT43" s="2203"/>
      <c r="AU43" s="2203"/>
      <c r="AV43" s="2203"/>
      <c r="AW43" s="2203"/>
      <c r="AX43" s="2204"/>
      <c r="AY43" s="2205">
        <f t="shared" si="3"/>
        <v>0</v>
      </c>
      <c r="AZ43" s="2206"/>
      <c r="BA43" s="2206"/>
      <c r="BB43" s="2206"/>
      <c r="BC43" s="2206"/>
      <c r="BD43" s="2207"/>
      <c r="BE43" s="1215"/>
    </row>
    <row r="44" spans="1:58" ht="15.75" customHeight="1">
      <c r="A44" s="1208"/>
      <c r="B44" s="2154" t="s">
        <v>2344</v>
      </c>
      <c r="C44" s="2155"/>
      <c r="D44" s="2155"/>
      <c r="E44" s="2155"/>
      <c r="F44" s="2155"/>
      <c r="G44" s="2155"/>
      <c r="H44" s="2155"/>
      <c r="I44" s="2155"/>
      <c r="J44" s="2214"/>
      <c r="K44" s="2214"/>
      <c r="L44" s="2214"/>
      <c r="M44" s="2214"/>
      <c r="N44" s="2214"/>
      <c r="O44" s="2214"/>
      <c r="P44" s="2214"/>
      <c r="Q44" s="2214"/>
      <c r="R44" s="2215"/>
      <c r="S44" s="2215"/>
      <c r="T44" s="2215"/>
      <c r="U44" s="2215"/>
      <c r="V44" s="2215"/>
      <c r="W44" s="2215"/>
      <c r="X44" s="2215"/>
      <c r="Y44" s="2215"/>
      <c r="Z44" s="2215"/>
      <c r="AA44" s="2215"/>
      <c r="AB44" s="2215"/>
      <c r="AC44" s="2215"/>
      <c r="AD44" s="2215"/>
      <c r="AE44" s="2215"/>
      <c r="AF44" s="2215"/>
      <c r="AG44" s="2215"/>
      <c r="AH44" s="2215"/>
      <c r="AI44" s="2215"/>
      <c r="AJ44" s="2215"/>
      <c r="AK44" s="2215"/>
      <c r="AL44" s="2199"/>
      <c r="AM44" s="2200"/>
      <c r="AN44" s="2200"/>
      <c r="AO44" s="2201"/>
      <c r="AP44" s="2199"/>
      <c r="AQ44" s="2200"/>
      <c r="AR44" s="2201"/>
      <c r="AS44" s="2202">
        <f t="shared" si="2"/>
        <v>0</v>
      </c>
      <c r="AT44" s="2203"/>
      <c r="AU44" s="2203"/>
      <c r="AV44" s="2203"/>
      <c r="AW44" s="2203"/>
      <c r="AX44" s="2204"/>
      <c r="AY44" s="2205">
        <f t="shared" si="3"/>
        <v>0</v>
      </c>
      <c r="AZ44" s="2206"/>
      <c r="BA44" s="2206"/>
      <c r="BB44" s="2206"/>
      <c r="BC44" s="2206"/>
      <c r="BD44" s="2207"/>
      <c r="BE44" s="1215"/>
    </row>
    <row r="45" spans="1:58" ht="15.75" customHeight="1">
      <c r="A45" s="1208"/>
      <c r="B45" s="2154" t="s">
        <v>2343</v>
      </c>
      <c r="C45" s="2155"/>
      <c r="D45" s="2155"/>
      <c r="E45" s="2155"/>
      <c r="F45" s="2155"/>
      <c r="G45" s="2155"/>
      <c r="H45" s="2155"/>
      <c r="I45" s="2155"/>
      <c r="J45" s="2214"/>
      <c r="K45" s="2214"/>
      <c r="L45" s="2214"/>
      <c r="M45" s="2214"/>
      <c r="N45" s="2214"/>
      <c r="O45" s="2214"/>
      <c r="P45" s="2214"/>
      <c r="Q45" s="2214"/>
      <c r="R45" s="2215"/>
      <c r="S45" s="2215"/>
      <c r="T45" s="2215"/>
      <c r="U45" s="2215"/>
      <c r="V45" s="2215"/>
      <c r="W45" s="2215"/>
      <c r="X45" s="2215"/>
      <c r="Y45" s="2215"/>
      <c r="Z45" s="2215"/>
      <c r="AA45" s="2215"/>
      <c r="AB45" s="2215"/>
      <c r="AC45" s="2215"/>
      <c r="AD45" s="2215"/>
      <c r="AE45" s="2215"/>
      <c r="AF45" s="2215"/>
      <c r="AG45" s="2215"/>
      <c r="AH45" s="2215"/>
      <c r="AI45" s="2215"/>
      <c r="AJ45" s="2215"/>
      <c r="AK45" s="2215"/>
      <c r="AL45" s="2199"/>
      <c r="AM45" s="2200"/>
      <c r="AN45" s="2200"/>
      <c r="AO45" s="2201"/>
      <c r="AP45" s="2199"/>
      <c r="AQ45" s="2200"/>
      <c r="AR45" s="2201"/>
      <c r="AS45" s="2202">
        <f t="shared" si="2"/>
        <v>0</v>
      </c>
      <c r="AT45" s="2203"/>
      <c r="AU45" s="2203"/>
      <c r="AV45" s="2203"/>
      <c r="AW45" s="2203"/>
      <c r="AX45" s="2204"/>
      <c r="AY45" s="2205">
        <f t="shared" si="3"/>
        <v>0</v>
      </c>
      <c r="AZ45" s="2206"/>
      <c r="BA45" s="2206"/>
      <c r="BB45" s="2206"/>
      <c r="BC45" s="2206"/>
      <c r="BD45" s="2207"/>
      <c r="BE45" s="1215"/>
    </row>
    <row r="46" spans="1:58" ht="15.75" customHeight="1">
      <c r="A46" s="1208"/>
      <c r="B46" s="2154" t="s">
        <v>2275</v>
      </c>
      <c r="C46" s="2155"/>
      <c r="D46" s="2155"/>
      <c r="E46" s="2155"/>
      <c r="F46" s="2155"/>
      <c r="G46" s="2155"/>
      <c r="H46" s="2155"/>
      <c r="I46" s="2155"/>
      <c r="J46" s="2214"/>
      <c r="K46" s="2214"/>
      <c r="L46" s="2214"/>
      <c r="M46" s="2214"/>
      <c r="N46" s="2214">
        <v>99</v>
      </c>
      <c r="O46" s="2214"/>
      <c r="P46" s="2214"/>
      <c r="Q46" s="2214"/>
      <c r="R46" s="2215"/>
      <c r="S46" s="2215"/>
      <c r="T46" s="2215"/>
      <c r="U46" s="2215"/>
      <c r="V46" s="2215"/>
      <c r="W46" s="2215"/>
      <c r="X46" s="2215"/>
      <c r="Y46" s="2215"/>
      <c r="Z46" s="2215"/>
      <c r="AA46" s="2215"/>
      <c r="AB46" s="2215"/>
      <c r="AC46" s="2215"/>
      <c r="AD46" s="2215"/>
      <c r="AE46" s="2215"/>
      <c r="AF46" s="2215"/>
      <c r="AG46" s="2215"/>
      <c r="AH46" s="2215"/>
      <c r="AI46" s="2215"/>
      <c r="AJ46" s="2215"/>
      <c r="AK46" s="2215"/>
      <c r="AL46" s="2199"/>
      <c r="AM46" s="2200"/>
      <c r="AN46" s="2200"/>
      <c r="AO46" s="2201"/>
      <c r="AP46" s="2199"/>
      <c r="AQ46" s="2200"/>
      <c r="AR46" s="2201"/>
      <c r="AS46" s="2202">
        <f t="shared" si="2"/>
        <v>0</v>
      </c>
      <c r="AT46" s="2203"/>
      <c r="AU46" s="2203"/>
      <c r="AV46" s="2203"/>
      <c r="AW46" s="2203"/>
      <c r="AX46" s="2204"/>
      <c r="AY46" s="2205">
        <f t="shared" si="3"/>
        <v>0</v>
      </c>
      <c r="AZ46" s="2206"/>
      <c r="BA46" s="2206"/>
      <c r="BB46" s="2206"/>
      <c r="BC46" s="2206"/>
      <c r="BD46" s="2207"/>
      <c r="BE46" s="1215"/>
    </row>
    <row r="47" spans="1:58" ht="15.75" customHeight="1" thickBot="1">
      <c r="A47" s="1208"/>
      <c r="B47" s="2208" t="s">
        <v>299</v>
      </c>
      <c r="C47" s="2209"/>
      <c r="D47" s="2209"/>
      <c r="E47" s="2209"/>
      <c r="F47" s="2209"/>
      <c r="G47" s="2209"/>
      <c r="H47" s="2209"/>
      <c r="I47" s="2209"/>
      <c r="J47" s="2210"/>
      <c r="K47" s="2210"/>
      <c r="L47" s="2210"/>
      <c r="M47" s="2210"/>
      <c r="N47" s="2210"/>
      <c r="O47" s="2210"/>
      <c r="P47" s="2210"/>
      <c r="Q47" s="2210"/>
      <c r="R47" s="2195"/>
      <c r="S47" s="2195"/>
      <c r="T47" s="2195"/>
      <c r="U47" s="2195"/>
      <c r="V47" s="2195"/>
      <c r="W47" s="2195"/>
      <c r="X47" s="2195"/>
      <c r="Y47" s="2195"/>
      <c r="Z47" s="2195"/>
      <c r="AA47" s="2195"/>
      <c r="AB47" s="2195"/>
      <c r="AC47" s="2195"/>
      <c r="AD47" s="2195"/>
      <c r="AE47" s="2195"/>
      <c r="AF47" s="2195"/>
      <c r="AG47" s="2195"/>
      <c r="AH47" s="2195"/>
      <c r="AI47" s="2195"/>
      <c r="AJ47" s="2195"/>
      <c r="AK47" s="2195"/>
      <c r="AL47" s="2196"/>
      <c r="AM47" s="2197"/>
      <c r="AN47" s="2197"/>
      <c r="AO47" s="2198"/>
      <c r="AP47" s="2196"/>
      <c r="AQ47" s="2197"/>
      <c r="AR47" s="2198"/>
      <c r="AS47" s="2202">
        <f t="shared" si="2"/>
        <v>0</v>
      </c>
      <c r="AT47" s="2203"/>
      <c r="AU47" s="2203"/>
      <c r="AV47" s="2203"/>
      <c r="AW47" s="2203"/>
      <c r="AX47" s="2204"/>
      <c r="AY47" s="2211">
        <f t="shared" si="3"/>
        <v>0</v>
      </c>
      <c r="AZ47" s="2212"/>
      <c r="BA47" s="2212"/>
      <c r="BB47" s="2212"/>
      <c r="BC47" s="2212"/>
      <c r="BD47" s="2213"/>
      <c r="BE47" s="1215"/>
    </row>
    <row r="48" spans="1:58" ht="15.75" customHeight="1">
      <c r="A48" s="1208"/>
      <c r="B48" s="1217" t="s">
        <v>2342</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2341</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3" t="s">
        <v>2340</v>
      </c>
      <c r="C50" s="2029"/>
      <c r="D50" s="2029"/>
      <c r="E50" s="2029"/>
      <c r="F50" s="2029"/>
      <c r="G50" s="2029"/>
      <c r="H50" s="2029"/>
      <c r="I50" s="2029"/>
      <c r="J50" s="2029"/>
      <c r="K50" s="2029"/>
      <c r="L50" s="2029"/>
      <c r="M50" s="2029"/>
      <c r="N50" s="2029"/>
      <c r="O50" s="2029"/>
      <c r="P50" s="2029"/>
      <c r="Q50" s="2029"/>
      <c r="R50" s="2029"/>
      <c r="S50" s="2029"/>
      <c r="T50" s="2029"/>
      <c r="U50" s="2029"/>
      <c r="V50" s="2029"/>
      <c r="W50" s="2029"/>
      <c r="X50" s="2029"/>
      <c r="Y50" s="2029"/>
      <c r="Z50" s="2029"/>
      <c r="AA50" s="2029"/>
      <c r="AB50" s="2029"/>
      <c r="AC50" s="2029"/>
      <c r="AD50" s="2029"/>
      <c r="AE50" s="2029"/>
      <c r="AF50" s="2029"/>
      <c r="AG50" s="2029"/>
      <c r="AH50" s="2029"/>
      <c r="AI50" s="2029"/>
      <c r="AJ50" s="2029"/>
      <c r="AK50" s="2029"/>
      <c r="AL50" s="2029"/>
      <c r="AM50" s="2029"/>
      <c r="AN50" s="2029"/>
      <c r="AO50" s="2030"/>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07" t="s">
        <v>2333</v>
      </c>
      <c r="C51" s="2101"/>
      <c r="D51" s="2101"/>
      <c r="E51" s="2101"/>
      <c r="F51" s="2101"/>
      <c r="G51" s="2101"/>
      <c r="H51" s="2101"/>
      <c r="I51" s="2101"/>
      <c r="J51" s="2101" t="s">
        <v>2339</v>
      </c>
      <c r="K51" s="2101"/>
      <c r="L51" s="2101"/>
      <c r="M51" s="2101"/>
      <c r="N51" s="2101"/>
      <c r="O51" s="2101"/>
      <c r="P51" s="2101"/>
      <c r="Q51" s="2101"/>
      <c r="R51" s="2193" t="s">
        <v>2338</v>
      </c>
      <c r="S51" s="2193"/>
      <c r="T51" s="2193"/>
      <c r="U51" s="2193"/>
      <c r="V51" s="2193"/>
      <c r="W51" s="2193"/>
      <c r="X51" s="2193"/>
      <c r="Y51" s="2193"/>
      <c r="Z51" s="2193" t="s">
        <v>2337</v>
      </c>
      <c r="AA51" s="2193"/>
      <c r="AB51" s="2193"/>
      <c r="AC51" s="2193"/>
      <c r="AD51" s="2193"/>
      <c r="AE51" s="2193"/>
      <c r="AF51" s="2193"/>
      <c r="AG51" s="2193"/>
      <c r="AH51" s="2193" t="s">
        <v>2336</v>
      </c>
      <c r="AI51" s="2193"/>
      <c r="AJ51" s="2193"/>
      <c r="AK51" s="2193"/>
      <c r="AL51" s="2193"/>
      <c r="AM51" s="2193"/>
      <c r="AN51" s="2193"/>
      <c r="AO51" s="2194"/>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54" t="s">
        <v>2335</v>
      </c>
      <c r="C52" s="2155"/>
      <c r="D52" s="2155"/>
      <c r="E52" s="2155"/>
      <c r="F52" s="2155"/>
      <c r="G52" s="2155"/>
      <c r="H52" s="2155"/>
      <c r="I52" s="2155"/>
      <c r="J52" s="1990">
        <v>0</v>
      </c>
      <c r="K52" s="1990"/>
      <c r="L52" s="1990"/>
      <c r="M52" s="1990"/>
      <c r="N52" s="1990"/>
      <c r="O52" s="1990"/>
      <c r="P52" s="1990"/>
      <c r="Q52" s="1990"/>
      <c r="R52" s="2185">
        <v>0</v>
      </c>
      <c r="S52" s="2185"/>
      <c r="T52" s="2185"/>
      <c r="U52" s="2185"/>
      <c r="V52" s="2185"/>
      <c r="W52" s="2185"/>
      <c r="X52" s="2185"/>
      <c r="Y52" s="2185"/>
      <c r="Z52" s="2186">
        <v>0</v>
      </c>
      <c r="AA52" s="2186"/>
      <c r="AB52" s="2186"/>
      <c r="AC52" s="2186"/>
      <c r="AD52" s="2186"/>
      <c r="AE52" s="2186"/>
      <c r="AF52" s="2186"/>
      <c r="AG52" s="2186"/>
      <c r="AH52" s="2187"/>
      <c r="AI52" s="2187"/>
      <c r="AJ52" s="2187"/>
      <c r="AK52" s="2187"/>
      <c r="AL52" s="2187"/>
      <c r="AM52" s="2187"/>
      <c r="AN52" s="2187"/>
      <c r="AO52" s="2188"/>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54" t="s">
        <v>2334</v>
      </c>
      <c r="C53" s="2155"/>
      <c r="D53" s="2155"/>
      <c r="E53" s="2155"/>
      <c r="F53" s="2155"/>
      <c r="G53" s="2155"/>
      <c r="H53" s="2155"/>
      <c r="I53" s="2155"/>
      <c r="J53" s="1990">
        <v>0</v>
      </c>
      <c r="K53" s="1990"/>
      <c r="L53" s="1990"/>
      <c r="M53" s="1990"/>
      <c r="N53" s="1990"/>
      <c r="O53" s="1990"/>
      <c r="P53" s="1990"/>
      <c r="Q53" s="1990"/>
      <c r="R53" s="2185">
        <v>0</v>
      </c>
      <c r="S53" s="2185"/>
      <c r="T53" s="2185"/>
      <c r="U53" s="2185"/>
      <c r="V53" s="2185"/>
      <c r="W53" s="2185"/>
      <c r="X53" s="2185"/>
      <c r="Y53" s="2185"/>
      <c r="Z53" s="2186">
        <v>0</v>
      </c>
      <c r="AA53" s="2186"/>
      <c r="AB53" s="2186"/>
      <c r="AC53" s="2186"/>
      <c r="AD53" s="2186"/>
      <c r="AE53" s="2186"/>
      <c r="AF53" s="2186"/>
      <c r="AG53" s="2186"/>
      <c r="AH53" s="2187"/>
      <c r="AI53" s="2187"/>
      <c r="AJ53" s="2187"/>
      <c r="AK53" s="2187"/>
      <c r="AL53" s="2187"/>
      <c r="AM53" s="2187"/>
      <c r="AN53" s="2187"/>
      <c r="AO53" s="2188"/>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54"/>
      <c r="C54" s="2155"/>
      <c r="D54" s="2155"/>
      <c r="E54" s="2155"/>
      <c r="F54" s="2155"/>
      <c r="G54" s="2155"/>
      <c r="H54" s="2155"/>
      <c r="I54" s="2155"/>
      <c r="J54" s="1990"/>
      <c r="K54" s="1990"/>
      <c r="L54" s="1990"/>
      <c r="M54" s="1990"/>
      <c r="N54" s="1990"/>
      <c r="O54" s="1990"/>
      <c r="P54" s="1990"/>
      <c r="Q54" s="1990"/>
      <c r="R54" s="2185"/>
      <c r="S54" s="2185"/>
      <c r="T54" s="2185"/>
      <c r="U54" s="2185"/>
      <c r="V54" s="2185"/>
      <c r="W54" s="2185"/>
      <c r="X54" s="2185"/>
      <c r="Y54" s="2185"/>
      <c r="Z54" s="2186"/>
      <c r="AA54" s="2186"/>
      <c r="AB54" s="2186"/>
      <c r="AC54" s="2186"/>
      <c r="AD54" s="2186"/>
      <c r="AE54" s="2186"/>
      <c r="AF54" s="2186"/>
      <c r="AG54" s="2186"/>
      <c r="AH54" s="2187"/>
      <c r="AI54" s="2187"/>
      <c r="AJ54" s="2187"/>
      <c r="AK54" s="2187"/>
      <c r="AL54" s="2187"/>
      <c r="AM54" s="2187"/>
      <c r="AN54" s="2187"/>
      <c r="AO54" s="2188"/>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54"/>
      <c r="C55" s="2155"/>
      <c r="D55" s="2155"/>
      <c r="E55" s="2155"/>
      <c r="F55" s="2155"/>
      <c r="G55" s="2155"/>
      <c r="H55" s="2155"/>
      <c r="I55" s="2155"/>
      <c r="J55" s="1990"/>
      <c r="K55" s="1990"/>
      <c r="L55" s="1990"/>
      <c r="M55" s="1990"/>
      <c r="N55" s="1990"/>
      <c r="O55" s="1990"/>
      <c r="P55" s="1990"/>
      <c r="Q55" s="1990"/>
      <c r="R55" s="2185"/>
      <c r="S55" s="2185"/>
      <c r="T55" s="2185"/>
      <c r="U55" s="2185"/>
      <c r="V55" s="2185"/>
      <c r="W55" s="2185"/>
      <c r="X55" s="2185"/>
      <c r="Y55" s="2185"/>
      <c r="Z55" s="2186"/>
      <c r="AA55" s="2186"/>
      <c r="AB55" s="2186"/>
      <c r="AC55" s="2186"/>
      <c r="AD55" s="2186"/>
      <c r="AE55" s="2186"/>
      <c r="AF55" s="2186"/>
      <c r="AG55" s="2186"/>
      <c r="AH55" s="2187"/>
      <c r="AI55" s="2187"/>
      <c r="AJ55" s="2187"/>
      <c r="AK55" s="2187"/>
      <c r="AL55" s="2187"/>
      <c r="AM55" s="2187"/>
      <c r="AN55" s="2187"/>
      <c r="AO55" s="2188"/>
      <c r="AP55" s="1209"/>
      <c r="AQ55" s="1209"/>
      <c r="AR55" s="1209"/>
      <c r="AS55" s="1209"/>
      <c r="AT55" s="1209" t="s">
        <v>249</v>
      </c>
      <c r="AU55" s="1209"/>
      <c r="AV55" s="1209"/>
      <c r="AW55" s="1209"/>
      <c r="AX55" s="1208"/>
      <c r="AY55" s="1208"/>
      <c r="AZ55" s="1208"/>
      <c r="BA55" s="1208"/>
      <c r="BB55" s="1208"/>
      <c r="BC55" s="1208"/>
      <c r="BD55" s="1208"/>
      <c r="BE55" s="1215"/>
    </row>
    <row r="56" spans="1:77" ht="15.75" customHeight="1">
      <c r="A56" s="1208"/>
      <c r="B56" s="2154"/>
      <c r="C56" s="2155"/>
      <c r="D56" s="2155"/>
      <c r="E56" s="2155"/>
      <c r="F56" s="2155"/>
      <c r="G56" s="2155"/>
      <c r="H56" s="2155"/>
      <c r="I56" s="2155"/>
      <c r="J56" s="1990"/>
      <c r="K56" s="1990"/>
      <c r="L56" s="1990"/>
      <c r="M56" s="1990"/>
      <c r="N56" s="1990"/>
      <c r="O56" s="1990"/>
      <c r="P56" s="1990"/>
      <c r="Q56" s="1990"/>
      <c r="R56" s="2185"/>
      <c r="S56" s="2185"/>
      <c r="T56" s="2185"/>
      <c r="U56" s="2185"/>
      <c r="V56" s="2185"/>
      <c r="W56" s="2185"/>
      <c r="X56" s="2185"/>
      <c r="Y56" s="2185"/>
      <c r="Z56" s="2186"/>
      <c r="AA56" s="2186"/>
      <c r="AB56" s="2186"/>
      <c r="AC56" s="2186"/>
      <c r="AD56" s="2186"/>
      <c r="AE56" s="2186"/>
      <c r="AF56" s="2186"/>
      <c r="AG56" s="2186"/>
      <c r="AH56" s="2187"/>
      <c r="AI56" s="2187"/>
      <c r="AJ56" s="2187"/>
      <c r="AK56" s="2187"/>
      <c r="AL56" s="2187"/>
      <c r="AM56" s="2187"/>
      <c r="AN56" s="2187"/>
      <c r="AO56" s="2188"/>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35" t="s">
        <v>1573</v>
      </c>
      <c r="C57" s="2136"/>
      <c r="D57" s="2136"/>
      <c r="E57" s="2136"/>
      <c r="F57" s="2136"/>
      <c r="G57" s="2136"/>
      <c r="H57" s="2136"/>
      <c r="I57" s="2136"/>
      <c r="J57" s="2136"/>
      <c r="K57" s="2136"/>
      <c r="L57" s="2136"/>
      <c r="M57" s="2136"/>
      <c r="N57" s="2136"/>
      <c r="O57" s="2136"/>
      <c r="P57" s="2136"/>
      <c r="Q57" s="2136"/>
      <c r="R57" s="2189">
        <f>SUM(R52:Y56)</f>
        <v>0</v>
      </c>
      <c r="S57" s="2189"/>
      <c r="T57" s="2189"/>
      <c r="U57" s="2189"/>
      <c r="V57" s="2189"/>
      <c r="W57" s="2189"/>
      <c r="X57" s="2189"/>
      <c r="Y57" s="2189"/>
      <c r="Z57" s="2190">
        <f>SUM(Z52:AG56)</f>
        <v>0</v>
      </c>
      <c r="AA57" s="2190"/>
      <c r="AB57" s="2190"/>
      <c r="AC57" s="2190"/>
      <c r="AD57" s="2190"/>
      <c r="AE57" s="2190"/>
      <c r="AF57" s="2190"/>
      <c r="AG57" s="2190"/>
      <c r="AH57" s="2191"/>
      <c r="AI57" s="2191"/>
      <c r="AJ57" s="2191"/>
      <c r="AK57" s="2191"/>
      <c r="AL57" s="2191"/>
      <c r="AM57" s="2191"/>
      <c r="AN57" s="2191"/>
      <c r="AO57" s="2192"/>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2" t="s">
        <v>2333</v>
      </c>
      <c r="C59" s="2183"/>
      <c r="D59" s="2183"/>
      <c r="E59" s="2183"/>
      <c r="F59" s="2183"/>
      <c r="G59" s="2183"/>
      <c r="H59" s="2183"/>
      <c r="I59" s="2184"/>
      <c r="J59" s="2105" t="s">
        <v>2332</v>
      </c>
      <c r="K59" s="2105"/>
      <c r="L59" s="2105"/>
      <c r="M59" s="2105"/>
      <c r="N59" s="2105"/>
      <c r="O59" s="2105"/>
      <c r="P59" s="2105"/>
      <c r="Q59" s="2105"/>
      <c r="R59" s="2105"/>
      <c r="S59" s="2105"/>
      <c r="T59" s="2105"/>
      <c r="U59" s="2105"/>
      <c r="V59" s="2105"/>
      <c r="W59" s="2105"/>
      <c r="X59" s="2105"/>
      <c r="Y59" s="2105"/>
      <c r="Z59" s="2105"/>
      <c r="AA59" s="2105"/>
      <c r="AB59" s="2105"/>
      <c r="AC59" s="2105"/>
      <c r="AD59" s="2105"/>
      <c r="AE59" s="2105"/>
      <c r="AF59" s="2105"/>
      <c r="AG59" s="2105"/>
      <c r="AH59" s="2105"/>
      <c r="AI59" s="2105"/>
      <c r="AJ59" s="2105"/>
      <c r="AK59" s="2105"/>
      <c r="AL59" s="2105"/>
      <c r="AM59" s="2105"/>
      <c r="AN59" s="2105"/>
      <c r="AO59" s="2105"/>
      <c r="AP59" s="2105"/>
      <c r="AQ59" s="2105"/>
      <c r="AR59" s="2105"/>
      <c r="AS59" s="2105"/>
      <c r="AT59" s="2105"/>
      <c r="AU59" s="2105"/>
      <c r="AV59" s="2105"/>
      <c r="AW59" s="2106"/>
      <c r="AX59" s="1208"/>
      <c r="AY59" s="1208"/>
      <c r="AZ59" s="1208"/>
      <c r="BA59" s="1208"/>
      <c r="BB59" s="1208"/>
      <c r="BC59" s="1208"/>
      <c r="BD59" s="1208"/>
      <c r="BE59" s="1215"/>
    </row>
    <row r="60" spans="1:77" ht="15.75" customHeight="1">
      <c r="A60" s="1208"/>
      <c r="B60" s="2174" t="str">
        <f>IF(B52="", "", B52)</f>
        <v>Services Company 1</v>
      </c>
      <c r="C60" s="2175"/>
      <c r="D60" s="2175"/>
      <c r="E60" s="2175"/>
      <c r="F60" s="2175"/>
      <c r="G60" s="2175"/>
      <c r="H60" s="2175"/>
      <c r="I60" s="2176"/>
      <c r="J60" s="2177"/>
      <c r="K60" s="1993"/>
      <c r="L60" s="1993"/>
      <c r="M60" s="1993"/>
      <c r="N60" s="1993"/>
      <c r="O60" s="1993"/>
      <c r="P60" s="1993"/>
      <c r="Q60" s="1993"/>
      <c r="R60" s="1993"/>
      <c r="S60" s="1993"/>
      <c r="T60" s="1993"/>
      <c r="U60" s="1993"/>
      <c r="V60" s="1993"/>
      <c r="W60" s="1993"/>
      <c r="X60" s="1993"/>
      <c r="Y60" s="1993"/>
      <c r="Z60" s="1993"/>
      <c r="AA60" s="1993"/>
      <c r="AB60" s="1993"/>
      <c r="AC60" s="1993"/>
      <c r="AD60" s="1993"/>
      <c r="AE60" s="1993"/>
      <c r="AF60" s="1993"/>
      <c r="AG60" s="1993"/>
      <c r="AH60" s="1993"/>
      <c r="AI60" s="1993"/>
      <c r="AJ60" s="1993"/>
      <c r="AK60" s="1993"/>
      <c r="AL60" s="1993"/>
      <c r="AM60" s="1993"/>
      <c r="AN60" s="1993"/>
      <c r="AO60" s="1993"/>
      <c r="AP60" s="1993"/>
      <c r="AQ60" s="1993"/>
      <c r="AR60" s="1993"/>
      <c r="AS60" s="1993"/>
      <c r="AT60" s="1993"/>
      <c r="AU60" s="1993"/>
      <c r="AV60" s="1993"/>
      <c r="AW60" s="1994"/>
      <c r="AX60" s="1208"/>
      <c r="AY60" s="1208"/>
      <c r="AZ60" s="1208"/>
      <c r="BA60" s="1208"/>
      <c r="BB60" s="1208"/>
      <c r="BC60" s="1208"/>
      <c r="BD60" s="1208"/>
      <c r="BE60" s="1215"/>
    </row>
    <row r="61" spans="1:77" ht="15.75" customHeight="1">
      <c r="A61" s="1208"/>
      <c r="B61" s="2174" t="str">
        <f>IF(B53="", "", B53)</f>
        <v>Services Company 2</v>
      </c>
      <c r="C61" s="2175"/>
      <c r="D61" s="2175"/>
      <c r="E61" s="2175"/>
      <c r="F61" s="2175"/>
      <c r="G61" s="2175"/>
      <c r="H61" s="2175"/>
      <c r="I61" s="2176"/>
      <c r="J61" s="2177"/>
      <c r="K61" s="1993"/>
      <c r="L61" s="1993"/>
      <c r="M61" s="1993"/>
      <c r="N61" s="1993"/>
      <c r="O61" s="1993"/>
      <c r="P61" s="1993"/>
      <c r="Q61" s="1993"/>
      <c r="R61" s="1993"/>
      <c r="S61" s="1993"/>
      <c r="T61" s="1993"/>
      <c r="U61" s="1993"/>
      <c r="V61" s="1993"/>
      <c r="W61" s="1993"/>
      <c r="X61" s="1993"/>
      <c r="Y61" s="1993"/>
      <c r="Z61" s="1993"/>
      <c r="AA61" s="1993"/>
      <c r="AB61" s="1993"/>
      <c r="AC61" s="1993"/>
      <c r="AD61" s="1993"/>
      <c r="AE61" s="1993"/>
      <c r="AF61" s="1993"/>
      <c r="AG61" s="1993"/>
      <c r="AH61" s="1993"/>
      <c r="AI61" s="1993"/>
      <c r="AJ61" s="1993"/>
      <c r="AK61" s="1993"/>
      <c r="AL61" s="1993"/>
      <c r="AM61" s="1993"/>
      <c r="AN61" s="1993"/>
      <c r="AO61" s="1993"/>
      <c r="AP61" s="1993"/>
      <c r="AQ61" s="1993"/>
      <c r="AR61" s="1993"/>
      <c r="AS61" s="1993"/>
      <c r="AT61" s="1993"/>
      <c r="AU61" s="1993"/>
      <c r="AV61" s="1993"/>
      <c r="AW61" s="1994"/>
      <c r="AX61" s="1208"/>
      <c r="AY61" s="1208"/>
      <c r="AZ61" s="1208"/>
      <c r="BA61" s="1208"/>
      <c r="BB61" s="1208"/>
      <c r="BC61" s="1208"/>
      <c r="BD61" s="1208"/>
      <c r="BE61" s="1215"/>
    </row>
    <row r="62" spans="1:77" ht="15.75" customHeight="1">
      <c r="A62" s="1208"/>
      <c r="B62" s="2174" t="str">
        <f>IF(B54="", "", B54)</f>
        <v/>
      </c>
      <c r="C62" s="2175"/>
      <c r="D62" s="2175"/>
      <c r="E62" s="2175"/>
      <c r="F62" s="2175"/>
      <c r="G62" s="2175"/>
      <c r="H62" s="2175"/>
      <c r="I62" s="2176"/>
      <c r="J62" s="2177"/>
      <c r="K62" s="1993"/>
      <c r="L62" s="1993"/>
      <c r="M62" s="1993"/>
      <c r="N62" s="1993"/>
      <c r="O62" s="1993"/>
      <c r="P62" s="1993"/>
      <c r="Q62" s="1993"/>
      <c r="R62" s="1993"/>
      <c r="S62" s="1993"/>
      <c r="T62" s="1993"/>
      <c r="U62" s="1993"/>
      <c r="V62" s="1993"/>
      <c r="W62" s="1993"/>
      <c r="X62" s="1993"/>
      <c r="Y62" s="1993"/>
      <c r="Z62" s="1993"/>
      <c r="AA62" s="1993"/>
      <c r="AB62" s="1993"/>
      <c r="AC62" s="1993"/>
      <c r="AD62" s="1993"/>
      <c r="AE62" s="1993"/>
      <c r="AF62" s="1993"/>
      <c r="AG62" s="1993"/>
      <c r="AH62" s="1993"/>
      <c r="AI62" s="1993"/>
      <c r="AJ62" s="1993"/>
      <c r="AK62" s="1993"/>
      <c r="AL62" s="1993"/>
      <c r="AM62" s="1993"/>
      <c r="AN62" s="1993"/>
      <c r="AO62" s="1993"/>
      <c r="AP62" s="1993"/>
      <c r="AQ62" s="1993"/>
      <c r="AR62" s="1993"/>
      <c r="AS62" s="1993"/>
      <c r="AT62" s="1993"/>
      <c r="AU62" s="1993"/>
      <c r="AV62" s="1993"/>
      <c r="AW62" s="1994"/>
      <c r="AX62" s="1208"/>
      <c r="AY62" s="1208"/>
      <c r="AZ62" s="1208"/>
      <c r="BA62" s="1208"/>
      <c r="BB62" s="1208"/>
      <c r="BC62" s="1208"/>
      <c r="BD62" s="1208"/>
      <c r="BE62" s="1215"/>
    </row>
    <row r="63" spans="1:77" ht="15.75" customHeight="1">
      <c r="A63" s="1208"/>
      <c r="B63" s="2174" t="str">
        <f>IF(B55="", "", B55)</f>
        <v/>
      </c>
      <c r="C63" s="2175"/>
      <c r="D63" s="2175"/>
      <c r="E63" s="2175"/>
      <c r="F63" s="2175"/>
      <c r="G63" s="2175"/>
      <c r="H63" s="2175"/>
      <c r="I63" s="2176"/>
      <c r="J63" s="2177"/>
      <c r="K63" s="1993"/>
      <c r="L63" s="1993"/>
      <c r="M63" s="1993"/>
      <c r="N63" s="1993"/>
      <c r="O63" s="1993"/>
      <c r="P63" s="1993"/>
      <c r="Q63" s="1993"/>
      <c r="R63" s="1993"/>
      <c r="S63" s="1993"/>
      <c r="T63" s="1993"/>
      <c r="U63" s="1993"/>
      <c r="V63" s="1993"/>
      <c r="W63" s="1993"/>
      <c r="X63" s="1993"/>
      <c r="Y63" s="1993"/>
      <c r="Z63" s="1993"/>
      <c r="AA63" s="1993"/>
      <c r="AB63" s="1993"/>
      <c r="AC63" s="1993"/>
      <c r="AD63" s="1993"/>
      <c r="AE63" s="1993"/>
      <c r="AF63" s="1993"/>
      <c r="AG63" s="1993"/>
      <c r="AH63" s="1993"/>
      <c r="AI63" s="1993"/>
      <c r="AJ63" s="1993"/>
      <c r="AK63" s="1993"/>
      <c r="AL63" s="1993"/>
      <c r="AM63" s="1993"/>
      <c r="AN63" s="1993"/>
      <c r="AO63" s="1993"/>
      <c r="AP63" s="1993"/>
      <c r="AQ63" s="1993"/>
      <c r="AR63" s="1993"/>
      <c r="AS63" s="1993"/>
      <c r="AT63" s="1993"/>
      <c r="AU63" s="1993"/>
      <c r="AV63" s="1993"/>
      <c r="AW63" s="1994"/>
      <c r="AX63" s="1208"/>
      <c r="AY63" s="1208"/>
      <c r="AZ63" s="1208"/>
      <c r="BA63" s="1208"/>
      <c r="BB63" s="1208"/>
      <c r="BC63" s="1208"/>
      <c r="BD63" s="1208"/>
      <c r="BE63" s="1215"/>
    </row>
    <row r="64" spans="1:77" ht="15.75" customHeight="1" thickBot="1">
      <c r="A64" s="1208"/>
      <c r="B64" s="2178" t="str">
        <f>IF(B56="", "", B56)</f>
        <v/>
      </c>
      <c r="C64" s="2179"/>
      <c r="D64" s="2179"/>
      <c r="E64" s="2179"/>
      <c r="F64" s="2179"/>
      <c r="G64" s="2179"/>
      <c r="H64" s="2179"/>
      <c r="I64" s="2180"/>
      <c r="J64" s="2181"/>
      <c r="K64" s="2164"/>
      <c r="L64" s="2164"/>
      <c r="M64" s="2164"/>
      <c r="N64" s="2164"/>
      <c r="O64" s="2164"/>
      <c r="P64" s="2164"/>
      <c r="Q64" s="2164"/>
      <c r="R64" s="2164"/>
      <c r="S64" s="2164"/>
      <c r="T64" s="2164"/>
      <c r="U64" s="2164"/>
      <c r="V64" s="2164"/>
      <c r="W64" s="2164"/>
      <c r="X64" s="2164"/>
      <c r="Y64" s="2164"/>
      <c r="Z64" s="2164"/>
      <c r="AA64" s="2164"/>
      <c r="AB64" s="2164"/>
      <c r="AC64" s="2164"/>
      <c r="AD64" s="2164"/>
      <c r="AE64" s="2164"/>
      <c r="AF64" s="2164"/>
      <c r="AG64" s="2164"/>
      <c r="AH64" s="2164"/>
      <c r="AI64" s="2164"/>
      <c r="AJ64" s="2164"/>
      <c r="AK64" s="2164"/>
      <c r="AL64" s="2164"/>
      <c r="AM64" s="2164"/>
      <c r="AN64" s="2164"/>
      <c r="AO64" s="2164"/>
      <c r="AP64" s="2164"/>
      <c r="AQ64" s="2164"/>
      <c r="AR64" s="2164"/>
      <c r="AS64" s="2164"/>
      <c r="AT64" s="2164"/>
      <c r="AU64" s="2164"/>
      <c r="AV64" s="2164"/>
      <c r="AW64" s="2165"/>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2331</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04" t="s">
        <v>2330</v>
      </c>
      <c r="C68" s="2105"/>
      <c r="D68" s="2105"/>
      <c r="E68" s="2105"/>
      <c r="F68" s="2105"/>
      <c r="G68" s="2105"/>
      <c r="H68" s="2105"/>
      <c r="I68" s="2105"/>
      <c r="J68" s="2105"/>
      <c r="K68" s="2105"/>
      <c r="L68" s="2105"/>
      <c r="M68" s="2105"/>
      <c r="N68" s="2105"/>
      <c r="O68" s="2105"/>
      <c r="P68" s="2105"/>
      <c r="Q68" s="2105"/>
      <c r="R68" s="2105"/>
      <c r="S68" s="2105"/>
      <c r="T68" s="2105"/>
      <c r="U68" s="2105"/>
      <c r="V68" s="2105"/>
      <c r="W68" s="2105"/>
      <c r="X68" s="2105"/>
      <c r="Y68" s="2105"/>
      <c r="Z68" s="2105"/>
      <c r="AA68" s="2106"/>
      <c r="AB68" s="1208"/>
      <c r="AC68" s="2027" t="s">
        <v>2329</v>
      </c>
      <c r="AD68" s="2028"/>
      <c r="AE68" s="2028"/>
      <c r="AF68" s="2028"/>
      <c r="AG68" s="2028"/>
      <c r="AH68" s="2028"/>
      <c r="AI68" s="2028"/>
      <c r="AJ68" s="2028"/>
      <c r="AK68" s="2028"/>
      <c r="AL68" s="2028"/>
      <c r="AM68" s="2028"/>
      <c r="AN68" s="2028"/>
      <c r="AO68" s="2028"/>
      <c r="AP68" s="2028"/>
      <c r="AQ68" s="2028"/>
      <c r="AR68" s="2028"/>
      <c r="AS68" s="2028"/>
      <c r="AT68" s="2028"/>
      <c r="AU68" s="2028"/>
      <c r="AV68" s="2166" t="s">
        <v>668</v>
      </c>
      <c r="AW68" s="2084"/>
      <c r="AX68" s="2084"/>
      <c r="AY68" s="2084"/>
      <c r="AZ68" s="2084"/>
      <c r="BA68" s="2084"/>
      <c r="BB68" s="2084"/>
      <c r="BC68" s="2085"/>
      <c r="BD68" s="1208"/>
      <c r="BE68" s="1215"/>
      <c r="BM68" s="1221" t="s">
        <v>2328</v>
      </c>
    </row>
    <row r="69" spans="1:94" ht="15.75" customHeight="1" thickTop="1" thickBot="1">
      <c r="A69" s="1208"/>
      <c r="B69" s="2167" t="s">
        <v>2327</v>
      </c>
      <c r="C69" s="2168"/>
      <c r="D69" s="2168"/>
      <c r="E69" s="2168"/>
      <c r="F69" s="2168"/>
      <c r="G69" s="2168"/>
      <c r="H69" s="2168"/>
      <c r="I69" s="2168"/>
      <c r="J69" s="2168"/>
      <c r="K69" s="2168"/>
      <c r="L69" s="2168"/>
      <c r="M69" s="2168"/>
      <c r="N69" s="2168"/>
      <c r="O69" s="2169" t="s">
        <v>2326</v>
      </c>
      <c r="P69" s="2170"/>
      <c r="Q69" s="2170"/>
      <c r="R69" s="2170"/>
      <c r="S69" s="2170"/>
      <c r="T69" s="2170"/>
      <c r="U69" s="2170"/>
      <c r="V69" s="2170"/>
      <c r="W69" s="2170"/>
      <c r="X69" s="2170"/>
      <c r="Y69" s="2170"/>
      <c r="Z69" s="2170"/>
      <c r="AA69" s="2171"/>
      <c r="AB69" s="1208"/>
      <c r="AC69" s="2172" t="s">
        <v>2325</v>
      </c>
      <c r="AD69" s="2173"/>
      <c r="AE69" s="2173"/>
      <c r="AF69" s="2173"/>
      <c r="AG69" s="2173"/>
      <c r="AH69" s="2173"/>
      <c r="AI69" s="2173"/>
      <c r="AJ69" s="2173"/>
      <c r="AK69" s="2173"/>
      <c r="AL69" s="2173"/>
      <c r="AM69" s="2173"/>
      <c r="AN69" s="2173"/>
      <c r="AO69" s="2173"/>
      <c r="AP69" s="2173"/>
      <c r="AQ69" s="2173"/>
      <c r="AR69" s="2173"/>
      <c r="AS69" s="2173"/>
      <c r="AT69" s="2173"/>
      <c r="AU69" s="2173"/>
      <c r="AV69" s="2166" t="s">
        <v>668</v>
      </c>
      <c r="AW69" s="2084"/>
      <c r="AX69" s="2084"/>
      <c r="AY69" s="2084"/>
      <c r="AZ69" s="2084"/>
      <c r="BA69" s="2084"/>
      <c r="BB69" s="2084"/>
      <c r="BC69" s="2085"/>
      <c r="BD69" s="1208"/>
      <c r="BE69" s="1215"/>
      <c r="BM69" s="1222" t="s">
        <v>544</v>
      </c>
    </row>
    <row r="70" spans="1:94" ht="15.75" customHeight="1">
      <c r="A70" s="1208"/>
      <c r="B70" s="2149" t="s">
        <v>2324</v>
      </c>
      <c r="C70" s="2150"/>
      <c r="D70" s="2150"/>
      <c r="E70" s="2150"/>
      <c r="F70" s="2150"/>
      <c r="G70" s="2150"/>
      <c r="H70" s="2150"/>
      <c r="I70" s="2150"/>
      <c r="J70" s="2150"/>
      <c r="K70" s="2150"/>
      <c r="L70" s="2150"/>
      <c r="M70" s="2150"/>
      <c r="N70" s="2150"/>
      <c r="O70" s="2035">
        <v>0</v>
      </c>
      <c r="P70" s="2035"/>
      <c r="Q70" s="2035"/>
      <c r="R70" s="2035"/>
      <c r="S70" s="2035"/>
      <c r="T70" s="2035"/>
      <c r="U70" s="2035"/>
      <c r="V70" s="2035"/>
      <c r="W70" s="2035"/>
      <c r="X70" s="2035"/>
      <c r="Y70" s="2035"/>
      <c r="Z70" s="2035"/>
      <c r="AA70" s="2151"/>
      <c r="AB70" s="1208"/>
      <c r="AC70" s="2073" t="s">
        <v>2323</v>
      </c>
      <c r="AD70" s="2029"/>
      <c r="AE70" s="2029"/>
      <c r="AF70" s="2160"/>
      <c r="AG70" s="2160"/>
      <c r="AH70" s="2160"/>
      <c r="AI70" s="2160"/>
      <c r="AJ70" s="2160"/>
      <c r="AK70" s="2160"/>
      <c r="AL70" s="2160"/>
      <c r="AM70" s="2160"/>
      <c r="AN70" s="2160"/>
      <c r="AO70" s="2160"/>
      <c r="AP70" s="2160"/>
      <c r="AQ70" s="2160"/>
      <c r="AR70" s="2160"/>
      <c r="AS70" s="2160"/>
      <c r="AT70" s="2160"/>
      <c r="AU70" s="2161"/>
      <c r="AV70" s="1208"/>
      <c r="AW70" s="1208"/>
      <c r="AX70" s="1208"/>
      <c r="AY70" s="1208"/>
      <c r="AZ70" s="1208"/>
      <c r="BA70" s="1208"/>
      <c r="BB70" s="1208"/>
      <c r="BC70" s="1208"/>
      <c r="BD70" s="1208"/>
      <c r="BE70" s="1215"/>
      <c r="BM70" s="1223" t="s">
        <v>668</v>
      </c>
    </row>
    <row r="71" spans="1:94" ht="15.75" customHeight="1" thickBot="1">
      <c r="A71" s="1208"/>
      <c r="B71" s="2149" t="s">
        <v>2322</v>
      </c>
      <c r="C71" s="2150"/>
      <c r="D71" s="2150"/>
      <c r="E71" s="2150"/>
      <c r="F71" s="2150"/>
      <c r="G71" s="2150"/>
      <c r="H71" s="2150"/>
      <c r="I71" s="2150"/>
      <c r="J71" s="2150"/>
      <c r="K71" s="2150"/>
      <c r="L71" s="2150"/>
      <c r="M71" s="2150"/>
      <c r="N71" s="2150"/>
      <c r="O71" s="2035">
        <v>0</v>
      </c>
      <c r="P71" s="2035"/>
      <c r="Q71" s="2035"/>
      <c r="R71" s="2035"/>
      <c r="S71" s="2035"/>
      <c r="T71" s="2035"/>
      <c r="U71" s="2035"/>
      <c r="V71" s="2035"/>
      <c r="W71" s="2035"/>
      <c r="X71" s="2035"/>
      <c r="Y71" s="2035"/>
      <c r="Z71" s="2035"/>
      <c r="AA71" s="2151"/>
      <c r="AB71" s="1208"/>
      <c r="AC71" s="2162" t="s">
        <v>2321</v>
      </c>
      <c r="AD71" s="2163"/>
      <c r="AE71" s="2163"/>
      <c r="AF71" s="2164"/>
      <c r="AG71" s="2164"/>
      <c r="AH71" s="2164"/>
      <c r="AI71" s="2164"/>
      <c r="AJ71" s="2164"/>
      <c r="AK71" s="2164"/>
      <c r="AL71" s="2164"/>
      <c r="AM71" s="2164"/>
      <c r="AN71" s="2164"/>
      <c r="AO71" s="2164"/>
      <c r="AP71" s="2164"/>
      <c r="AQ71" s="2164"/>
      <c r="AR71" s="2164"/>
      <c r="AS71" s="2164"/>
      <c r="AT71" s="2164"/>
      <c r="AU71" s="2165"/>
      <c r="AV71" s="1208"/>
      <c r="AW71" s="1208"/>
      <c r="AX71" s="1208"/>
      <c r="AY71" s="1208"/>
      <c r="AZ71" s="1208"/>
      <c r="BA71" s="1208"/>
      <c r="BB71" s="1208"/>
      <c r="BC71" s="1208"/>
      <c r="BD71" s="1208"/>
      <c r="BE71" s="1215"/>
      <c r="BM71" s="1204" t="s">
        <v>2320</v>
      </c>
    </row>
    <row r="72" spans="1:94" ht="15.75" customHeight="1">
      <c r="A72" s="1208"/>
      <c r="B72" s="2149" t="s">
        <v>2319</v>
      </c>
      <c r="C72" s="2150"/>
      <c r="D72" s="2150"/>
      <c r="E72" s="2150"/>
      <c r="F72" s="2150"/>
      <c r="G72" s="2150"/>
      <c r="H72" s="2150"/>
      <c r="I72" s="2150"/>
      <c r="J72" s="2150"/>
      <c r="K72" s="2150"/>
      <c r="L72" s="2150"/>
      <c r="M72" s="2150"/>
      <c r="N72" s="2150"/>
      <c r="O72" s="2035">
        <v>0</v>
      </c>
      <c r="P72" s="2035"/>
      <c r="Q72" s="2035"/>
      <c r="R72" s="2035"/>
      <c r="S72" s="2035"/>
      <c r="T72" s="2035"/>
      <c r="U72" s="2035"/>
      <c r="V72" s="2035"/>
      <c r="W72" s="2035"/>
      <c r="X72" s="2035"/>
      <c r="Y72" s="2035"/>
      <c r="Z72" s="2035"/>
      <c r="AA72" s="2151"/>
      <c r="AB72" s="1208"/>
      <c r="AC72" s="2152" t="s">
        <v>2318</v>
      </c>
      <c r="AD72" s="2153"/>
      <c r="AE72" s="2153"/>
      <c r="AF72" s="2153"/>
      <c r="AG72" s="2153"/>
      <c r="AH72" s="2153"/>
      <c r="AI72" s="2153"/>
      <c r="AJ72" s="2153"/>
      <c r="AK72" s="2153"/>
      <c r="AL72" s="2153"/>
      <c r="AM72" s="2153"/>
      <c r="AN72" s="2153"/>
      <c r="AO72" s="2153"/>
      <c r="AP72" s="2153"/>
      <c r="AQ72" s="2153"/>
      <c r="AR72" s="2153"/>
      <c r="AS72" s="2153"/>
      <c r="AT72" s="2153"/>
      <c r="AU72" s="2153"/>
      <c r="AV72" s="2029"/>
      <c r="AW72" s="2029"/>
      <c r="AX72" s="2029"/>
      <c r="AY72" s="2029"/>
      <c r="AZ72" s="2029"/>
      <c r="BA72" s="2029"/>
      <c r="BB72" s="2029"/>
      <c r="BC72" s="2030"/>
      <c r="BD72" s="1208"/>
      <c r="BE72" s="1215"/>
    </row>
    <row r="73" spans="1:94" ht="15.75" customHeight="1">
      <c r="A73" s="1208"/>
      <c r="B73" s="2154" t="s">
        <v>2317</v>
      </c>
      <c r="C73" s="2155"/>
      <c r="D73" s="2155"/>
      <c r="E73" s="2155"/>
      <c r="F73" s="2155"/>
      <c r="G73" s="2155"/>
      <c r="H73" s="2155"/>
      <c r="I73" s="2155"/>
      <c r="J73" s="2155"/>
      <c r="K73" s="2155"/>
      <c r="L73" s="2155"/>
      <c r="M73" s="2155"/>
      <c r="N73" s="2155"/>
      <c r="O73" s="2035">
        <v>0</v>
      </c>
      <c r="P73" s="2035"/>
      <c r="Q73" s="2035"/>
      <c r="R73" s="2035"/>
      <c r="S73" s="2035"/>
      <c r="T73" s="2035"/>
      <c r="U73" s="2035"/>
      <c r="V73" s="2035"/>
      <c r="W73" s="2035"/>
      <c r="X73" s="2035"/>
      <c r="Y73" s="2035"/>
      <c r="Z73" s="2035"/>
      <c r="AA73" s="2151"/>
      <c r="AB73" s="1208"/>
      <c r="AC73" s="2044" t="s">
        <v>2270</v>
      </c>
      <c r="AD73" s="2045"/>
      <c r="AE73" s="2045"/>
      <c r="AF73" s="2045"/>
      <c r="AG73" s="2045"/>
      <c r="AH73" s="2045"/>
      <c r="AI73" s="2045"/>
      <c r="AJ73" s="2045"/>
      <c r="AK73" s="2045"/>
      <c r="AL73" s="2045"/>
      <c r="AM73" s="2045"/>
      <c r="AN73" s="2045"/>
      <c r="AO73" s="2045"/>
      <c r="AP73" s="2045"/>
      <c r="AQ73" s="2045"/>
      <c r="AR73" s="2045"/>
      <c r="AS73" s="2045"/>
      <c r="AT73" s="2045"/>
      <c r="AU73" s="2045"/>
      <c r="AV73" s="2045"/>
      <c r="AW73" s="2045"/>
      <c r="AX73" s="2045"/>
      <c r="AY73" s="2045"/>
      <c r="AZ73" s="2045"/>
      <c r="BA73" s="2045"/>
      <c r="BB73" s="2045"/>
      <c r="BC73" s="2046"/>
      <c r="BD73" s="1208"/>
      <c r="BE73" s="1215"/>
      <c r="CK73" s="1206"/>
      <c r="CL73" s="1206"/>
      <c r="CM73" s="1206"/>
      <c r="CN73" s="1206"/>
      <c r="CO73" s="1206"/>
      <c r="CP73" s="1206"/>
    </row>
    <row r="74" spans="1:94" ht="15.75" customHeight="1">
      <c r="A74" s="1208"/>
      <c r="B74" s="1989"/>
      <c r="C74" s="1990"/>
      <c r="D74" s="1990"/>
      <c r="E74" s="1990"/>
      <c r="F74" s="1990"/>
      <c r="G74" s="1990"/>
      <c r="H74" s="1990"/>
      <c r="I74" s="1990"/>
      <c r="J74" s="1990"/>
      <c r="K74" s="1990"/>
      <c r="L74" s="1990"/>
      <c r="M74" s="1990"/>
      <c r="N74" s="1990"/>
      <c r="O74" s="2035"/>
      <c r="P74" s="2035"/>
      <c r="Q74" s="2035"/>
      <c r="R74" s="2035"/>
      <c r="S74" s="2035"/>
      <c r="T74" s="2035"/>
      <c r="U74" s="2035"/>
      <c r="V74" s="2035"/>
      <c r="W74" s="2035"/>
      <c r="X74" s="2035"/>
      <c r="Y74" s="2035"/>
      <c r="Z74" s="2035"/>
      <c r="AA74" s="2151"/>
      <c r="AB74" s="1208"/>
      <c r="AC74" s="2044"/>
      <c r="AD74" s="2045"/>
      <c r="AE74" s="2045"/>
      <c r="AF74" s="2045"/>
      <c r="AG74" s="2045"/>
      <c r="AH74" s="2045"/>
      <c r="AI74" s="2045"/>
      <c r="AJ74" s="2045"/>
      <c r="AK74" s="2045"/>
      <c r="AL74" s="2045"/>
      <c r="AM74" s="2045"/>
      <c r="AN74" s="2045"/>
      <c r="AO74" s="2045"/>
      <c r="AP74" s="2045"/>
      <c r="AQ74" s="2045"/>
      <c r="AR74" s="2045"/>
      <c r="AS74" s="2045"/>
      <c r="AT74" s="2045"/>
      <c r="AU74" s="2045"/>
      <c r="AV74" s="2045"/>
      <c r="AW74" s="2045"/>
      <c r="AX74" s="2045"/>
      <c r="AY74" s="2045"/>
      <c r="AZ74" s="2045"/>
      <c r="BA74" s="2045"/>
      <c r="BB74" s="2045"/>
      <c r="BC74" s="2046"/>
      <c r="BD74" s="1208"/>
      <c r="BE74" s="1215"/>
      <c r="CK74" s="1206"/>
      <c r="CL74" s="1206"/>
      <c r="CM74" s="1206"/>
      <c r="CN74" s="1206"/>
      <c r="CO74" s="1206"/>
      <c r="CP74" s="1206"/>
    </row>
    <row r="75" spans="1:94" ht="15.75" customHeight="1" thickBot="1">
      <c r="A75" s="1208"/>
      <c r="B75" s="2156" t="s">
        <v>124</v>
      </c>
      <c r="C75" s="2157"/>
      <c r="D75" s="2157"/>
      <c r="E75" s="2157"/>
      <c r="F75" s="2157"/>
      <c r="G75" s="2157"/>
      <c r="H75" s="2157"/>
      <c r="I75" s="2157"/>
      <c r="J75" s="2157"/>
      <c r="K75" s="2157"/>
      <c r="L75" s="2157"/>
      <c r="M75" s="2157"/>
      <c r="N75" s="2157"/>
      <c r="O75" s="2158">
        <f>SUM(O70:AA74)</f>
        <v>0</v>
      </c>
      <c r="P75" s="2158"/>
      <c r="Q75" s="2158"/>
      <c r="R75" s="2158"/>
      <c r="S75" s="2158"/>
      <c r="T75" s="2158"/>
      <c r="U75" s="2158"/>
      <c r="V75" s="2158"/>
      <c r="W75" s="2158"/>
      <c r="X75" s="2158"/>
      <c r="Y75" s="2158"/>
      <c r="Z75" s="2158"/>
      <c r="AA75" s="2159"/>
      <c r="AB75" s="1208"/>
      <c r="AC75" s="2044"/>
      <c r="AD75" s="2045"/>
      <c r="AE75" s="2045"/>
      <c r="AF75" s="2045"/>
      <c r="AG75" s="2045"/>
      <c r="AH75" s="2045"/>
      <c r="AI75" s="2045"/>
      <c r="AJ75" s="2045"/>
      <c r="AK75" s="2045"/>
      <c r="AL75" s="2045"/>
      <c r="AM75" s="2045"/>
      <c r="AN75" s="2045"/>
      <c r="AO75" s="2045"/>
      <c r="AP75" s="2045"/>
      <c r="AQ75" s="2045"/>
      <c r="AR75" s="2045"/>
      <c r="AS75" s="2045"/>
      <c r="AT75" s="2045"/>
      <c r="AU75" s="2045"/>
      <c r="AV75" s="2045"/>
      <c r="AW75" s="2045"/>
      <c r="AX75" s="2045"/>
      <c r="AY75" s="2045"/>
      <c r="AZ75" s="2045"/>
      <c r="BA75" s="2045"/>
      <c r="BB75" s="2045"/>
      <c r="BC75" s="2046"/>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44"/>
      <c r="AD76" s="2045"/>
      <c r="AE76" s="2045"/>
      <c r="AF76" s="2045"/>
      <c r="AG76" s="2045"/>
      <c r="AH76" s="2045"/>
      <c r="AI76" s="2045"/>
      <c r="AJ76" s="2045"/>
      <c r="AK76" s="2045"/>
      <c r="AL76" s="2045"/>
      <c r="AM76" s="2045"/>
      <c r="AN76" s="2045"/>
      <c r="AO76" s="2045"/>
      <c r="AP76" s="2045"/>
      <c r="AQ76" s="2045"/>
      <c r="AR76" s="2045"/>
      <c r="AS76" s="2045"/>
      <c r="AT76" s="2045"/>
      <c r="AU76" s="2045"/>
      <c r="AV76" s="2045"/>
      <c r="AW76" s="2045"/>
      <c r="AX76" s="2045"/>
      <c r="AY76" s="2045"/>
      <c r="AZ76" s="2045"/>
      <c r="BA76" s="2045"/>
      <c r="BB76" s="2045"/>
      <c r="BC76" s="2046"/>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47"/>
      <c r="AD77" s="2048"/>
      <c r="AE77" s="2048"/>
      <c r="AF77" s="2048"/>
      <c r="AG77" s="2048"/>
      <c r="AH77" s="2048"/>
      <c r="AI77" s="2048"/>
      <c r="AJ77" s="2048"/>
      <c r="AK77" s="2048"/>
      <c r="AL77" s="2048"/>
      <c r="AM77" s="2048"/>
      <c r="AN77" s="2048"/>
      <c r="AO77" s="2048"/>
      <c r="AP77" s="2048"/>
      <c r="AQ77" s="2048"/>
      <c r="AR77" s="2048"/>
      <c r="AS77" s="2048"/>
      <c r="AT77" s="2048"/>
      <c r="AU77" s="2048"/>
      <c r="AV77" s="2048"/>
      <c r="AW77" s="2048"/>
      <c r="AX77" s="2048"/>
      <c r="AY77" s="2048"/>
      <c r="AZ77" s="2048"/>
      <c r="BA77" s="2048"/>
      <c r="BB77" s="2048"/>
      <c r="BC77" s="2049"/>
      <c r="BD77" s="1208"/>
      <c r="BE77" s="1215"/>
      <c r="CK77" s="1206"/>
      <c r="CL77" s="1206"/>
      <c r="CM77" s="1206"/>
      <c r="CN77" s="1206"/>
      <c r="CO77" s="1206"/>
      <c r="CP77" s="1206"/>
    </row>
    <row r="78" spans="1:94" ht="15.75" customHeight="1" thickBot="1">
      <c r="A78" s="1208"/>
      <c r="B78" s="1224" t="s">
        <v>2316</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2223</v>
      </c>
      <c r="C79" s="1228"/>
      <c r="D79" s="1228"/>
      <c r="E79" s="1229"/>
      <c r="F79" s="2139"/>
      <c r="G79" s="2140"/>
      <c r="H79" s="2140"/>
      <c r="I79" s="2140"/>
      <c r="J79" s="2140"/>
      <c r="K79" s="2140"/>
      <c r="L79" s="2140"/>
      <c r="M79" s="2140"/>
      <c r="N79" s="2140"/>
      <c r="O79" s="2140"/>
      <c r="P79" s="2140"/>
      <c r="Q79" s="2140"/>
      <c r="R79" s="2140"/>
      <c r="S79" s="2140"/>
      <c r="T79" s="2141"/>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2" t="s">
        <v>2315</v>
      </c>
      <c r="C81" s="2143"/>
      <c r="D81" s="2143"/>
      <c r="E81" s="2143"/>
      <c r="F81" s="2143"/>
      <c r="G81" s="2143"/>
      <c r="H81" s="2143"/>
      <c r="I81" s="2143"/>
      <c r="J81" s="2143"/>
      <c r="K81" s="2143"/>
      <c r="L81" s="2143"/>
      <c r="M81" s="2143"/>
      <c r="N81" s="2143"/>
      <c r="O81" s="2143"/>
      <c r="P81" s="2143"/>
      <c r="Q81" s="2143"/>
      <c r="R81" s="2143"/>
      <c r="S81" s="2143"/>
      <c r="T81" s="2143"/>
      <c r="U81" s="2143"/>
      <c r="V81" s="2143"/>
      <c r="W81" s="2143"/>
      <c r="X81" s="2143"/>
      <c r="Y81" s="2143"/>
      <c r="Z81" s="2143"/>
      <c r="AA81" s="2143"/>
      <c r="AB81" s="2143"/>
      <c r="AC81" s="2143"/>
      <c r="AD81" s="2143"/>
      <c r="AE81" s="2143"/>
      <c r="AF81" s="2143"/>
      <c r="AG81" s="2143"/>
      <c r="AH81" s="2144"/>
      <c r="AI81" s="1208"/>
      <c r="AJ81" s="2126" t="s">
        <v>2621</v>
      </c>
      <c r="AK81" s="2127"/>
      <c r="AL81" s="2127"/>
      <c r="AM81" s="2127"/>
      <c r="AN81" s="2127"/>
      <c r="AO81" s="2127"/>
      <c r="AP81" s="2127"/>
      <c r="AQ81" s="2127"/>
      <c r="AR81" s="2127"/>
      <c r="AS81" s="2127"/>
      <c r="AT81" s="2127"/>
      <c r="AU81" s="2127"/>
      <c r="AV81" s="2127"/>
      <c r="AW81" s="2127"/>
      <c r="AX81" s="2127"/>
      <c r="AY81" s="2145" t="s">
        <v>544</v>
      </c>
      <c r="AZ81" s="2145"/>
      <c r="BA81" s="2145"/>
      <c r="BB81" s="2146"/>
      <c r="BC81" s="1208"/>
      <c r="BD81" s="1208"/>
      <c r="BE81" s="1215"/>
      <c r="CK81" s="1206"/>
      <c r="CL81" s="1206"/>
      <c r="CM81" s="1206"/>
      <c r="CN81" s="1206"/>
      <c r="CO81" s="1206"/>
      <c r="CP81" s="1206"/>
    </row>
    <row r="82" spans="1:94" ht="15.75" customHeight="1">
      <c r="A82" s="1208"/>
      <c r="B82" s="2107"/>
      <c r="C82" s="2101"/>
      <c r="D82" s="2101"/>
      <c r="E82" s="2101"/>
      <c r="F82" s="2101"/>
      <c r="G82" s="2101"/>
      <c r="H82" s="2101"/>
      <c r="I82" s="2101" t="s">
        <v>2309</v>
      </c>
      <c r="J82" s="2101"/>
      <c r="K82" s="2101"/>
      <c r="L82" s="2101"/>
      <c r="M82" s="2101"/>
      <c r="N82" s="2101"/>
      <c r="O82" s="2101" t="s">
        <v>2286</v>
      </c>
      <c r="P82" s="2101"/>
      <c r="Q82" s="2101"/>
      <c r="R82" s="2101"/>
      <c r="S82" s="2101"/>
      <c r="T82" s="2101"/>
      <c r="U82" s="2101"/>
      <c r="V82" s="2137" t="s">
        <v>2285</v>
      </c>
      <c r="W82" s="2137"/>
      <c r="X82" s="2137"/>
      <c r="Y82" s="2137"/>
      <c r="Z82" s="2137"/>
      <c r="AA82" s="2137"/>
      <c r="AB82" s="2074" t="s">
        <v>2308</v>
      </c>
      <c r="AC82" s="2074"/>
      <c r="AD82" s="2074"/>
      <c r="AE82" s="2074"/>
      <c r="AF82" s="2074"/>
      <c r="AG82" s="2074"/>
      <c r="AH82" s="2138"/>
      <c r="AI82" s="1208"/>
      <c r="AJ82" s="2129"/>
      <c r="AK82" s="2130"/>
      <c r="AL82" s="2130"/>
      <c r="AM82" s="2130"/>
      <c r="AN82" s="2130"/>
      <c r="AO82" s="2130"/>
      <c r="AP82" s="2130"/>
      <c r="AQ82" s="2130"/>
      <c r="AR82" s="2130"/>
      <c r="AS82" s="2130"/>
      <c r="AT82" s="2130"/>
      <c r="AU82" s="2130"/>
      <c r="AV82" s="2130"/>
      <c r="AW82" s="2130"/>
      <c r="AX82" s="2130"/>
      <c r="AY82" s="2147"/>
      <c r="AZ82" s="2147"/>
      <c r="BA82" s="2147"/>
      <c r="BB82" s="2148"/>
      <c r="BC82" s="1208"/>
      <c r="BD82" s="1208"/>
      <c r="BE82" s="1215"/>
      <c r="CK82" s="1206"/>
      <c r="CL82" s="1206"/>
      <c r="CM82" s="1206"/>
      <c r="CN82" s="1206"/>
      <c r="CO82" s="1206"/>
      <c r="CP82" s="1206"/>
    </row>
    <row r="83" spans="1:94" ht="15.75" customHeight="1">
      <c r="A83" s="1208"/>
      <c r="B83" s="2107"/>
      <c r="C83" s="2101"/>
      <c r="D83" s="2101"/>
      <c r="E83" s="2101"/>
      <c r="F83" s="2101"/>
      <c r="G83" s="2101"/>
      <c r="H83" s="2101"/>
      <c r="I83" s="2101"/>
      <c r="J83" s="2101"/>
      <c r="K83" s="2101"/>
      <c r="L83" s="2101"/>
      <c r="M83" s="2101"/>
      <c r="N83" s="2101"/>
      <c r="O83" s="2101"/>
      <c r="P83" s="2101"/>
      <c r="Q83" s="2101"/>
      <c r="R83" s="2101"/>
      <c r="S83" s="2101"/>
      <c r="T83" s="2101"/>
      <c r="U83" s="2101"/>
      <c r="V83" s="2137"/>
      <c r="W83" s="2137"/>
      <c r="X83" s="2137"/>
      <c r="Y83" s="2137"/>
      <c r="Z83" s="2137"/>
      <c r="AA83" s="2137"/>
      <c r="AB83" s="2074"/>
      <c r="AC83" s="2074"/>
      <c r="AD83" s="2074"/>
      <c r="AE83" s="2074"/>
      <c r="AF83" s="2074"/>
      <c r="AG83" s="2074"/>
      <c r="AH83" s="2138"/>
      <c r="AI83" s="1208"/>
      <c r="AJ83" s="2129"/>
      <c r="AK83" s="2130"/>
      <c r="AL83" s="2130"/>
      <c r="AM83" s="2130"/>
      <c r="AN83" s="2130"/>
      <c r="AO83" s="2130"/>
      <c r="AP83" s="2130"/>
      <c r="AQ83" s="2130"/>
      <c r="AR83" s="2130"/>
      <c r="AS83" s="2130"/>
      <c r="AT83" s="2130"/>
      <c r="AU83" s="2130"/>
      <c r="AV83" s="2130"/>
      <c r="AW83" s="2130"/>
      <c r="AX83" s="2130"/>
      <c r="AY83" s="2147"/>
      <c r="AZ83" s="2147"/>
      <c r="BA83" s="2147"/>
      <c r="BB83" s="2148"/>
      <c r="BC83" s="1208"/>
      <c r="BD83" s="1208"/>
      <c r="BE83" s="1215"/>
      <c r="CK83" s="1206"/>
      <c r="CL83" s="1206"/>
      <c r="CM83" s="1206"/>
      <c r="CN83" s="1206"/>
      <c r="CO83" s="1206"/>
      <c r="CP83" s="1206"/>
    </row>
    <row r="84" spans="1:94" ht="15.75" customHeight="1">
      <c r="A84" s="1208"/>
      <c r="B84" s="2107" t="s">
        <v>2307</v>
      </c>
      <c r="C84" s="2101"/>
      <c r="D84" s="2101"/>
      <c r="E84" s="2101"/>
      <c r="F84" s="2101"/>
      <c r="G84" s="2101"/>
      <c r="H84" s="2101"/>
      <c r="I84" s="2077">
        <v>0</v>
      </c>
      <c r="J84" s="2077"/>
      <c r="K84" s="2077"/>
      <c r="L84" s="2077"/>
      <c r="M84" s="2077"/>
      <c r="N84" s="2077"/>
      <c r="O84" s="2077">
        <v>0</v>
      </c>
      <c r="P84" s="2077"/>
      <c r="Q84" s="2077"/>
      <c r="R84" s="2077"/>
      <c r="S84" s="2077"/>
      <c r="T84" s="2077"/>
      <c r="U84" s="2077"/>
      <c r="V84" s="2077">
        <v>0</v>
      </c>
      <c r="W84" s="2077"/>
      <c r="X84" s="2077"/>
      <c r="Y84" s="2077"/>
      <c r="Z84" s="2077"/>
      <c r="AA84" s="2077"/>
      <c r="AB84" s="2077">
        <v>0</v>
      </c>
      <c r="AC84" s="2077"/>
      <c r="AD84" s="2077"/>
      <c r="AE84" s="2077"/>
      <c r="AF84" s="2077"/>
      <c r="AG84" s="2077"/>
      <c r="AH84" s="2078"/>
      <c r="AI84" s="1208"/>
      <c r="AJ84" s="2129"/>
      <c r="AK84" s="2130"/>
      <c r="AL84" s="2130"/>
      <c r="AM84" s="2130"/>
      <c r="AN84" s="2130"/>
      <c r="AO84" s="2130"/>
      <c r="AP84" s="2130"/>
      <c r="AQ84" s="2130"/>
      <c r="AR84" s="2130"/>
      <c r="AS84" s="2130"/>
      <c r="AT84" s="2130"/>
      <c r="AU84" s="2130"/>
      <c r="AV84" s="2130"/>
      <c r="AW84" s="2130"/>
      <c r="AX84" s="2130"/>
      <c r="AY84" s="2147"/>
      <c r="AZ84" s="2147"/>
      <c r="BA84" s="2147"/>
      <c r="BB84" s="2148"/>
      <c r="BC84" s="1208"/>
      <c r="BD84" s="1208"/>
      <c r="BE84" s="1215"/>
      <c r="CK84" s="1206"/>
      <c r="CL84" s="1206"/>
      <c r="CM84" s="1206"/>
      <c r="CN84" s="1206"/>
      <c r="CO84" s="1206"/>
      <c r="CP84" s="1206"/>
    </row>
    <row r="85" spans="1:94" ht="15.75" customHeight="1">
      <c r="A85" s="1208"/>
      <c r="B85" s="2107" t="s">
        <v>2306</v>
      </c>
      <c r="C85" s="2101"/>
      <c r="D85" s="2101"/>
      <c r="E85" s="2101"/>
      <c r="F85" s="2101"/>
      <c r="G85" s="2101"/>
      <c r="H85" s="2101"/>
      <c r="I85" s="2077">
        <v>0</v>
      </c>
      <c r="J85" s="2077"/>
      <c r="K85" s="2077"/>
      <c r="L85" s="2077"/>
      <c r="M85" s="2077"/>
      <c r="N85" s="2077"/>
      <c r="O85" s="2077">
        <v>0</v>
      </c>
      <c r="P85" s="2077"/>
      <c r="Q85" s="2077"/>
      <c r="R85" s="2077"/>
      <c r="S85" s="2077"/>
      <c r="T85" s="2077"/>
      <c r="U85" s="2077"/>
      <c r="V85" s="2077">
        <v>0</v>
      </c>
      <c r="W85" s="2077"/>
      <c r="X85" s="2077"/>
      <c r="Y85" s="2077"/>
      <c r="Z85" s="2077"/>
      <c r="AA85" s="2077"/>
      <c r="AB85" s="2077">
        <v>0</v>
      </c>
      <c r="AC85" s="2077"/>
      <c r="AD85" s="2077"/>
      <c r="AE85" s="2077"/>
      <c r="AF85" s="2077"/>
      <c r="AG85" s="2077"/>
      <c r="AH85" s="2078"/>
      <c r="AI85" s="1208"/>
      <c r="AJ85" s="2044" t="s">
        <v>2312</v>
      </c>
      <c r="AK85" s="2045"/>
      <c r="AL85" s="2045"/>
      <c r="AM85" s="2045"/>
      <c r="AN85" s="2045"/>
      <c r="AO85" s="2045"/>
      <c r="AP85" s="2045"/>
      <c r="AQ85" s="2045"/>
      <c r="AR85" s="2045"/>
      <c r="AS85" s="2045"/>
      <c r="AT85" s="2045"/>
      <c r="AU85" s="2045"/>
      <c r="AV85" s="2045"/>
      <c r="AW85" s="2045"/>
      <c r="AX85" s="2045"/>
      <c r="AY85" s="2045"/>
      <c r="AZ85" s="2045"/>
      <c r="BA85" s="2045"/>
      <c r="BB85" s="2046"/>
      <c r="BC85" s="1208"/>
      <c r="BD85" s="1208"/>
      <c r="BE85" s="1215"/>
      <c r="CK85" s="1206"/>
      <c r="CL85" s="1206"/>
      <c r="CM85" s="1206"/>
      <c r="CN85" s="1206"/>
      <c r="CO85" s="1206"/>
      <c r="CP85" s="1206"/>
    </row>
    <row r="86" spans="1:94" ht="15.75" customHeight="1" thickBot="1">
      <c r="A86" s="1208"/>
      <c r="B86" s="2135" t="s">
        <v>2305</v>
      </c>
      <c r="C86" s="2136"/>
      <c r="D86" s="2136"/>
      <c r="E86" s="2136"/>
      <c r="F86" s="2136"/>
      <c r="G86" s="2136"/>
      <c r="H86" s="2136"/>
      <c r="I86" s="2071">
        <v>0</v>
      </c>
      <c r="J86" s="2071"/>
      <c r="K86" s="2071"/>
      <c r="L86" s="2071"/>
      <c r="M86" s="2071"/>
      <c r="N86" s="2071"/>
      <c r="O86" s="2071">
        <v>0</v>
      </c>
      <c r="P86" s="2071"/>
      <c r="Q86" s="2071"/>
      <c r="R86" s="2071"/>
      <c r="S86" s="2071"/>
      <c r="T86" s="2071"/>
      <c r="U86" s="2071"/>
      <c r="V86" s="2071">
        <v>0</v>
      </c>
      <c r="W86" s="2071"/>
      <c r="X86" s="2071"/>
      <c r="Y86" s="2071"/>
      <c r="Z86" s="2071"/>
      <c r="AA86" s="2071"/>
      <c r="AB86" s="2071">
        <v>0</v>
      </c>
      <c r="AC86" s="2071"/>
      <c r="AD86" s="2071"/>
      <c r="AE86" s="2071"/>
      <c r="AF86" s="2071"/>
      <c r="AG86" s="2071"/>
      <c r="AH86" s="2072"/>
      <c r="AI86" s="1208"/>
      <c r="AJ86" s="2047"/>
      <c r="AK86" s="2048"/>
      <c r="AL86" s="2048"/>
      <c r="AM86" s="2048"/>
      <c r="AN86" s="2048"/>
      <c r="AO86" s="2048"/>
      <c r="AP86" s="2048"/>
      <c r="AQ86" s="2048"/>
      <c r="AR86" s="2048"/>
      <c r="AS86" s="2048"/>
      <c r="AT86" s="2048"/>
      <c r="AU86" s="2048"/>
      <c r="AV86" s="2048"/>
      <c r="AW86" s="2048"/>
      <c r="AX86" s="2048"/>
      <c r="AY86" s="2048"/>
      <c r="AZ86" s="2048"/>
      <c r="BA86" s="2048"/>
      <c r="BB86" s="2049"/>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2314</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2223</v>
      </c>
      <c r="C90" s="1234"/>
      <c r="D90" s="1235"/>
      <c r="E90" s="1236"/>
      <c r="F90" s="2139"/>
      <c r="G90" s="2140"/>
      <c r="H90" s="2140"/>
      <c r="I90" s="2140"/>
      <c r="J90" s="2140"/>
      <c r="K90" s="2140"/>
      <c r="L90" s="2140"/>
      <c r="M90" s="2140"/>
      <c r="N90" s="2140"/>
      <c r="O90" s="2140"/>
      <c r="P90" s="2140"/>
      <c r="Q90" s="2140"/>
      <c r="R90" s="2140"/>
      <c r="S90" s="2140"/>
      <c r="T90" s="2141"/>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2" t="s">
        <v>2313</v>
      </c>
      <c r="C92" s="2143"/>
      <c r="D92" s="2143"/>
      <c r="E92" s="2143"/>
      <c r="F92" s="2143"/>
      <c r="G92" s="2143"/>
      <c r="H92" s="2143"/>
      <c r="I92" s="2143"/>
      <c r="J92" s="2143"/>
      <c r="K92" s="2143"/>
      <c r="L92" s="2143"/>
      <c r="M92" s="2143"/>
      <c r="N92" s="2143"/>
      <c r="O92" s="2143"/>
      <c r="P92" s="2143"/>
      <c r="Q92" s="2143"/>
      <c r="R92" s="2143"/>
      <c r="S92" s="2143"/>
      <c r="T92" s="2143"/>
      <c r="U92" s="2143"/>
      <c r="V92" s="2143"/>
      <c r="W92" s="2143"/>
      <c r="X92" s="2143"/>
      <c r="Y92" s="2143"/>
      <c r="Z92" s="2143"/>
      <c r="AA92" s="2143"/>
      <c r="AB92" s="2143"/>
      <c r="AC92" s="2143"/>
      <c r="AD92" s="2143"/>
      <c r="AE92" s="2143"/>
      <c r="AF92" s="2143"/>
      <c r="AG92" s="2143"/>
      <c r="AH92" s="2144"/>
      <c r="AI92" s="1208"/>
      <c r="AJ92" s="2126" t="s">
        <v>2622</v>
      </c>
      <c r="AK92" s="2127"/>
      <c r="AL92" s="2127"/>
      <c r="AM92" s="2127"/>
      <c r="AN92" s="2127"/>
      <c r="AO92" s="2127"/>
      <c r="AP92" s="2127"/>
      <c r="AQ92" s="2127"/>
      <c r="AR92" s="2127"/>
      <c r="AS92" s="2127"/>
      <c r="AT92" s="2127"/>
      <c r="AU92" s="2127"/>
      <c r="AV92" s="2127"/>
      <c r="AW92" s="2127"/>
      <c r="AX92" s="2127"/>
      <c r="AY92" s="2145" t="s">
        <v>544</v>
      </c>
      <c r="AZ92" s="2145"/>
      <c r="BA92" s="2145"/>
      <c r="BB92" s="2146"/>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07"/>
      <c r="C93" s="2101"/>
      <c r="D93" s="2101"/>
      <c r="E93" s="2101"/>
      <c r="F93" s="2101"/>
      <c r="G93" s="2101"/>
      <c r="H93" s="2101"/>
      <c r="I93" s="2101" t="s">
        <v>2309</v>
      </c>
      <c r="J93" s="2101"/>
      <c r="K93" s="2101"/>
      <c r="L93" s="2101"/>
      <c r="M93" s="2101"/>
      <c r="N93" s="2101"/>
      <c r="O93" s="2101" t="s">
        <v>2286</v>
      </c>
      <c r="P93" s="2101"/>
      <c r="Q93" s="2101"/>
      <c r="R93" s="2101"/>
      <c r="S93" s="2101"/>
      <c r="T93" s="2101"/>
      <c r="U93" s="2101"/>
      <c r="V93" s="2137" t="s">
        <v>2285</v>
      </c>
      <c r="W93" s="2137"/>
      <c r="X93" s="2137"/>
      <c r="Y93" s="2137"/>
      <c r="Z93" s="2137"/>
      <c r="AA93" s="2137"/>
      <c r="AB93" s="2074" t="s">
        <v>2308</v>
      </c>
      <c r="AC93" s="2074"/>
      <c r="AD93" s="2074"/>
      <c r="AE93" s="2074"/>
      <c r="AF93" s="2074"/>
      <c r="AG93" s="2074"/>
      <c r="AH93" s="2138"/>
      <c r="AI93" s="1208"/>
      <c r="AJ93" s="2129"/>
      <c r="AK93" s="2130"/>
      <c r="AL93" s="2130"/>
      <c r="AM93" s="2130"/>
      <c r="AN93" s="2130"/>
      <c r="AO93" s="2130"/>
      <c r="AP93" s="2130"/>
      <c r="AQ93" s="2130"/>
      <c r="AR93" s="2130"/>
      <c r="AS93" s="2130"/>
      <c r="AT93" s="2130"/>
      <c r="AU93" s="2130"/>
      <c r="AV93" s="2130"/>
      <c r="AW93" s="2130"/>
      <c r="AX93" s="2130"/>
      <c r="AY93" s="2147"/>
      <c r="AZ93" s="2147"/>
      <c r="BA93" s="2147"/>
      <c r="BB93" s="2148"/>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07"/>
      <c r="C94" s="2101"/>
      <c r="D94" s="2101"/>
      <c r="E94" s="2101"/>
      <c r="F94" s="2101"/>
      <c r="G94" s="2101"/>
      <c r="H94" s="2101"/>
      <c r="I94" s="2101"/>
      <c r="J94" s="2101"/>
      <c r="K94" s="2101"/>
      <c r="L94" s="2101"/>
      <c r="M94" s="2101"/>
      <c r="N94" s="2101"/>
      <c r="O94" s="2101"/>
      <c r="P94" s="2101"/>
      <c r="Q94" s="2101"/>
      <c r="R94" s="2101"/>
      <c r="S94" s="2101"/>
      <c r="T94" s="2101"/>
      <c r="U94" s="2101"/>
      <c r="V94" s="2137"/>
      <c r="W94" s="2137"/>
      <c r="X94" s="2137"/>
      <c r="Y94" s="2137"/>
      <c r="Z94" s="2137"/>
      <c r="AA94" s="2137"/>
      <c r="AB94" s="2074"/>
      <c r="AC94" s="2074"/>
      <c r="AD94" s="2074"/>
      <c r="AE94" s="2074"/>
      <c r="AF94" s="2074"/>
      <c r="AG94" s="2074"/>
      <c r="AH94" s="2138"/>
      <c r="AI94" s="1208"/>
      <c r="AJ94" s="2129"/>
      <c r="AK94" s="2130"/>
      <c r="AL94" s="2130"/>
      <c r="AM94" s="2130"/>
      <c r="AN94" s="2130"/>
      <c r="AO94" s="2130"/>
      <c r="AP94" s="2130"/>
      <c r="AQ94" s="2130"/>
      <c r="AR94" s="2130"/>
      <c r="AS94" s="2130"/>
      <c r="AT94" s="2130"/>
      <c r="AU94" s="2130"/>
      <c r="AV94" s="2130"/>
      <c r="AW94" s="2130"/>
      <c r="AX94" s="2130"/>
      <c r="AY94" s="2147"/>
      <c r="AZ94" s="2147"/>
      <c r="BA94" s="2147"/>
      <c r="BB94" s="2148"/>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07" t="s">
        <v>2307</v>
      </c>
      <c r="C95" s="2101"/>
      <c r="D95" s="2101"/>
      <c r="E95" s="2101"/>
      <c r="F95" s="2101"/>
      <c r="G95" s="2101"/>
      <c r="H95" s="2101"/>
      <c r="I95" s="2077">
        <v>0</v>
      </c>
      <c r="J95" s="2077"/>
      <c r="K95" s="2077"/>
      <c r="L95" s="2077"/>
      <c r="M95" s="2077"/>
      <c r="N95" s="2077"/>
      <c r="O95" s="2077">
        <v>0</v>
      </c>
      <c r="P95" s="2077"/>
      <c r="Q95" s="2077"/>
      <c r="R95" s="2077"/>
      <c r="S95" s="2077"/>
      <c r="T95" s="2077"/>
      <c r="U95" s="2077"/>
      <c r="V95" s="2077">
        <v>0</v>
      </c>
      <c r="W95" s="2077"/>
      <c r="X95" s="2077"/>
      <c r="Y95" s="2077"/>
      <c r="Z95" s="2077"/>
      <c r="AA95" s="2077"/>
      <c r="AB95" s="2077">
        <v>0</v>
      </c>
      <c r="AC95" s="2077"/>
      <c r="AD95" s="2077"/>
      <c r="AE95" s="2077"/>
      <c r="AF95" s="2077"/>
      <c r="AG95" s="2077"/>
      <c r="AH95" s="2078"/>
      <c r="AI95" s="1208"/>
      <c r="AJ95" s="2129"/>
      <c r="AK95" s="2130"/>
      <c r="AL95" s="2130"/>
      <c r="AM95" s="2130"/>
      <c r="AN95" s="2130"/>
      <c r="AO95" s="2130"/>
      <c r="AP95" s="2130"/>
      <c r="AQ95" s="2130"/>
      <c r="AR95" s="2130"/>
      <c r="AS95" s="2130"/>
      <c r="AT95" s="2130"/>
      <c r="AU95" s="2130"/>
      <c r="AV95" s="2130"/>
      <c r="AW95" s="2130"/>
      <c r="AX95" s="2130"/>
      <c r="AY95" s="2147"/>
      <c r="AZ95" s="2147"/>
      <c r="BA95" s="2147"/>
      <c r="BB95" s="2148"/>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07" t="s">
        <v>2306</v>
      </c>
      <c r="C96" s="2101"/>
      <c r="D96" s="2101"/>
      <c r="E96" s="2101"/>
      <c r="F96" s="2101"/>
      <c r="G96" s="2101"/>
      <c r="H96" s="2101"/>
      <c r="I96" s="2077">
        <v>0</v>
      </c>
      <c r="J96" s="2077"/>
      <c r="K96" s="2077"/>
      <c r="L96" s="2077"/>
      <c r="M96" s="2077"/>
      <c r="N96" s="2077"/>
      <c r="O96" s="2077">
        <v>0</v>
      </c>
      <c r="P96" s="2077"/>
      <c r="Q96" s="2077"/>
      <c r="R96" s="2077"/>
      <c r="S96" s="2077"/>
      <c r="T96" s="2077"/>
      <c r="U96" s="2077"/>
      <c r="V96" s="2077">
        <v>0</v>
      </c>
      <c r="W96" s="2077"/>
      <c r="X96" s="2077"/>
      <c r="Y96" s="2077"/>
      <c r="Z96" s="2077"/>
      <c r="AA96" s="2077"/>
      <c r="AB96" s="2077">
        <v>0</v>
      </c>
      <c r="AC96" s="2077"/>
      <c r="AD96" s="2077"/>
      <c r="AE96" s="2077"/>
      <c r="AF96" s="2077"/>
      <c r="AG96" s="2077"/>
      <c r="AH96" s="2078"/>
      <c r="AI96" s="1208"/>
      <c r="AJ96" s="2044" t="s">
        <v>2312</v>
      </c>
      <c r="AK96" s="2045"/>
      <c r="AL96" s="2045"/>
      <c r="AM96" s="2045"/>
      <c r="AN96" s="2045"/>
      <c r="AO96" s="2045"/>
      <c r="AP96" s="2045"/>
      <c r="AQ96" s="2045"/>
      <c r="AR96" s="2045"/>
      <c r="AS96" s="2045"/>
      <c r="AT96" s="2045"/>
      <c r="AU96" s="2045"/>
      <c r="AV96" s="2045"/>
      <c r="AW96" s="2045"/>
      <c r="AX96" s="2045"/>
      <c r="AY96" s="2045"/>
      <c r="AZ96" s="2045"/>
      <c r="BA96" s="2045"/>
      <c r="BB96" s="2046"/>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35" t="s">
        <v>2305</v>
      </c>
      <c r="C97" s="2136"/>
      <c r="D97" s="2136"/>
      <c r="E97" s="2136"/>
      <c r="F97" s="2136"/>
      <c r="G97" s="2136"/>
      <c r="H97" s="2136"/>
      <c r="I97" s="2071">
        <v>0</v>
      </c>
      <c r="J97" s="2071"/>
      <c r="K97" s="2071"/>
      <c r="L97" s="2071"/>
      <c r="M97" s="2071"/>
      <c r="N97" s="2071"/>
      <c r="O97" s="2071">
        <v>0</v>
      </c>
      <c r="P97" s="2071"/>
      <c r="Q97" s="2071"/>
      <c r="R97" s="2071"/>
      <c r="S97" s="2071"/>
      <c r="T97" s="2071"/>
      <c r="U97" s="2071"/>
      <c r="V97" s="2071">
        <v>0</v>
      </c>
      <c r="W97" s="2071"/>
      <c r="X97" s="2071"/>
      <c r="Y97" s="2071"/>
      <c r="Z97" s="2071"/>
      <c r="AA97" s="2071"/>
      <c r="AB97" s="2071">
        <v>0</v>
      </c>
      <c r="AC97" s="2071"/>
      <c r="AD97" s="2071"/>
      <c r="AE97" s="2071"/>
      <c r="AF97" s="2071"/>
      <c r="AG97" s="2071"/>
      <c r="AH97" s="2072"/>
      <c r="AI97" s="1208"/>
      <c r="AJ97" s="2047"/>
      <c r="AK97" s="2048"/>
      <c r="AL97" s="2048"/>
      <c r="AM97" s="2048"/>
      <c r="AN97" s="2048"/>
      <c r="AO97" s="2048"/>
      <c r="AP97" s="2048"/>
      <c r="AQ97" s="2048"/>
      <c r="AR97" s="2048"/>
      <c r="AS97" s="2048"/>
      <c r="AT97" s="2048"/>
      <c r="AU97" s="2048"/>
      <c r="AV97" s="2048"/>
      <c r="AW97" s="2048"/>
      <c r="AX97" s="2048"/>
      <c r="AY97" s="2048"/>
      <c r="AZ97" s="2048"/>
      <c r="BA97" s="2048"/>
      <c r="BB97" s="2049"/>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2311</v>
      </c>
      <c r="C99" s="1225"/>
      <c r="D99" s="1226"/>
      <c r="E99" s="1226"/>
      <c r="F99" s="1239"/>
      <c r="G99" s="1239"/>
      <c r="H99" s="1239"/>
      <c r="I99" s="1239"/>
      <c r="J99" s="1239"/>
      <c r="K99" s="1239"/>
      <c r="L99" s="1239"/>
      <c r="M99" s="1239"/>
      <c r="N99" s="1239"/>
      <c r="O99" s="1240"/>
      <c r="P99" s="1239"/>
      <c r="Q99" s="1239"/>
      <c r="R99" s="1240"/>
      <c r="S99" s="1208" t="s">
        <v>249</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2223</v>
      </c>
      <c r="C100" s="1234"/>
      <c r="D100" s="1241"/>
      <c r="E100" s="1242"/>
      <c r="F100" s="2098"/>
      <c r="G100" s="2099"/>
      <c r="H100" s="2099"/>
      <c r="I100" s="2099"/>
      <c r="J100" s="2099"/>
      <c r="K100" s="2099"/>
      <c r="L100" s="2099"/>
      <c r="M100" s="2099"/>
      <c r="N100" s="2099"/>
      <c r="O100" s="2099"/>
      <c r="P100" s="2099"/>
      <c r="Q100" s="2099"/>
      <c r="R100" s="2100"/>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27" t="s">
        <v>2310</v>
      </c>
      <c r="C102" s="2028"/>
      <c r="D102" s="2028"/>
      <c r="E102" s="2028"/>
      <c r="F102" s="2028"/>
      <c r="G102" s="2028"/>
      <c r="H102" s="2028"/>
      <c r="I102" s="2028"/>
      <c r="J102" s="2028"/>
      <c r="K102" s="2028"/>
      <c r="L102" s="2028"/>
      <c r="M102" s="2028"/>
      <c r="N102" s="2028"/>
      <c r="O102" s="2028"/>
      <c r="P102" s="2028"/>
      <c r="Q102" s="2028"/>
      <c r="R102" s="2028"/>
      <c r="S102" s="2028"/>
      <c r="T102" s="2028"/>
      <c r="U102" s="2028"/>
      <c r="V102" s="2028"/>
      <c r="W102" s="2028"/>
      <c r="X102" s="2028"/>
      <c r="Y102" s="2028"/>
      <c r="Z102" s="2028"/>
      <c r="AA102" s="2028"/>
      <c r="AB102" s="2028"/>
      <c r="AC102" s="2028"/>
      <c r="AD102" s="2028"/>
      <c r="AE102" s="2028"/>
      <c r="AF102" s="2028"/>
      <c r="AG102" s="2028"/>
      <c r="AH102" s="2037"/>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07"/>
      <c r="C103" s="2101"/>
      <c r="D103" s="2101"/>
      <c r="E103" s="2101"/>
      <c r="F103" s="2101"/>
      <c r="G103" s="2101"/>
      <c r="H103" s="2101"/>
      <c r="I103" s="2101" t="s">
        <v>2309</v>
      </c>
      <c r="J103" s="2101"/>
      <c r="K103" s="2101"/>
      <c r="L103" s="2101"/>
      <c r="M103" s="2101"/>
      <c r="N103" s="2101"/>
      <c r="O103" s="2101" t="s">
        <v>2286</v>
      </c>
      <c r="P103" s="2101"/>
      <c r="Q103" s="2101"/>
      <c r="R103" s="2101"/>
      <c r="S103" s="2101"/>
      <c r="T103" s="2101"/>
      <c r="U103" s="2101"/>
      <c r="V103" s="2137" t="s">
        <v>2285</v>
      </c>
      <c r="W103" s="2137"/>
      <c r="X103" s="2137"/>
      <c r="Y103" s="2137"/>
      <c r="Z103" s="2137"/>
      <c r="AA103" s="2137"/>
      <c r="AB103" s="2074" t="s">
        <v>2308</v>
      </c>
      <c r="AC103" s="2074"/>
      <c r="AD103" s="2074"/>
      <c r="AE103" s="2074"/>
      <c r="AF103" s="2074"/>
      <c r="AG103" s="2074"/>
      <c r="AH103" s="2138"/>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07"/>
      <c r="C104" s="2101"/>
      <c r="D104" s="2101"/>
      <c r="E104" s="2101"/>
      <c r="F104" s="2101"/>
      <c r="G104" s="2101"/>
      <c r="H104" s="2101"/>
      <c r="I104" s="2101"/>
      <c r="J104" s="2101"/>
      <c r="K104" s="2101"/>
      <c r="L104" s="2101"/>
      <c r="M104" s="2101"/>
      <c r="N104" s="2101"/>
      <c r="O104" s="2101"/>
      <c r="P104" s="2101"/>
      <c r="Q104" s="2101"/>
      <c r="R104" s="2101"/>
      <c r="S104" s="2101"/>
      <c r="T104" s="2101"/>
      <c r="U104" s="2101"/>
      <c r="V104" s="2137"/>
      <c r="W104" s="2137"/>
      <c r="X104" s="2137"/>
      <c r="Y104" s="2137"/>
      <c r="Z104" s="2137"/>
      <c r="AA104" s="2137"/>
      <c r="AB104" s="2074"/>
      <c r="AC104" s="2074"/>
      <c r="AD104" s="2074"/>
      <c r="AE104" s="2074"/>
      <c r="AF104" s="2074"/>
      <c r="AG104" s="2074"/>
      <c r="AH104" s="2138"/>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07" t="s">
        <v>2307</v>
      </c>
      <c r="C105" s="2101"/>
      <c r="D105" s="2101"/>
      <c r="E105" s="2101"/>
      <c r="F105" s="2101"/>
      <c r="G105" s="2101"/>
      <c r="H105" s="2101"/>
      <c r="I105" s="2077">
        <v>0</v>
      </c>
      <c r="J105" s="2077"/>
      <c r="K105" s="2077"/>
      <c r="L105" s="2077"/>
      <c r="M105" s="2077"/>
      <c r="N105" s="2077"/>
      <c r="O105" s="2077">
        <v>0</v>
      </c>
      <c r="P105" s="2077"/>
      <c r="Q105" s="2077"/>
      <c r="R105" s="2077"/>
      <c r="S105" s="2077"/>
      <c r="T105" s="2077"/>
      <c r="U105" s="2077"/>
      <c r="V105" s="2077">
        <v>0</v>
      </c>
      <c r="W105" s="2077"/>
      <c r="X105" s="2077"/>
      <c r="Y105" s="2077"/>
      <c r="Z105" s="2077"/>
      <c r="AA105" s="2077"/>
      <c r="AB105" s="2077">
        <v>0</v>
      </c>
      <c r="AC105" s="2077"/>
      <c r="AD105" s="2077"/>
      <c r="AE105" s="2077"/>
      <c r="AF105" s="2077"/>
      <c r="AG105" s="2077"/>
      <c r="AH105" s="2078"/>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07" t="s">
        <v>2306</v>
      </c>
      <c r="C106" s="2101"/>
      <c r="D106" s="2101"/>
      <c r="E106" s="2101"/>
      <c r="F106" s="2101"/>
      <c r="G106" s="2101"/>
      <c r="H106" s="2101"/>
      <c r="I106" s="2077">
        <v>0</v>
      </c>
      <c r="J106" s="2077"/>
      <c r="K106" s="2077"/>
      <c r="L106" s="2077"/>
      <c r="M106" s="2077"/>
      <c r="N106" s="2077"/>
      <c r="O106" s="2077">
        <v>0</v>
      </c>
      <c r="P106" s="2077"/>
      <c r="Q106" s="2077"/>
      <c r="R106" s="2077"/>
      <c r="S106" s="2077"/>
      <c r="T106" s="2077"/>
      <c r="U106" s="2077"/>
      <c r="V106" s="2077">
        <v>0</v>
      </c>
      <c r="W106" s="2077"/>
      <c r="X106" s="2077"/>
      <c r="Y106" s="2077"/>
      <c r="Z106" s="2077"/>
      <c r="AA106" s="2077"/>
      <c r="AB106" s="2077">
        <v>0</v>
      </c>
      <c r="AC106" s="2077"/>
      <c r="AD106" s="2077"/>
      <c r="AE106" s="2077"/>
      <c r="AF106" s="2077"/>
      <c r="AG106" s="2077"/>
      <c r="AH106" s="2078"/>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35" t="s">
        <v>2305</v>
      </c>
      <c r="C107" s="2136"/>
      <c r="D107" s="2136"/>
      <c r="E107" s="2136"/>
      <c r="F107" s="2136"/>
      <c r="G107" s="2136"/>
      <c r="H107" s="2136"/>
      <c r="I107" s="2071">
        <v>0</v>
      </c>
      <c r="J107" s="2071"/>
      <c r="K107" s="2071"/>
      <c r="L107" s="2071"/>
      <c r="M107" s="2071"/>
      <c r="N107" s="2071"/>
      <c r="O107" s="2071">
        <v>0</v>
      </c>
      <c r="P107" s="2071"/>
      <c r="Q107" s="2071"/>
      <c r="R107" s="2071"/>
      <c r="S107" s="2071"/>
      <c r="T107" s="2071"/>
      <c r="U107" s="2071"/>
      <c r="V107" s="2071">
        <v>0</v>
      </c>
      <c r="W107" s="2071"/>
      <c r="X107" s="2071"/>
      <c r="Y107" s="2071"/>
      <c r="Z107" s="2071"/>
      <c r="AA107" s="2071"/>
      <c r="AB107" s="2071">
        <v>0</v>
      </c>
      <c r="AC107" s="2071"/>
      <c r="AD107" s="2071"/>
      <c r="AE107" s="2071"/>
      <c r="AF107" s="2071"/>
      <c r="AG107" s="2071"/>
      <c r="AH107" s="2072"/>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249</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2304</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2223</v>
      </c>
      <c r="C110" s="1234"/>
      <c r="D110" s="1241"/>
      <c r="E110" s="1242"/>
      <c r="F110" s="2098"/>
      <c r="G110" s="2099"/>
      <c r="H110" s="2099"/>
      <c r="I110" s="2099"/>
      <c r="J110" s="2099"/>
      <c r="K110" s="2099"/>
      <c r="L110" s="2099"/>
      <c r="M110" s="2099"/>
      <c r="N110" s="2099"/>
      <c r="O110" s="2099"/>
      <c r="P110" s="2099"/>
      <c r="Q110" s="2099"/>
      <c r="R110" s="2100"/>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8" t="s">
        <v>2623</v>
      </c>
      <c r="C112" s="2109"/>
      <c r="D112" s="2109"/>
      <c r="E112" s="2109"/>
      <c r="F112" s="2109"/>
      <c r="G112" s="2109"/>
      <c r="H112" s="2109"/>
      <c r="I112" s="2109"/>
      <c r="J112" s="2109"/>
      <c r="K112" s="2109"/>
      <c r="L112" s="2109"/>
      <c r="M112" s="2109"/>
      <c r="N112" s="2109"/>
      <c r="O112" s="2109"/>
      <c r="P112" s="2109"/>
      <c r="Q112" s="2109"/>
      <c r="R112" s="2109"/>
      <c r="S112" s="2109"/>
      <c r="T112" s="2109"/>
      <c r="U112" s="2112" t="s">
        <v>544</v>
      </c>
      <c r="V112" s="2112"/>
      <c r="W112" s="2112"/>
      <c r="X112" s="2113"/>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0"/>
      <c r="C113" s="2111"/>
      <c r="D113" s="2111"/>
      <c r="E113" s="2111"/>
      <c r="F113" s="2111"/>
      <c r="G113" s="2111"/>
      <c r="H113" s="2111"/>
      <c r="I113" s="2111"/>
      <c r="J113" s="2111"/>
      <c r="K113" s="2111"/>
      <c r="L113" s="2111"/>
      <c r="M113" s="2111"/>
      <c r="N113" s="2111"/>
      <c r="O113" s="2111"/>
      <c r="P113" s="2111"/>
      <c r="Q113" s="2111"/>
      <c r="R113" s="2111"/>
      <c r="S113" s="2111"/>
      <c r="T113" s="2111"/>
      <c r="U113" s="2114"/>
      <c r="V113" s="2114"/>
      <c r="W113" s="2114"/>
      <c r="X113" s="2115"/>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0"/>
      <c r="C114" s="2111"/>
      <c r="D114" s="2111"/>
      <c r="E114" s="2111"/>
      <c r="F114" s="2111"/>
      <c r="G114" s="2111"/>
      <c r="H114" s="2111"/>
      <c r="I114" s="2111"/>
      <c r="J114" s="2111"/>
      <c r="K114" s="2111"/>
      <c r="L114" s="2111"/>
      <c r="M114" s="2111"/>
      <c r="N114" s="2111"/>
      <c r="O114" s="2111"/>
      <c r="P114" s="2111"/>
      <c r="Q114" s="2111"/>
      <c r="R114" s="2111"/>
      <c r="S114" s="2111"/>
      <c r="T114" s="2111"/>
      <c r="U114" s="2114"/>
      <c r="V114" s="2114"/>
      <c r="W114" s="2114"/>
      <c r="X114" s="2115"/>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0"/>
      <c r="C115" s="2111"/>
      <c r="D115" s="2111"/>
      <c r="E115" s="2111"/>
      <c r="F115" s="2111"/>
      <c r="G115" s="2111"/>
      <c r="H115" s="2111"/>
      <c r="I115" s="2111"/>
      <c r="J115" s="2111"/>
      <c r="K115" s="2111"/>
      <c r="L115" s="2111"/>
      <c r="M115" s="2111"/>
      <c r="N115" s="2111"/>
      <c r="O115" s="2111"/>
      <c r="P115" s="2111"/>
      <c r="Q115" s="2111"/>
      <c r="R115" s="2111"/>
      <c r="S115" s="2111"/>
      <c r="T115" s="2111"/>
      <c r="U115" s="2114"/>
      <c r="V115" s="2114"/>
      <c r="W115" s="2114"/>
      <c r="X115" s="2115"/>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6" t="s">
        <v>2623</v>
      </c>
      <c r="C116" s="2117"/>
      <c r="D116" s="2117"/>
      <c r="E116" s="2117"/>
      <c r="F116" s="2117"/>
      <c r="G116" s="2117"/>
      <c r="H116" s="2117"/>
      <c r="I116" s="2117"/>
      <c r="J116" s="2117"/>
      <c r="K116" s="2117"/>
      <c r="L116" s="2117"/>
      <c r="M116" s="2117"/>
      <c r="N116" s="2117"/>
      <c r="O116" s="2117"/>
      <c r="P116" s="2117"/>
      <c r="Q116" s="2117"/>
      <c r="R116" s="2117"/>
      <c r="S116" s="2117"/>
      <c r="T116" s="2117"/>
      <c r="U116" s="2120" t="s">
        <v>544</v>
      </c>
      <c r="V116" s="2120"/>
      <c r="W116" s="2120"/>
      <c r="X116" s="2121"/>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8"/>
      <c r="C117" s="2119"/>
      <c r="D117" s="2119"/>
      <c r="E117" s="2119"/>
      <c r="F117" s="2119"/>
      <c r="G117" s="2119"/>
      <c r="H117" s="2119"/>
      <c r="I117" s="2119"/>
      <c r="J117" s="2119"/>
      <c r="K117" s="2119"/>
      <c r="L117" s="2119"/>
      <c r="M117" s="2119"/>
      <c r="N117" s="2119"/>
      <c r="O117" s="2119"/>
      <c r="P117" s="2119"/>
      <c r="Q117" s="2119"/>
      <c r="R117" s="2119"/>
      <c r="S117" s="2119"/>
      <c r="T117" s="2119"/>
      <c r="U117" s="2122"/>
      <c r="V117" s="2122"/>
      <c r="W117" s="2122"/>
      <c r="X117" s="2123"/>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2303</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26" t="s">
        <v>2302</v>
      </c>
      <c r="Y120" s="2127"/>
      <c r="Z120" s="2127"/>
      <c r="AA120" s="2127"/>
      <c r="AB120" s="2127"/>
      <c r="AC120" s="2127"/>
      <c r="AD120" s="2127"/>
      <c r="AE120" s="2127"/>
      <c r="AF120" s="2127"/>
      <c r="AG120" s="2127"/>
      <c r="AH120" s="2127"/>
      <c r="AI120" s="2127"/>
      <c r="AJ120" s="2127"/>
      <c r="AK120" s="2127"/>
      <c r="AL120" s="2127"/>
      <c r="AM120" s="2127"/>
      <c r="AN120" s="2127"/>
      <c r="AO120" s="2127"/>
      <c r="AP120" s="2127"/>
      <c r="AQ120" s="2127"/>
      <c r="AR120" s="2127"/>
      <c r="AS120" s="2127"/>
      <c r="AT120" s="2127"/>
      <c r="AU120" s="2127"/>
      <c r="AV120" s="2127"/>
      <c r="AW120" s="2127"/>
      <c r="AX120" s="2127"/>
      <c r="AY120" s="2127"/>
      <c r="AZ120" s="2127"/>
      <c r="BA120" s="2127"/>
      <c r="BB120" s="2127"/>
      <c r="BC120" s="2127"/>
      <c r="BD120" s="2128"/>
      <c r="BE120" s="1215"/>
    </row>
    <row r="121" spans="1:57" ht="15.75" customHeight="1">
      <c r="A121" s="1208"/>
      <c r="B121" s="2132" t="s">
        <v>1564</v>
      </c>
      <c r="C121" s="2133"/>
      <c r="D121" s="2133"/>
      <c r="E121" s="2133"/>
      <c r="F121" s="2133"/>
      <c r="G121" s="2133"/>
      <c r="H121" s="2133"/>
      <c r="I121" s="2133"/>
      <c r="J121" s="2133"/>
      <c r="K121" s="2133"/>
      <c r="L121" s="2133"/>
      <c r="M121" s="2133"/>
      <c r="N121" s="2133"/>
      <c r="O121" s="2133"/>
      <c r="P121" s="2133"/>
      <c r="Q121" s="2133"/>
      <c r="R121" s="2133"/>
      <c r="S121" s="2133"/>
      <c r="T121" s="2133"/>
      <c r="U121" s="2134"/>
      <c r="V121" s="1208"/>
      <c r="W121" s="1208"/>
      <c r="X121" s="2129"/>
      <c r="Y121" s="2130"/>
      <c r="Z121" s="2130"/>
      <c r="AA121" s="2130"/>
      <c r="AB121" s="2130"/>
      <c r="AC121" s="2130"/>
      <c r="AD121" s="2130"/>
      <c r="AE121" s="2130"/>
      <c r="AF121" s="2130"/>
      <c r="AG121" s="2130"/>
      <c r="AH121" s="2130"/>
      <c r="AI121" s="2130"/>
      <c r="AJ121" s="2130"/>
      <c r="AK121" s="2130"/>
      <c r="AL121" s="2130"/>
      <c r="AM121" s="2130"/>
      <c r="AN121" s="2130"/>
      <c r="AO121" s="2130"/>
      <c r="AP121" s="2130"/>
      <c r="AQ121" s="2130"/>
      <c r="AR121" s="2130"/>
      <c r="AS121" s="2130"/>
      <c r="AT121" s="2130"/>
      <c r="AU121" s="2130"/>
      <c r="AV121" s="2130"/>
      <c r="AW121" s="2130"/>
      <c r="AX121" s="2130"/>
      <c r="AY121" s="2130"/>
      <c r="AZ121" s="2130"/>
      <c r="BA121" s="2130"/>
      <c r="BB121" s="2130"/>
      <c r="BC121" s="2130"/>
      <c r="BD121" s="2131"/>
      <c r="BE121" s="1215"/>
    </row>
    <row r="122" spans="1:57" ht="15.75" customHeight="1">
      <c r="A122" s="1208"/>
      <c r="B122" s="2041"/>
      <c r="C122" s="2042"/>
      <c r="D122" s="2042"/>
      <c r="E122" s="2042"/>
      <c r="F122" s="2042"/>
      <c r="G122" s="2042"/>
      <c r="H122" s="2042"/>
      <c r="I122" s="2101" t="s">
        <v>2301</v>
      </c>
      <c r="J122" s="2101"/>
      <c r="K122" s="2101"/>
      <c r="L122" s="2101"/>
      <c r="M122" s="2101"/>
      <c r="N122" s="2101"/>
      <c r="O122" s="2102" t="s">
        <v>2300</v>
      </c>
      <c r="P122" s="2102"/>
      <c r="Q122" s="2102"/>
      <c r="R122" s="2102"/>
      <c r="S122" s="2102"/>
      <c r="T122" s="2102"/>
      <c r="U122" s="2103"/>
      <c r="V122" s="1208"/>
      <c r="W122" s="1208"/>
      <c r="X122" s="2044" t="s">
        <v>2270</v>
      </c>
      <c r="Y122" s="2045"/>
      <c r="Z122" s="2045"/>
      <c r="AA122" s="2045"/>
      <c r="AB122" s="2045"/>
      <c r="AC122" s="2045"/>
      <c r="AD122" s="2045"/>
      <c r="AE122" s="2045"/>
      <c r="AF122" s="2045"/>
      <c r="AG122" s="2045"/>
      <c r="AH122" s="2045"/>
      <c r="AI122" s="2045"/>
      <c r="AJ122" s="2045"/>
      <c r="AK122" s="2045"/>
      <c r="AL122" s="2045"/>
      <c r="AM122" s="2045"/>
      <c r="AN122" s="2045"/>
      <c r="AO122" s="2045"/>
      <c r="AP122" s="2045"/>
      <c r="AQ122" s="2045"/>
      <c r="AR122" s="2045"/>
      <c r="AS122" s="2045"/>
      <c r="AT122" s="2045"/>
      <c r="AU122" s="2045"/>
      <c r="AV122" s="2045"/>
      <c r="AW122" s="2045"/>
      <c r="AX122" s="2045"/>
      <c r="AY122" s="2045"/>
      <c r="AZ122" s="2045"/>
      <c r="BA122" s="2045"/>
      <c r="BB122" s="2045"/>
      <c r="BC122" s="2045"/>
      <c r="BD122" s="2046"/>
      <c r="BE122" s="1215"/>
    </row>
    <row r="123" spans="1:57" ht="15.75" customHeight="1">
      <c r="A123" s="1208"/>
      <c r="B123" s="2075" t="s">
        <v>2284</v>
      </c>
      <c r="C123" s="2076"/>
      <c r="D123" s="2076"/>
      <c r="E123" s="2076"/>
      <c r="F123" s="2076"/>
      <c r="G123" s="2076"/>
      <c r="H123" s="2076"/>
      <c r="I123" s="2077">
        <v>0</v>
      </c>
      <c r="J123" s="2077"/>
      <c r="K123" s="2077"/>
      <c r="L123" s="2077"/>
      <c r="M123" s="2077"/>
      <c r="N123" s="2077"/>
      <c r="O123" s="2077">
        <v>0</v>
      </c>
      <c r="P123" s="2077"/>
      <c r="Q123" s="2077"/>
      <c r="R123" s="2077"/>
      <c r="S123" s="2077"/>
      <c r="T123" s="2077"/>
      <c r="U123" s="2078"/>
      <c r="V123" s="1208"/>
      <c r="W123" s="1208"/>
      <c r="X123" s="2044"/>
      <c r="Y123" s="2045"/>
      <c r="Z123" s="2045"/>
      <c r="AA123" s="2045"/>
      <c r="AB123" s="2045"/>
      <c r="AC123" s="2045"/>
      <c r="AD123" s="2045"/>
      <c r="AE123" s="2045"/>
      <c r="AF123" s="2045"/>
      <c r="AG123" s="2045"/>
      <c r="AH123" s="2045"/>
      <c r="AI123" s="2045"/>
      <c r="AJ123" s="2045"/>
      <c r="AK123" s="2045"/>
      <c r="AL123" s="2045"/>
      <c r="AM123" s="2045"/>
      <c r="AN123" s="2045"/>
      <c r="AO123" s="2045"/>
      <c r="AP123" s="2045"/>
      <c r="AQ123" s="2045"/>
      <c r="AR123" s="2045"/>
      <c r="AS123" s="2045"/>
      <c r="AT123" s="2045"/>
      <c r="AU123" s="2045"/>
      <c r="AV123" s="2045"/>
      <c r="AW123" s="2045"/>
      <c r="AX123" s="2045"/>
      <c r="AY123" s="2045"/>
      <c r="AZ123" s="2045"/>
      <c r="BA123" s="2045"/>
      <c r="BB123" s="2045"/>
      <c r="BC123" s="2045"/>
      <c r="BD123" s="2046"/>
      <c r="BE123" s="1215"/>
    </row>
    <row r="124" spans="1:57" ht="15.75" customHeight="1" thickBot="1">
      <c r="A124" s="1208"/>
      <c r="B124" s="2069" t="s">
        <v>2283</v>
      </c>
      <c r="C124" s="2070"/>
      <c r="D124" s="2070"/>
      <c r="E124" s="2070"/>
      <c r="F124" s="2070"/>
      <c r="G124" s="2070"/>
      <c r="H124" s="2070"/>
      <c r="I124" s="2071">
        <v>0</v>
      </c>
      <c r="J124" s="2071"/>
      <c r="K124" s="2071"/>
      <c r="L124" s="2071"/>
      <c r="M124" s="2071"/>
      <c r="N124" s="2071"/>
      <c r="O124" s="2124"/>
      <c r="P124" s="2124"/>
      <c r="Q124" s="2124"/>
      <c r="R124" s="2124"/>
      <c r="S124" s="2124"/>
      <c r="T124" s="2124"/>
      <c r="U124" s="2125"/>
      <c r="V124" s="1208"/>
      <c r="W124" s="1208"/>
      <c r="X124" s="2044"/>
      <c r="Y124" s="2045"/>
      <c r="Z124" s="2045"/>
      <c r="AA124" s="2045"/>
      <c r="AB124" s="2045"/>
      <c r="AC124" s="2045"/>
      <c r="AD124" s="2045"/>
      <c r="AE124" s="2045"/>
      <c r="AF124" s="2045"/>
      <c r="AG124" s="2045"/>
      <c r="AH124" s="2045"/>
      <c r="AI124" s="2045"/>
      <c r="AJ124" s="2045"/>
      <c r="AK124" s="2045"/>
      <c r="AL124" s="2045"/>
      <c r="AM124" s="2045"/>
      <c r="AN124" s="2045"/>
      <c r="AO124" s="2045"/>
      <c r="AP124" s="2045"/>
      <c r="AQ124" s="2045"/>
      <c r="AR124" s="2045"/>
      <c r="AS124" s="2045"/>
      <c r="AT124" s="2045"/>
      <c r="AU124" s="2045"/>
      <c r="AV124" s="2045"/>
      <c r="AW124" s="2045"/>
      <c r="AX124" s="2045"/>
      <c r="AY124" s="2045"/>
      <c r="AZ124" s="2045"/>
      <c r="BA124" s="2045"/>
      <c r="BB124" s="2045"/>
      <c r="BC124" s="2045"/>
      <c r="BD124" s="2046"/>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44"/>
      <c r="Y125" s="2045"/>
      <c r="Z125" s="2045"/>
      <c r="AA125" s="2045"/>
      <c r="AB125" s="2045"/>
      <c r="AC125" s="2045"/>
      <c r="AD125" s="2045"/>
      <c r="AE125" s="2045"/>
      <c r="AF125" s="2045"/>
      <c r="AG125" s="2045"/>
      <c r="AH125" s="2045"/>
      <c r="AI125" s="2045"/>
      <c r="AJ125" s="2045"/>
      <c r="AK125" s="2045"/>
      <c r="AL125" s="2045"/>
      <c r="AM125" s="2045"/>
      <c r="AN125" s="2045"/>
      <c r="AO125" s="2045"/>
      <c r="AP125" s="2045"/>
      <c r="AQ125" s="2045"/>
      <c r="AR125" s="2045"/>
      <c r="AS125" s="2045"/>
      <c r="AT125" s="2045"/>
      <c r="AU125" s="2045"/>
      <c r="AV125" s="2045"/>
      <c r="AW125" s="2045"/>
      <c r="AX125" s="2045"/>
      <c r="AY125" s="2045"/>
      <c r="AZ125" s="2045"/>
      <c r="BA125" s="2045"/>
      <c r="BB125" s="2045"/>
      <c r="BC125" s="2045"/>
      <c r="BD125" s="2046"/>
      <c r="BE125" s="1215"/>
    </row>
    <row r="126" spans="1:57" ht="15.75" customHeight="1" thickBot="1">
      <c r="A126" s="1208"/>
      <c r="B126" s="1231" t="s">
        <v>2299</v>
      </c>
      <c r="C126" s="1232"/>
      <c r="D126" s="1232"/>
      <c r="E126" s="1232"/>
      <c r="F126" s="1232"/>
      <c r="G126" s="1232"/>
      <c r="H126" s="1232"/>
      <c r="I126" s="1232"/>
      <c r="J126" s="1232"/>
      <c r="K126" s="1232"/>
      <c r="L126" s="1232"/>
      <c r="M126" s="1232"/>
      <c r="N126" s="1232"/>
      <c r="O126" s="1232"/>
      <c r="P126" s="1233"/>
      <c r="Q126" s="1216" t="s">
        <v>249</v>
      </c>
      <c r="R126" s="1216" t="s">
        <v>249</v>
      </c>
      <c r="S126" s="1208"/>
      <c r="T126" s="1208"/>
      <c r="U126" s="1208"/>
      <c r="V126" s="1208" t="s">
        <v>249</v>
      </c>
      <c r="W126" s="1208"/>
      <c r="X126" s="2044"/>
      <c r="Y126" s="2045"/>
      <c r="Z126" s="2045"/>
      <c r="AA126" s="2045"/>
      <c r="AB126" s="2045"/>
      <c r="AC126" s="2045"/>
      <c r="AD126" s="2045"/>
      <c r="AE126" s="2045"/>
      <c r="AF126" s="2045"/>
      <c r="AG126" s="2045"/>
      <c r="AH126" s="2045"/>
      <c r="AI126" s="2045"/>
      <c r="AJ126" s="2045"/>
      <c r="AK126" s="2045"/>
      <c r="AL126" s="2045"/>
      <c r="AM126" s="2045"/>
      <c r="AN126" s="2045"/>
      <c r="AO126" s="2045"/>
      <c r="AP126" s="2045"/>
      <c r="AQ126" s="2045"/>
      <c r="AR126" s="2045"/>
      <c r="AS126" s="2045"/>
      <c r="AT126" s="2045"/>
      <c r="AU126" s="2045"/>
      <c r="AV126" s="2045"/>
      <c r="AW126" s="2045"/>
      <c r="AX126" s="2045"/>
      <c r="AY126" s="2045"/>
      <c r="AZ126" s="2045"/>
      <c r="BA126" s="2045"/>
      <c r="BB126" s="2045"/>
      <c r="BC126" s="2045"/>
      <c r="BD126" s="2046"/>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44"/>
      <c r="Y127" s="2045"/>
      <c r="Z127" s="2045"/>
      <c r="AA127" s="2045"/>
      <c r="AB127" s="2045"/>
      <c r="AC127" s="2045"/>
      <c r="AD127" s="2045"/>
      <c r="AE127" s="2045"/>
      <c r="AF127" s="2045"/>
      <c r="AG127" s="2045"/>
      <c r="AH127" s="2045"/>
      <c r="AI127" s="2045"/>
      <c r="AJ127" s="2045"/>
      <c r="AK127" s="2045"/>
      <c r="AL127" s="2045"/>
      <c r="AM127" s="2045"/>
      <c r="AN127" s="2045"/>
      <c r="AO127" s="2045"/>
      <c r="AP127" s="2045"/>
      <c r="AQ127" s="2045"/>
      <c r="AR127" s="2045"/>
      <c r="AS127" s="2045"/>
      <c r="AT127" s="2045"/>
      <c r="AU127" s="2045"/>
      <c r="AV127" s="2045"/>
      <c r="AW127" s="2045"/>
      <c r="AX127" s="2045"/>
      <c r="AY127" s="2045"/>
      <c r="AZ127" s="2045"/>
      <c r="BA127" s="2045"/>
      <c r="BB127" s="2045"/>
      <c r="BC127" s="2045"/>
      <c r="BD127" s="2046"/>
      <c r="BE127" s="1215"/>
    </row>
    <row r="128" spans="1:57" ht="15.75" customHeight="1">
      <c r="A128" s="1208"/>
      <c r="B128" s="2104" t="s">
        <v>2298</v>
      </c>
      <c r="C128" s="2105"/>
      <c r="D128" s="2105"/>
      <c r="E128" s="2105"/>
      <c r="F128" s="2105"/>
      <c r="G128" s="2105"/>
      <c r="H128" s="2105"/>
      <c r="I128" s="2105"/>
      <c r="J128" s="2105"/>
      <c r="K128" s="2105"/>
      <c r="L128" s="2105"/>
      <c r="M128" s="2105"/>
      <c r="N128" s="2105"/>
      <c r="O128" s="2105"/>
      <c r="P128" s="2105"/>
      <c r="Q128" s="2105"/>
      <c r="R128" s="2105"/>
      <c r="S128" s="2105"/>
      <c r="T128" s="2105"/>
      <c r="U128" s="2106"/>
      <c r="V128" s="1208"/>
      <c r="W128" s="1208"/>
      <c r="X128" s="2044"/>
      <c r="Y128" s="2045"/>
      <c r="Z128" s="2045"/>
      <c r="AA128" s="2045"/>
      <c r="AB128" s="2045"/>
      <c r="AC128" s="2045"/>
      <c r="AD128" s="2045"/>
      <c r="AE128" s="2045"/>
      <c r="AF128" s="2045"/>
      <c r="AG128" s="2045"/>
      <c r="AH128" s="2045"/>
      <c r="AI128" s="2045"/>
      <c r="AJ128" s="2045"/>
      <c r="AK128" s="2045"/>
      <c r="AL128" s="2045"/>
      <c r="AM128" s="2045"/>
      <c r="AN128" s="2045"/>
      <c r="AO128" s="2045"/>
      <c r="AP128" s="2045"/>
      <c r="AQ128" s="2045"/>
      <c r="AR128" s="2045"/>
      <c r="AS128" s="2045"/>
      <c r="AT128" s="2045"/>
      <c r="AU128" s="2045"/>
      <c r="AV128" s="2045"/>
      <c r="AW128" s="2045"/>
      <c r="AX128" s="2045"/>
      <c r="AY128" s="2045"/>
      <c r="AZ128" s="2045"/>
      <c r="BA128" s="2045"/>
      <c r="BB128" s="2045"/>
      <c r="BC128" s="2045"/>
      <c r="BD128" s="2046"/>
      <c r="BE128" s="1215"/>
    </row>
    <row r="129" spans="1:57" ht="15.75" customHeight="1">
      <c r="A129" s="1208"/>
      <c r="B129" s="2041"/>
      <c r="C129" s="2042"/>
      <c r="D129" s="2042"/>
      <c r="E129" s="2042"/>
      <c r="F129" s="2042"/>
      <c r="G129" s="2042"/>
      <c r="H129" s="2042"/>
      <c r="I129" s="2079" t="s">
        <v>2286</v>
      </c>
      <c r="J129" s="2079"/>
      <c r="K129" s="2079"/>
      <c r="L129" s="2079"/>
      <c r="M129" s="2079"/>
      <c r="N129" s="2079"/>
      <c r="O129" s="2079"/>
      <c r="P129" s="2079" t="s">
        <v>2285</v>
      </c>
      <c r="Q129" s="2079"/>
      <c r="R129" s="2079"/>
      <c r="S129" s="2079"/>
      <c r="T129" s="2079"/>
      <c r="U129" s="2080"/>
      <c r="V129" s="1208"/>
      <c r="W129" s="1208"/>
      <c r="X129" s="2044"/>
      <c r="Y129" s="2045"/>
      <c r="Z129" s="2045"/>
      <c r="AA129" s="2045"/>
      <c r="AB129" s="2045"/>
      <c r="AC129" s="2045"/>
      <c r="AD129" s="2045"/>
      <c r="AE129" s="2045"/>
      <c r="AF129" s="2045"/>
      <c r="AG129" s="2045"/>
      <c r="AH129" s="2045"/>
      <c r="AI129" s="2045"/>
      <c r="AJ129" s="2045"/>
      <c r="AK129" s="2045"/>
      <c r="AL129" s="2045"/>
      <c r="AM129" s="2045"/>
      <c r="AN129" s="2045"/>
      <c r="AO129" s="2045"/>
      <c r="AP129" s="2045"/>
      <c r="AQ129" s="2045"/>
      <c r="AR129" s="2045"/>
      <c r="AS129" s="2045"/>
      <c r="AT129" s="2045"/>
      <c r="AU129" s="2045"/>
      <c r="AV129" s="2045"/>
      <c r="AW129" s="2045"/>
      <c r="AX129" s="2045"/>
      <c r="AY129" s="2045"/>
      <c r="AZ129" s="2045"/>
      <c r="BA129" s="2045"/>
      <c r="BB129" s="2045"/>
      <c r="BC129" s="2045"/>
      <c r="BD129" s="2046"/>
      <c r="BE129" s="1215"/>
    </row>
    <row r="130" spans="1:57" ht="15.75" customHeight="1">
      <c r="A130" s="1208"/>
      <c r="B130" s="2041"/>
      <c r="C130" s="2042"/>
      <c r="D130" s="2042"/>
      <c r="E130" s="2042"/>
      <c r="F130" s="2042"/>
      <c r="G130" s="2042"/>
      <c r="H130" s="2042"/>
      <c r="I130" s="2079"/>
      <c r="J130" s="2079"/>
      <c r="K130" s="2079"/>
      <c r="L130" s="2079"/>
      <c r="M130" s="2079"/>
      <c r="N130" s="2079"/>
      <c r="O130" s="2079"/>
      <c r="P130" s="2079"/>
      <c r="Q130" s="2079"/>
      <c r="R130" s="2079"/>
      <c r="S130" s="2079"/>
      <c r="T130" s="2079"/>
      <c r="U130" s="2080"/>
      <c r="V130" s="1208"/>
      <c r="W130" s="1208"/>
      <c r="X130" s="2044"/>
      <c r="Y130" s="2045"/>
      <c r="Z130" s="2045"/>
      <c r="AA130" s="2045"/>
      <c r="AB130" s="2045"/>
      <c r="AC130" s="2045"/>
      <c r="AD130" s="2045"/>
      <c r="AE130" s="2045"/>
      <c r="AF130" s="2045"/>
      <c r="AG130" s="2045"/>
      <c r="AH130" s="2045"/>
      <c r="AI130" s="2045"/>
      <c r="AJ130" s="2045"/>
      <c r="AK130" s="2045"/>
      <c r="AL130" s="2045"/>
      <c r="AM130" s="2045"/>
      <c r="AN130" s="2045"/>
      <c r="AO130" s="2045"/>
      <c r="AP130" s="2045"/>
      <c r="AQ130" s="2045"/>
      <c r="AR130" s="2045"/>
      <c r="AS130" s="2045"/>
      <c r="AT130" s="2045"/>
      <c r="AU130" s="2045"/>
      <c r="AV130" s="2045"/>
      <c r="AW130" s="2045"/>
      <c r="AX130" s="2045"/>
      <c r="AY130" s="2045"/>
      <c r="AZ130" s="2045"/>
      <c r="BA130" s="2045"/>
      <c r="BB130" s="2045"/>
      <c r="BC130" s="2045"/>
      <c r="BD130" s="2046"/>
      <c r="BE130" s="1215"/>
    </row>
    <row r="131" spans="1:57" ht="15.75" customHeight="1">
      <c r="A131" s="1208"/>
      <c r="B131" s="2075" t="s">
        <v>2284</v>
      </c>
      <c r="C131" s="2076"/>
      <c r="D131" s="2076"/>
      <c r="E131" s="2076"/>
      <c r="F131" s="2076"/>
      <c r="G131" s="2076"/>
      <c r="H131" s="2076"/>
      <c r="I131" s="2077">
        <v>0</v>
      </c>
      <c r="J131" s="2077"/>
      <c r="K131" s="2077"/>
      <c r="L131" s="2077"/>
      <c r="M131" s="2077"/>
      <c r="N131" s="2077"/>
      <c r="O131" s="2077"/>
      <c r="P131" s="2077">
        <v>0</v>
      </c>
      <c r="Q131" s="2077"/>
      <c r="R131" s="2077"/>
      <c r="S131" s="2077"/>
      <c r="T131" s="2077"/>
      <c r="U131" s="2078"/>
      <c r="V131" s="1208"/>
      <c r="W131" s="1208"/>
      <c r="X131" s="2044"/>
      <c r="Y131" s="2045"/>
      <c r="Z131" s="2045"/>
      <c r="AA131" s="2045"/>
      <c r="AB131" s="2045"/>
      <c r="AC131" s="2045"/>
      <c r="AD131" s="2045"/>
      <c r="AE131" s="2045"/>
      <c r="AF131" s="2045"/>
      <c r="AG131" s="2045"/>
      <c r="AH131" s="2045"/>
      <c r="AI131" s="2045"/>
      <c r="AJ131" s="2045"/>
      <c r="AK131" s="2045"/>
      <c r="AL131" s="2045"/>
      <c r="AM131" s="2045"/>
      <c r="AN131" s="2045"/>
      <c r="AO131" s="2045"/>
      <c r="AP131" s="2045"/>
      <c r="AQ131" s="2045"/>
      <c r="AR131" s="2045"/>
      <c r="AS131" s="2045"/>
      <c r="AT131" s="2045"/>
      <c r="AU131" s="2045"/>
      <c r="AV131" s="2045"/>
      <c r="AW131" s="2045"/>
      <c r="AX131" s="2045"/>
      <c r="AY131" s="2045"/>
      <c r="AZ131" s="2045"/>
      <c r="BA131" s="2045"/>
      <c r="BB131" s="2045"/>
      <c r="BC131" s="2045"/>
      <c r="BD131" s="2046"/>
      <c r="BE131" s="1215"/>
    </row>
    <row r="132" spans="1:57" ht="15.75" customHeight="1" thickBot="1">
      <c r="A132" s="1208"/>
      <c r="B132" s="2069" t="s">
        <v>2283</v>
      </c>
      <c r="C132" s="2070"/>
      <c r="D132" s="2070"/>
      <c r="E132" s="2070"/>
      <c r="F132" s="2070"/>
      <c r="G132" s="2070"/>
      <c r="H132" s="2070"/>
      <c r="I132" s="2071">
        <v>0</v>
      </c>
      <c r="J132" s="2071"/>
      <c r="K132" s="2071"/>
      <c r="L132" s="2071"/>
      <c r="M132" s="2071"/>
      <c r="N132" s="2071"/>
      <c r="O132" s="2071"/>
      <c r="P132" s="2071">
        <v>0</v>
      </c>
      <c r="Q132" s="2071"/>
      <c r="R132" s="2071"/>
      <c r="S132" s="2071"/>
      <c r="T132" s="2071"/>
      <c r="U132" s="2072"/>
      <c r="V132" s="1208"/>
      <c r="W132" s="1208"/>
      <c r="X132" s="2047"/>
      <c r="Y132" s="2048"/>
      <c r="Z132" s="2048"/>
      <c r="AA132" s="2048"/>
      <c r="AB132" s="2048"/>
      <c r="AC132" s="2048"/>
      <c r="AD132" s="2048"/>
      <c r="AE132" s="2048"/>
      <c r="AF132" s="2048"/>
      <c r="AG132" s="2048"/>
      <c r="AH132" s="2048"/>
      <c r="AI132" s="2048"/>
      <c r="AJ132" s="2048"/>
      <c r="AK132" s="2048"/>
      <c r="AL132" s="2048"/>
      <c r="AM132" s="2048"/>
      <c r="AN132" s="2048"/>
      <c r="AO132" s="2048"/>
      <c r="AP132" s="2048"/>
      <c r="AQ132" s="2048"/>
      <c r="AR132" s="2048"/>
      <c r="AS132" s="2048"/>
      <c r="AT132" s="2048"/>
      <c r="AU132" s="2048"/>
      <c r="AV132" s="2048"/>
      <c r="AW132" s="2048"/>
      <c r="AX132" s="2048"/>
      <c r="AY132" s="2048"/>
      <c r="AZ132" s="2048"/>
      <c r="BA132" s="2048"/>
      <c r="BB132" s="2048"/>
      <c r="BC132" s="2048"/>
      <c r="BD132" s="2049"/>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096" t="s">
        <v>2297</v>
      </c>
      <c r="C134" s="2097"/>
      <c r="D134" s="2097"/>
      <c r="E134" s="2097"/>
      <c r="F134" s="2097"/>
      <c r="G134" s="2097"/>
      <c r="H134" s="2097"/>
      <c r="I134" s="2097"/>
      <c r="J134" s="2097"/>
      <c r="K134" s="2097"/>
      <c r="L134" s="2097"/>
      <c r="M134" s="2097"/>
      <c r="N134" s="2097"/>
      <c r="O134" s="2097"/>
      <c r="P134" s="2097"/>
      <c r="Q134" s="2097"/>
      <c r="R134" s="2097"/>
      <c r="S134" s="2097"/>
      <c r="T134" s="2097"/>
      <c r="U134" s="2097"/>
      <c r="V134" s="2097"/>
      <c r="W134" s="2097"/>
      <c r="X134" s="2097"/>
      <c r="Y134" s="2097"/>
      <c r="Z134" s="2097"/>
      <c r="AA134" s="2097"/>
      <c r="AB134" s="2097"/>
      <c r="AC134" s="2097"/>
      <c r="AD134" s="2097"/>
      <c r="AE134" s="2097"/>
      <c r="AF134" s="2097"/>
      <c r="AG134" s="2097"/>
      <c r="AH134" s="2084" t="s">
        <v>544</v>
      </c>
      <c r="AI134" s="2084"/>
      <c r="AJ134" s="2084"/>
      <c r="AK134" s="2084"/>
      <c r="AL134" s="2084"/>
      <c r="AM134" s="2084"/>
      <c r="AN134" s="2084"/>
      <c r="AO134" s="2084"/>
      <c r="AP134" s="2084"/>
      <c r="AQ134" s="2084"/>
      <c r="AR134" s="2084"/>
      <c r="AS134" s="2084"/>
      <c r="AT134" s="2084"/>
      <c r="AU134" s="2084"/>
      <c r="AV134" s="2084"/>
      <c r="AW134" s="2084"/>
      <c r="AX134" s="2085"/>
      <c r="AY134" s="1208"/>
      <c r="AZ134" s="1208"/>
      <c r="BA134" s="1208"/>
      <c r="BB134" s="1208"/>
      <c r="BC134" s="1208"/>
      <c r="BD134" s="1208"/>
      <c r="BE134" s="1215"/>
    </row>
    <row r="135" spans="1:57" ht="15.75" customHeight="1" thickBot="1">
      <c r="A135" s="1208"/>
      <c r="B135" s="2081" t="s">
        <v>2296</v>
      </c>
      <c r="C135" s="2082"/>
      <c r="D135" s="2082"/>
      <c r="E135" s="2082"/>
      <c r="F135" s="2082"/>
      <c r="G135" s="2082"/>
      <c r="H135" s="2082"/>
      <c r="I135" s="2082"/>
      <c r="J135" s="2082"/>
      <c r="K135" s="2082"/>
      <c r="L135" s="2082"/>
      <c r="M135" s="2082"/>
      <c r="N135" s="2082"/>
      <c r="O135" s="2082"/>
      <c r="P135" s="2082"/>
      <c r="Q135" s="2082"/>
      <c r="R135" s="2082"/>
      <c r="S135" s="2082"/>
      <c r="T135" s="2082"/>
      <c r="U135" s="2082"/>
      <c r="V135" s="2082"/>
      <c r="W135" s="2082"/>
      <c r="X135" s="2082"/>
      <c r="Y135" s="2082"/>
      <c r="Z135" s="2082"/>
      <c r="AA135" s="2082"/>
      <c r="AB135" s="2082"/>
      <c r="AC135" s="2082"/>
      <c r="AD135" s="2082"/>
      <c r="AE135" s="2082"/>
      <c r="AF135" s="2082"/>
      <c r="AG135" s="2083"/>
      <c r="AH135" s="2098"/>
      <c r="AI135" s="2099"/>
      <c r="AJ135" s="2099"/>
      <c r="AK135" s="2099"/>
      <c r="AL135" s="2099"/>
      <c r="AM135" s="2099"/>
      <c r="AN135" s="2099"/>
      <c r="AO135" s="2099"/>
      <c r="AP135" s="2099"/>
      <c r="AQ135" s="2099"/>
      <c r="AR135" s="2099"/>
      <c r="AS135" s="2099"/>
      <c r="AT135" s="2099"/>
      <c r="AU135" s="2099"/>
      <c r="AV135" s="2099"/>
      <c r="AW135" s="2099"/>
      <c r="AX135" s="2100"/>
      <c r="AY135" s="1208"/>
      <c r="AZ135" s="1208"/>
      <c r="BA135" s="1208"/>
      <c r="BB135" s="1208"/>
      <c r="BC135" s="1208"/>
      <c r="BD135" s="1208"/>
      <c r="BE135" s="1215"/>
    </row>
    <row r="136" spans="1:57" ht="15.75" customHeight="1">
      <c r="A136" s="1208"/>
      <c r="B136" s="2081" t="s">
        <v>2295</v>
      </c>
      <c r="C136" s="2082"/>
      <c r="D136" s="2082"/>
      <c r="E136" s="2082"/>
      <c r="F136" s="2082"/>
      <c r="G136" s="2082"/>
      <c r="H136" s="2082"/>
      <c r="I136" s="2082"/>
      <c r="J136" s="2082"/>
      <c r="K136" s="2082"/>
      <c r="L136" s="2082"/>
      <c r="M136" s="2082"/>
      <c r="N136" s="2082"/>
      <c r="O136" s="2082"/>
      <c r="P136" s="2082"/>
      <c r="Q136" s="2082"/>
      <c r="R136" s="2082"/>
      <c r="S136" s="2082"/>
      <c r="T136" s="2082"/>
      <c r="U136" s="2082"/>
      <c r="V136" s="2082"/>
      <c r="W136" s="2082"/>
      <c r="X136" s="2082"/>
      <c r="Y136" s="2082"/>
      <c r="Z136" s="2082"/>
      <c r="AA136" s="2082"/>
      <c r="AB136" s="2082"/>
      <c r="AC136" s="2082"/>
      <c r="AD136" s="2082"/>
      <c r="AE136" s="2082"/>
      <c r="AF136" s="2082"/>
      <c r="AG136" s="2083"/>
      <c r="AH136" s="2084" t="s">
        <v>544</v>
      </c>
      <c r="AI136" s="2084"/>
      <c r="AJ136" s="2084"/>
      <c r="AK136" s="2084"/>
      <c r="AL136" s="2084"/>
      <c r="AM136" s="2084"/>
      <c r="AN136" s="2084"/>
      <c r="AO136" s="2084"/>
      <c r="AP136" s="2084"/>
      <c r="AQ136" s="2084"/>
      <c r="AR136" s="2084"/>
      <c r="AS136" s="2084"/>
      <c r="AT136" s="2084"/>
      <c r="AU136" s="2084"/>
      <c r="AV136" s="2084"/>
      <c r="AW136" s="2084"/>
      <c r="AX136" s="2085"/>
      <c r="AY136" s="1208"/>
      <c r="AZ136" s="1208"/>
      <c r="BA136" s="1208"/>
      <c r="BB136" s="1208"/>
      <c r="BC136" s="1208"/>
      <c r="BD136" s="1208"/>
      <c r="BE136" s="1215"/>
    </row>
    <row r="137" spans="1:57" ht="15.75" customHeight="1">
      <c r="A137" s="1208"/>
      <c r="B137" s="2086" t="s">
        <v>2294</v>
      </c>
      <c r="C137" s="2087"/>
      <c r="D137" s="2087"/>
      <c r="E137" s="2087"/>
      <c r="F137" s="2087"/>
      <c r="G137" s="2087"/>
      <c r="H137" s="2087"/>
      <c r="I137" s="2087"/>
      <c r="J137" s="2087"/>
      <c r="K137" s="2087"/>
      <c r="L137" s="2087"/>
      <c r="M137" s="2087"/>
      <c r="N137" s="2087"/>
      <c r="O137" s="2087"/>
      <c r="P137" s="2087"/>
      <c r="Q137" s="2087"/>
      <c r="R137" s="2088" t="s">
        <v>2293</v>
      </c>
      <c r="S137" s="2088"/>
      <c r="T137" s="2088"/>
      <c r="U137" s="2088"/>
      <c r="V137" s="2088"/>
      <c r="W137" s="2088"/>
      <c r="X137" s="2088"/>
      <c r="Y137" s="2088"/>
      <c r="Z137" s="2088"/>
      <c r="AA137" s="2088"/>
      <c r="AB137" s="2088"/>
      <c r="AC137" s="2088"/>
      <c r="AD137" s="2088"/>
      <c r="AE137" s="2088"/>
      <c r="AF137" s="2088"/>
      <c r="AG137" s="2088"/>
      <c r="AH137" s="2088"/>
      <c r="AI137" s="2088"/>
      <c r="AJ137" s="2088"/>
      <c r="AK137" s="2088"/>
      <c r="AL137" s="2088"/>
      <c r="AM137" s="2088"/>
      <c r="AN137" s="2088"/>
      <c r="AO137" s="2088"/>
      <c r="AP137" s="2088"/>
      <c r="AQ137" s="2088"/>
      <c r="AR137" s="2088"/>
      <c r="AS137" s="2088"/>
      <c r="AT137" s="2088"/>
      <c r="AU137" s="2088"/>
      <c r="AV137" s="2088"/>
      <c r="AW137" s="2088"/>
      <c r="AX137" s="2089"/>
      <c r="AY137" s="1208"/>
      <c r="AZ137" s="1208"/>
      <c r="BA137" s="1208"/>
      <c r="BB137" s="1208"/>
      <c r="BC137" s="1208" t="s">
        <v>249</v>
      </c>
      <c r="BD137" s="1208"/>
      <c r="BE137" s="1215"/>
    </row>
    <row r="138" spans="1:57" ht="15.75" customHeight="1">
      <c r="A138" s="1208"/>
      <c r="B138" s="2090" t="s">
        <v>2292</v>
      </c>
      <c r="C138" s="2091"/>
      <c r="D138" s="2091"/>
      <c r="E138" s="2091"/>
      <c r="F138" s="2091"/>
      <c r="G138" s="2091"/>
      <c r="H138" s="2091"/>
      <c r="I138" s="2091"/>
      <c r="J138" s="2091"/>
      <c r="K138" s="2091"/>
      <c r="L138" s="2091"/>
      <c r="M138" s="2091"/>
      <c r="N138" s="2091"/>
      <c r="O138" s="2091"/>
      <c r="P138" s="2091"/>
      <c r="Q138" s="2091"/>
      <c r="R138" s="2091"/>
      <c r="S138" s="2091"/>
      <c r="T138" s="2091"/>
      <c r="U138" s="2091"/>
      <c r="V138" s="2091"/>
      <c r="W138" s="2091"/>
      <c r="X138" s="2091"/>
      <c r="Y138" s="2091"/>
      <c r="Z138" s="2091"/>
      <c r="AA138" s="2091"/>
      <c r="AB138" s="2091"/>
      <c r="AC138" s="2091"/>
      <c r="AD138" s="2091"/>
      <c r="AE138" s="2091"/>
      <c r="AF138" s="2091"/>
      <c r="AG138" s="2091"/>
      <c r="AH138" s="2091"/>
      <c r="AI138" s="2091"/>
      <c r="AJ138" s="2091"/>
      <c r="AK138" s="2091"/>
      <c r="AL138" s="2091"/>
      <c r="AM138" s="2091"/>
      <c r="AN138" s="2091"/>
      <c r="AO138" s="2091"/>
      <c r="AP138" s="2091"/>
      <c r="AQ138" s="2091"/>
      <c r="AR138" s="2091"/>
      <c r="AS138" s="2091"/>
      <c r="AT138" s="2091"/>
      <c r="AU138" s="2091"/>
      <c r="AV138" s="2091"/>
      <c r="AW138" s="2091"/>
      <c r="AX138" s="2092"/>
      <c r="AY138" s="1208"/>
      <c r="AZ138" s="1208"/>
      <c r="BA138" s="1208"/>
      <c r="BB138" s="1208"/>
      <c r="BC138" s="1208"/>
      <c r="BD138" s="1208"/>
      <c r="BE138" s="1215"/>
    </row>
    <row r="139" spans="1:57" ht="15.75" customHeight="1">
      <c r="A139" s="1208"/>
      <c r="B139" s="2090"/>
      <c r="C139" s="2091"/>
      <c r="D139" s="2091"/>
      <c r="E139" s="2091"/>
      <c r="F139" s="2091"/>
      <c r="G139" s="2091"/>
      <c r="H139" s="2091"/>
      <c r="I139" s="2091"/>
      <c r="J139" s="2091"/>
      <c r="K139" s="2091"/>
      <c r="L139" s="2091"/>
      <c r="M139" s="2091"/>
      <c r="N139" s="2091"/>
      <c r="O139" s="2091"/>
      <c r="P139" s="2091"/>
      <c r="Q139" s="2091"/>
      <c r="R139" s="2091"/>
      <c r="S139" s="2091"/>
      <c r="T139" s="2091"/>
      <c r="U139" s="2091"/>
      <c r="V139" s="2091"/>
      <c r="W139" s="2091"/>
      <c r="X139" s="2091"/>
      <c r="Y139" s="2091"/>
      <c r="Z139" s="2091"/>
      <c r="AA139" s="2091"/>
      <c r="AB139" s="2091"/>
      <c r="AC139" s="2091"/>
      <c r="AD139" s="2091"/>
      <c r="AE139" s="2091"/>
      <c r="AF139" s="2091"/>
      <c r="AG139" s="2091"/>
      <c r="AH139" s="2091"/>
      <c r="AI139" s="2091"/>
      <c r="AJ139" s="2091"/>
      <c r="AK139" s="2091"/>
      <c r="AL139" s="2091"/>
      <c r="AM139" s="2091"/>
      <c r="AN139" s="2091"/>
      <c r="AO139" s="2091"/>
      <c r="AP139" s="2091"/>
      <c r="AQ139" s="2091"/>
      <c r="AR139" s="2091"/>
      <c r="AS139" s="2091"/>
      <c r="AT139" s="2091"/>
      <c r="AU139" s="2091"/>
      <c r="AV139" s="2091"/>
      <c r="AW139" s="2091"/>
      <c r="AX139" s="2092"/>
      <c r="AY139" s="1208"/>
      <c r="AZ139" s="1208"/>
      <c r="BA139" s="1208"/>
      <c r="BB139" s="1208"/>
      <c r="BC139" s="1208"/>
      <c r="BD139" s="1208"/>
      <c r="BE139" s="1215"/>
    </row>
    <row r="140" spans="1:57" ht="15.75" customHeight="1">
      <c r="A140" s="1208"/>
      <c r="B140" s="2090"/>
      <c r="C140" s="2091"/>
      <c r="D140" s="2091"/>
      <c r="E140" s="2091"/>
      <c r="F140" s="2091"/>
      <c r="G140" s="2091"/>
      <c r="H140" s="2091"/>
      <c r="I140" s="2091"/>
      <c r="J140" s="2091"/>
      <c r="K140" s="2091"/>
      <c r="L140" s="2091"/>
      <c r="M140" s="2091"/>
      <c r="N140" s="2091"/>
      <c r="O140" s="2091"/>
      <c r="P140" s="2091"/>
      <c r="Q140" s="2091"/>
      <c r="R140" s="2091"/>
      <c r="S140" s="2091"/>
      <c r="T140" s="2091"/>
      <c r="U140" s="2091"/>
      <c r="V140" s="2091"/>
      <c r="W140" s="2091"/>
      <c r="X140" s="2091"/>
      <c r="Y140" s="2091"/>
      <c r="Z140" s="2091"/>
      <c r="AA140" s="2091"/>
      <c r="AB140" s="2091"/>
      <c r="AC140" s="2091"/>
      <c r="AD140" s="2091"/>
      <c r="AE140" s="2091"/>
      <c r="AF140" s="2091"/>
      <c r="AG140" s="2091"/>
      <c r="AH140" s="2091"/>
      <c r="AI140" s="2091"/>
      <c r="AJ140" s="2091"/>
      <c r="AK140" s="2091"/>
      <c r="AL140" s="2091"/>
      <c r="AM140" s="2091"/>
      <c r="AN140" s="2091"/>
      <c r="AO140" s="2091"/>
      <c r="AP140" s="2091"/>
      <c r="AQ140" s="2091"/>
      <c r="AR140" s="2091"/>
      <c r="AS140" s="2091"/>
      <c r="AT140" s="2091"/>
      <c r="AU140" s="2091"/>
      <c r="AV140" s="2091"/>
      <c r="AW140" s="2091"/>
      <c r="AX140" s="2092"/>
      <c r="AY140" s="1208"/>
      <c r="AZ140" s="1208"/>
      <c r="BA140" s="1208"/>
      <c r="BB140" s="1208"/>
      <c r="BC140" s="1208"/>
      <c r="BD140" s="1208"/>
      <c r="BE140" s="1215"/>
    </row>
    <row r="141" spans="1:57" ht="15.75" customHeight="1">
      <c r="A141" s="1208"/>
      <c r="B141" s="2090"/>
      <c r="C141" s="2091"/>
      <c r="D141" s="2091"/>
      <c r="E141" s="2091"/>
      <c r="F141" s="2091"/>
      <c r="G141" s="2091"/>
      <c r="H141" s="2091"/>
      <c r="I141" s="2091"/>
      <c r="J141" s="2091"/>
      <c r="K141" s="2091"/>
      <c r="L141" s="2091"/>
      <c r="M141" s="2091"/>
      <c r="N141" s="2091"/>
      <c r="O141" s="2091"/>
      <c r="P141" s="2091"/>
      <c r="Q141" s="2091"/>
      <c r="R141" s="2091"/>
      <c r="S141" s="2091"/>
      <c r="T141" s="2091"/>
      <c r="U141" s="2091"/>
      <c r="V141" s="2091"/>
      <c r="W141" s="2091"/>
      <c r="X141" s="2091"/>
      <c r="Y141" s="2091"/>
      <c r="Z141" s="2091"/>
      <c r="AA141" s="2091"/>
      <c r="AB141" s="2091"/>
      <c r="AC141" s="2091"/>
      <c r="AD141" s="2091"/>
      <c r="AE141" s="2091"/>
      <c r="AF141" s="2091"/>
      <c r="AG141" s="2091"/>
      <c r="AH141" s="2091"/>
      <c r="AI141" s="2091"/>
      <c r="AJ141" s="2091"/>
      <c r="AK141" s="2091"/>
      <c r="AL141" s="2091"/>
      <c r="AM141" s="2091"/>
      <c r="AN141" s="2091"/>
      <c r="AO141" s="2091"/>
      <c r="AP141" s="2091"/>
      <c r="AQ141" s="2091"/>
      <c r="AR141" s="2091"/>
      <c r="AS141" s="2091"/>
      <c r="AT141" s="2091"/>
      <c r="AU141" s="2091"/>
      <c r="AV141" s="2091"/>
      <c r="AW141" s="2091"/>
      <c r="AX141" s="2092"/>
      <c r="AY141" s="1208"/>
      <c r="AZ141" s="1208"/>
      <c r="BA141" s="1208"/>
      <c r="BB141" s="1208"/>
      <c r="BC141" s="1208"/>
      <c r="BD141" s="1208"/>
      <c r="BE141" s="1215"/>
    </row>
    <row r="142" spans="1:57" ht="15.75" customHeight="1">
      <c r="A142" s="1208"/>
      <c r="B142" s="2090"/>
      <c r="C142" s="2091"/>
      <c r="D142" s="2091"/>
      <c r="E142" s="2091"/>
      <c r="F142" s="2091"/>
      <c r="G142" s="2091"/>
      <c r="H142" s="2091"/>
      <c r="I142" s="2091"/>
      <c r="J142" s="2091"/>
      <c r="K142" s="2091"/>
      <c r="L142" s="2091"/>
      <c r="M142" s="2091"/>
      <c r="N142" s="2091"/>
      <c r="O142" s="2091"/>
      <c r="P142" s="2091"/>
      <c r="Q142" s="2091"/>
      <c r="R142" s="2091"/>
      <c r="S142" s="2091"/>
      <c r="T142" s="2091"/>
      <c r="U142" s="2091"/>
      <c r="V142" s="2091"/>
      <c r="W142" s="2091"/>
      <c r="X142" s="2091"/>
      <c r="Y142" s="2091"/>
      <c r="Z142" s="2091"/>
      <c r="AA142" s="2091"/>
      <c r="AB142" s="2091"/>
      <c r="AC142" s="2091"/>
      <c r="AD142" s="2091"/>
      <c r="AE142" s="2091"/>
      <c r="AF142" s="2091"/>
      <c r="AG142" s="2091"/>
      <c r="AH142" s="2091"/>
      <c r="AI142" s="2091"/>
      <c r="AJ142" s="2091"/>
      <c r="AK142" s="2091"/>
      <c r="AL142" s="2091"/>
      <c r="AM142" s="2091"/>
      <c r="AN142" s="2091"/>
      <c r="AO142" s="2091"/>
      <c r="AP142" s="2091"/>
      <c r="AQ142" s="2091"/>
      <c r="AR142" s="2091"/>
      <c r="AS142" s="2091"/>
      <c r="AT142" s="2091"/>
      <c r="AU142" s="2091"/>
      <c r="AV142" s="2091"/>
      <c r="AW142" s="2091"/>
      <c r="AX142" s="2092"/>
      <c r="AY142" s="1208"/>
      <c r="AZ142" s="1208"/>
      <c r="BA142" s="1208"/>
      <c r="BB142" s="1208"/>
      <c r="BC142" s="1208"/>
      <c r="BD142" s="1208"/>
      <c r="BE142" s="1215"/>
    </row>
    <row r="143" spans="1:57" ht="15.75" customHeight="1">
      <c r="A143" s="1208"/>
      <c r="B143" s="2090"/>
      <c r="C143" s="2091"/>
      <c r="D143" s="2091"/>
      <c r="E143" s="2091"/>
      <c r="F143" s="2091"/>
      <c r="G143" s="2091"/>
      <c r="H143" s="2091"/>
      <c r="I143" s="2091"/>
      <c r="J143" s="2091"/>
      <c r="K143" s="2091"/>
      <c r="L143" s="2091"/>
      <c r="M143" s="2091"/>
      <c r="N143" s="2091"/>
      <c r="O143" s="2091"/>
      <c r="P143" s="2091"/>
      <c r="Q143" s="2091"/>
      <c r="R143" s="2091"/>
      <c r="S143" s="2091"/>
      <c r="T143" s="2091"/>
      <c r="U143" s="2091"/>
      <c r="V143" s="2091"/>
      <c r="W143" s="2091"/>
      <c r="X143" s="2091"/>
      <c r="Y143" s="2091"/>
      <c r="Z143" s="2091"/>
      <c r="AA143" s="2091"/>
      <c r="AB143" s="2091"/>
      <c r="AC143" s="2091"/>
      <c r="AD143" s="2091"/>
      <c r="AE143" s="2091"/>
      <c r="AF143" s="2091"/>
      <c r="AG143" s="2091"/>
      <c r="AH143" s="2091"/>
      <c r="AI143" s="2091"/>
      <c r="AJ143" s="2091"/>
      <c r="AK143" s="2091"/>
      <c r="AL143" s="2091"/>
      <c r="AM143" s="2091"/>
      <c r="AN143" s="2091"/>
      <c r="AO143" s="2091"/>
      <c r="AP143" s="2091"/>
      <c r="AQ143" s="2091"/>
      <c r="AR143" s="2091"/>
      <c r="AS143" s="2091"/>
      <c r="AT143" s="2091"/>
      <c r="AU143" s="2091"/>
      <c r="AV143" s="2091"/>
      <c r="AW143" s="2091"/>
      <c r="AX143" s="2092"/>
      <c r="AY143" s="1208"/>
      <c r="AZ143" s="1208"/>
      <c r="BA143" s="1208"/>
      <c r="BB143" s="1208"/>
      <c r="BC143" s="1208"/>
      <c r="BD143" s="1208"/>
      <c r="BE143" s="1215"/>
    </row>
    <row r="144" spans="1:57" ht="15.75" customHeight="1">
      <c r="A144" s="1208"/>
      <c r="B144" s="2090"/>
      <c r="C144" s="2091"/>
      <c r="D144" s="2091"/>
      <c r="E144" s="2091"/>
      <c r="F144" s="2091"/>
      <c r="G144" s="2091"/>
      <c r="H144" s="2091"/>
      <c r="I144" s="2091"/>
      <c r="J144" s="2091"/>
      <c r="K144" s="2091"/>
      <c r="L144" s="2091"/>
      <c r="M144" s="2091"/>
      <c r="N144" s="2091"/>
      <c r="O144" s="2091"/>
      <c r="P144" s="2091"/>
      <c r="Q144" s="2091"/>
      <c r="R144" s="2091"/>
      <c r="S144" s="2091"/>
      <c r="T144" s="2091"/>
      <c r="U144" s="2091"/>
      <c r="V144" s="2091"/>
      <c r="W144" s="2091"/>
      <c r="X144" s="2091"/>
      <c r="Y144" s="2091"/>
      <c r="Z144" s="2091"/>
      <c r="AA144" s="2091"/>
      <c r="AB144" s="2091"/>
      <c r="AC144" s="2091"/>
      <c r="AD144" s="2091"/>
      <c r="AE144" s="2091"/>
      <c r="AF144" s="2091"/>
      <c r="AG144" s="2091"/>
      <c r="AH144" s="2091"/>
      <c r="AI144" s="2091"/>
      <c r="AJ144" s="2091"/>
      <c r="AK144" s="2091"/>
      <c r="AL144" s="2091"/>
      <c r="AM144" s="2091"/>
      <c r="AN144" s="2091"/>
      <c r="AO144" s="2091"/>
      <c r="AP144" s="2091"/>
      <c r="AQ144" s="2091"/>
      <c r="AR144" s="2091"/>
      <c r="AS144" s="2091"/>
      <c r="AT144" s="2091"/>
      <c r="AU144" s="2091"/>
      <c r="AV144" s="2091"/>
      <c r="AW144" s="2091"/>
      <c r="AX144" s="2092"/>
      <c r="AY144" s="1208"/>
      <c r="AZ144" s="1208"/>
      <c r="BA144" s="1208"/>
      <c r="BB144" s="1208"/>
      <c r="BC144" s="1208"/>
      <c r="BD144" s="1208"/>
      <c r="BE144" s="1215"/>
    </row>
    <row r="145" spans="1:57" ht="15.75" customHeight="1">
      <c r="A145" s="1208"/>
      <c r="B145" s="2090"/>
      <c r="C145" s="2091"/>
      <c r="D145" s="2091"/>
      <c r="E145" s="2091"/>
      <c r="F145" s="2091"/>
      <c r="G145" s="2091"/>
      <c r="H145" s="2091"/>
      <c r="I145" s="2091"/>
      <c r="J145" s="2091"/>
      <c r="K145" s="2091"/>
      <c r="L145" s="2091"/>
      <c r="M145" s="2091"/>
      <c r="N145" s="2091"/>
      <c r="O145" s="2091"/>
      <c r="P145" s="2091"/>
      <c r="Q145" s="2091"/>
      <c r="R145" s="2091"/>
      <c r="S145" s="2091"/>
      <c r="T145" s="2091"/>
      <c r="U145" s="2091"/>
      <c r="V145" s="2091"/>
      <c r="W145" s="2091"/>
      <c r="X145" s="2091"/>
      <c r="Y145" s="2091"/>
      <c r="Z145" s="2091"/>
      <c r="AA145" s="2091"/>
      <c r="AB145" s="2091"/>
      <c r="AC145" s="2091"/>
      <c r="AD145" s="2091"/>
      <c r="AE145" s="2091"/>
      <c r="AF145" s="2091"/>
      <c r="AG145" s="2091"/>
      <c r="AH145" s="2091"/>
      <c r="AI145" s="2091"/>
      <c r="AJ145" s="2091"/>
      <c r="AK145" s="2091"/>
      <c r="AL145" s="2091"/>
      <c r="AM145" s="2091"/>
      <c r="AN145" s="2091"/>
      <c r="AO145" s="2091"/>
      <c r="AP145" s="2091"/>
      <c r="AQ145" s="2091"/>
      <c r="AR145" s="2091"/>
      <c r="AS145" s="2091"/>
      <c r="AT145" s="2091"/>
      <c r="AU145" s="2091"/>
      <c r="AV145" s="2091"/>
      <c r="AW145" s="2091"/>
      <c r="AX145" s="2092"/>
      <c r="AY145" s="1208"/>
      <c r="AZ145" s="1208"/>
      <c r="BA145" s="1208"/>
      <c r="BB145" s="1208"/>
      <c r="BC145" s="1208"/>
      <c r="BD145" s="1208"/>
      <c r="BE145" s="1215"/>
    </row>
    <row r="146" spans="1:57" ht="15.75" customHeight="1">
      <c r="A146" s="1208"/>
      <c r="B146" s="2090"/>
      <c r="C146" s="2091"/>
      <c r="D146" s="2091"/>
      <c r="E146" s="2091"/>
      <c r="F146" s="2091"/>
      <c r="G146" s="2091"/>
      <c r="H146" s="2091"/>
      <c r="I146" s="2091"/>
      <c r="J146" s="2091"/>
      <c r="K146" s="2091"/>
      <c r="L146" s="2091"/>
      <c r="M146" s="2091"/>
      <c r="N146" s="2091"/>
      <c r="O146" s="2091"/>
      <c r="P146" s="2091"/>
      <c r="Q146" s="2091"/>
      <c r="R146" s="2091"/>
      <c r="S146" s="2091"/>
      <c r="T146" s="2091"/>
      <c r="U146" s="2091"/>
      <c r="V146" s="2091"/>
      <c r="W146" s="2091"/>
      <c r="X146" s="2091"/>
      <c r="Y146" s="2091"/>
      <c r="Z146" s="2091"/>
      <c r="AA146" s="2091"/>
      <c r="AB146" s="2091"/>
      <c r="AC146" s="2091"/>
      <c r="AD146" s="2091"/>
      <c r="AE146" s="2091"/>
      <c r="AF146" s="2091"/>
      <c r="AG146" s="2091"/>
      <c r="AH146" s="2091"/>
      <c r="AI146" s="2091"/>
      <c r="AJ146" s="2091"/>
      <c r="AK146" s="2091"/>
      <c r="AL146" s="2091"/>
      <c r="AM146" s="2091"/>
      <c r="AN146" s="2091"/>
      <c r="AO146" s="2091"/>
      <c r="AP146" s="2091"/>
      <c r="AQ146" s="2091"/>
      <c r="AR146" s="2091"/>
      <c r="AS146" s="2091"/>
      <c r="AT146" s="2091"/>
      <c r="AU146" s="2091"/>
      <c r="AV146" s="2091"/>
      <c r="AW146" s="2091"/>
      <c r="AX146" s="2092"/>
      <c r="AY146" s="1208"/>
      <c r="AZ146" s="1208"/>
      <c r="BA146" s="1208"/>
      <c r="BB146" s="1208"/>
      <c r="BC146" s="1208"/>
      <c r="BD146" s="1208"/>
      <c r="BE146" s="1215"/>
    </row>
    <row r="147" spans="1:57" ht="15.75" customHeight="1" thickBot="1">
      <c r="A147" s="1208"/>
      <c r="B147" s="2093"/>
      <c r="C147" s="2094"/>
      <c r="D147" s="2094"/>
      <c r="E147" s="2094"/>
      <c r="F147" s="2094"/>
      <c r="G147" s="2094"/>
      <c r="H147" s="2094"/>
      <c r="I147" s="2094"/>
      <c r="J147" s="2094"/>
      <c r="K147" s="2094"/>
      <c r="L147" s="2094"/>
      <c r="M147" s="2094"/>
      <c r="N147" s="2094"/>
      <c r="O147" s="2094"/>
      <c r="P147" s="2094"/>
      <c r="Q147" s="2094"/>
      <c r="R147" s="2094"/>
      <c r="S147" s="2094"/>
      <c r="T147" s="2094"/>
      <c r="U147" s="2094"/>
      <c r="V147" s="2094"/>
      <c r="W147" s="2094"/>
      <c r="X147" s="2094"/>
      <c r="Y147" s="2094"/>
      <c r="Z147" s="2094"/>
      <c r="AA147" s="2094"/>
      <c r="AB147" s="2094"/>
      <c r="AC147" s="2094"/>
      <c r="AD147" s="2094"/>
      <c r="AE147" s="2094"/>
      <c r="AF147" s="2094"/>
      <c r="AG147" s="2094"/>
      <c r="AH147" s="2094"/>
      <c r="AI147" s="2094"/>
      <c r="AJ147" s="2094"/>
      <c r="AK147" s="2094"/>
      <c r="AL147" s="2094"/>
      <c r="AM147" s="2094"/>
      <c r="AN147" s="2094"/>
      <c r="AO147" s="2094"/>
      <c r="AP147" s="2094"/>
      <c r="AQ147" s="2094"/>
      <c r="AR147" s="2094"/>
      <c r="AS147" s="2094"/>
      <c r="AT147" s="2094"/>
      <c r="AU147" s="2094"/>
      <c r="AV147" s="2094"/>
      <c r="AW147" s="2094"/>
      <c r="AX147" s="2095"/>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2291</v>
      </c>
      <c r="C149" s="1232"/>
      <c r="D149" s="1232"/>
      <c r="E149" s="1232"/>
      <c r="F149" s="1232"/>
      <c r="G149" s="1232"/>
      <c r="H149" s="1232"/>
      <c r="I149" s="1232"/>
      <c r="J149" s="1232"/>
      <c r="K149" s="1232"/>
      <c r="L149" s="1232"/>
      <c r="M149" s="1233"/>
      <c r="N149" s="1216"/>
      <c r="O149" s="1216"/>
      <c r="P149" s="1208"/>
      <c r="Q149" s="1208"/>
      <c r="R149" s="1208"/>
      <c r="S149" s="1208"/>
      <c r="T149" s="1208"/>
      <c r="U149" s="1208" t="s">
        <v>249</v>
      </c>
      <c r="V149" s="1208"/>
      <c r="W149" s="1208"/>
      <c r="X149" s="1231" t="s">
        <v>2290</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3" t="s">
        <v>2289</v>
      </c>
      <c r="C151" s="2029"/>
      <c r="D151" s="2029"/>
      <c r="E151" s="2029"/>
      <c r="F151" s="2029"/>
      <c r="G151" s="2029"/>
      <c r="H151" s="2029"/>
      <c r="I151" s="2029"/>
      <c r="J151" s="2029"/>
      <c r="K151" s="2029"/>
      <c r="L151" s="2029"/>
      <c r="M151" s="2029"/>
      <c r="N151" s="2029"/>
      <c r="O151" s="2029"/>
      <c r="P151" s="2029"/>
      <c r="Q151" s="2029"/>
      <c r="R151" s="2029"/>
      <c r="S151" s="2029"/>
      <c r="T151" s="2029"/>
      <c r="U151" s="2030"/>
      <c r="V151" s="1208"/>
      <c r="W151" s="1209"/>
      <c r="X151" s="2073" t="s">
        <v>2288</v>
      </c>
      <c r="Y151" s="2029"/>
      <c r="Z151" s="2029"/>
      <c r="AA151" s="2029"/>
      <c r="AB151" s="2029"/>
      <c r="AC151" s="2029"/>
      <c r="AD151" s="2029"/>
      <c r="AE151" s="2029"/>
      <c r="AF151" s="2029"/>
      <c r="AG151" s="2029"/>
      <c r="AH151" s="2029"/>
      <c r="AI151" s="2029"/>
      <c r="AJ151" s="2029"/>
      <c r="AK151" s="2029"/>
      <c r="AL151" s="2029"/>
      <c r="AM151" s="2029"/>
      <c r="AN151" s="2029"/>
      <c r="AO151" s="2029"/>
      <c r="AP151" s="2029"/>
      <c r="AQ151" s="2030"/>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1"/>
      <c r="C152" s="2042"/>
      <c r="D152" s="2042"/>
      <c r="E152" s="2042"/>
      <c r="F152" s="2042"/>
      <c r="G152" s="2042"/>
      <c r="H152" s="2042"/>
      <c r="I152" s="2079" t="s">
        <v>2286</v>
      </c>
      <c r="J152" s="2079"/>
      <c r="K152" s="2079"/>
      <c r="L152" s="2079"/>
      <c r="M152" s="2079"/>
      <c r="N152" s="2079"/>
      <c r="O152" s="2079"/>
      <c r="P152" s="2079" t="s">
        <v>2287</v>
      </c>
      <c r="Q152" s="2079"/>
      <c r="R152" s="2079"/>
      <c r="S152" s="2079"/>
      <c r="T152" s="2079"/>
      <c r="U152" s="2080"/>
      <c r="V152" s="1208"/>
      <c r="W152" s="1208"/>
      <c r="X152" s="2041"/>
      <c r="Y152" s="2042"/>
      <c r="Z152" s="2042"/>
      <c r="AA152" s="2042"/>
      <c r="AB152" s="2042"/>
      <c r="AC152" s="2042"/>
      <c r="AD152" s="2042"/>
      <c r="AE152" s="2079" t="s">
        <v>2286</v>
      </c>
      <c r="AF152" s="2079"/>
      <c r="AG152" s="2079"/>
      <c r="AH152" s="2079"/>
      <c r="AI152" s="2079"/>
      <c r="AJ152" s="2079"/>
      <c r="AK152" s="2079"/>
      <c r="AL152" s="2079" t="s">
        <v>2285</v>
      </c>
      <c r="AM152" s="2079"/>
      <c r="AN152" s="2079"/>
      <c r="AO152" s="2079"/>
      <c r="AP152" s="2079"/>
      <c r="AQ152" s="2080"/>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1"/>
      <c r="C153" s="2042"/>
      <c r="D153" s="2042"/>
      <c r="E153" s="2042"/>
      <c r="F153" s="2042"/>
      <c r="G153" s="2042"/>
      <c r="H153" s="2042"/>
      <c r="I153" s="2079"/>
      <c r="J153" s="2079"/>
      <c r="K153" s="2079"/>
      <c r="L153" s="2079"/>
      <c r="M153" s="2079"/>
      <c r="N153" s="2079"/>
      <c r="O153" s="2079"/>
      <c r="P153" s="2079"/>
      <c r="Q153" s="2079"/>
      <c r="R153" s="2079"/>
      <c r="S153" s="2079"/>
      <c r="T153" s="2079"/>
      <c r="U153" s="2080"/>
      <c r="V153" s="1208"/>
      <c r="W153" s="1208"/>
      <c r="X153" s="2041"/>
      <c r="Y153" s="2042"/>
      <c r="Z153" s="2042"/>
      <c r="AA153" s="2042"/>
      <c r="AB153" s="2042"/>
      <c r="AC153" s="2042"/>
      <c r="AD153" s="2042"/>
      <c r="AE153" s="2079"/>
      <c r="AF153" s="2079"/>
      <c r="AG153" s="2079"/>
      <c r="AH153" s="2079"/>
      <c r="AI153" s="2079"/>
      <c r="AJ153" s="2079"/>
      <c r="AK153" s="2079"/>
      <c r="AL153" s="2079"/>
      <c r="AM153" s="2079"/>
      <c r="AN153" s="2079"/>
      <c r="AO153" s="2079"/>
      <c r="AP153" s="2079"/>
      <c r="AQ153" s="2080"/>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75" t="s">
        <v>2284</v>
      </c>
      <c r="C154" s="2076"/>
      <c r="D154" s="2076"/>
      <c r="E154" s="2076"/>
      <c r="F154" s="2076"/>
      <c r="G154" s="2076"/>
      <c r="H154" s="2076"/>
      <c r="I154" s="2077">
        <v>0</v>
      </c>
      <c r="J154" s="2077"/>
      <c r="K154" s="2077"/>
      <c r="L154" s="2077"/>
      <c r="M154" s="2077"/>
      <c r="N154" s="2077"/>
      <c r="O154" s="2077"/>
      <c r="P154" s="2077">
        <v>0</v>
      </c>
      <c r="Q154" s="2077"/>
      <c r="R154" s="2077"/>
      <c r="S154" s="2077"/>
      <c r="T154" s="2077"/>
      <c r="U154" s="2078"/>
      <c r="V154" s="1208"/>
      <c r="W154" s="1208"/>
      <c r="X154" s="2069" t="s">
        <v>2284</v>
      </c>
      <c r="Y154" s="2070"/>
      <c r="Z154" s="2070"/>
      <c r="AA154" s="2070"/>
      <c r="AB154" s="2070"/>
      <c r="AC154" s="2070"/>
      <c r="AD154" s="2070"/>
      <c r="AE154" s="2071">
        <v>0</v>
      </c>
      <c r="AF154" s="2071"/>
      <c r="AG154" s="2071"/>
      <c r="AH154" s="2071"/>
      <c r="AI154" s="2071"/>
      <c r="AJ154" s="2071"/>
      <c r="AK154" s="2071"/>
      <c r="AL154" s="2071">
        <v>0</v>
      </c>
      <c r="AM154" s="2071"/>
      <c r="AN154" s="2071"/>
      <c r="AO154" s="2071"/>
      <c r="AP154" s="2071"/>
      <c r="AQ154" s="2072"/>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69" t="s">
        <v>2283</v>
      </c>
      <c r="C155" s="2070"/>
      <c r="D155" s="2070"/>
      <c r="E155" s="2070"/>
      <c r="F155" s="2070"/>
      <c r="G155" s="2070"/>
      <c r="H155" s="2070"/>
      <c r="I155" s="2071">
        <v>0</v>
      </c>
      <c r="J155" s="2071"/>
      <c r="K155" s="2071"/>
      <c r="L155" s="2071"/>
      <c r="M155" s="2071"/>
      <c r="N155" s="2071"/>
      <c r="O155" s="2071"/>
      <c r="P155" s="2071">
        <v>0</v>
      </c>
      <c r="Q155" s="2071"/>
      <c r="R155" s="2071"/>
      <c r="S155" s="2071"/>
      <c r="T155" s="2071"/>
      <c r="U155" s="2072"/>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3" t="s">
        <v>2282</v>
      </c>
      <c r="D157" s="2029"/>
      <c r="E157" s="2029"/>
      <c r="F157" s="2029"/>
      <c r="G157" s="2029"/>
      <c r="H157" s="2029"/>
      <c r="I157" s="2029"/>
      <c r="J157" s="2029"/>
      <c r="K157" s="2029"/>
      <c r="L157" s="2029"/>
      <c r="M157" s="2029"/>
      <c r="N157" s="2029"/>
      <c r="O157" s="2029"/>
      <c r="P157" s="2029"/>
      <c r="Q157" s="2029"/>
      <c r="R157" s="2029"/>
      <c r="S157" s="2029"/>
      <c r="T157" s="2029"/>
      <c r="U157" s="2029"/>
      <c r="V157" s="2029"/>
      <c r="W157" s="2029"/>
      <c r="X157" s="2029"/>
      <c r="Y157" s="2029"/>
      <c r="Z157" s="2029"/>
      <c r="AA157" s="2029"/>
      <c r="AB157" s="2029"/>
      <c r="AC157" s="2029"/>
      <c r="AD157" s="2029"/>
      <c r="AE157" s="2029"/>
      <c r="AF157" s="2029"/>
      <c r="AG157" s="2030"/>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1" t="s">
        <v>2267</v>
      </c>
      <c r="D158" s="2042"/>
      <c r="E158" s="2042"/>
      <c r="F158" s="2042"/>
      <c r="G158" s="2042"/>
      <c r="H158" s="2042"/>
      <c r="I158" s="2042"/>
      <c r="J158" s="2042"/>
      <c r="K158" s="2042"/>
      <c r="L158" s="2042"/>
      <c r="M158" s="2042"/>
      <c r="N158" s="2042"/>
      <c r="O158" s="2042"/>
      <c r="P158" s="2042"/>
      <c r="Q158" s="2042" t="s">
        <v>2281</v>
      </c>
      <c r="R158" s="2042"/>
      <c r="S158" s="2042"/>
      <c r="T158" s="2074" t="s">
        <v>2280</v>
      </c>
      <c r="U158" s="2074"/>
      <c r="V158" s="2074"/>
      <c r="W158" s="2074"/>
      <c r="X158" s="2074"/>
      <c r="Y158" s="2074"/>
      <c r="Z158" s="2074"/>
      <c r="AA158" s="2074"/>
      <c r="AB158" s="2042" t="s">
        <v>2279</v>
      </c>
      <c r="AC158" s="2042"/>
      <c r="AD158" s="2042"/>
      <c r="AE158" s="2042"/>
      <c r="AF158" s="2042"/>
      <c r="AG158" s="2043"/>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56" t="s">
        <v>2278</v>
      </c>
      <c r="D159" s="2057"/>
      <c r="E159" s="2057"/>
      <c r="F159" s="2057"/>
      <c r="G159" s="2057"/>
      <c r="H159" s="2057"/>
      <c r="I159" s="2057"/>
      <c r="J159" s="2057"/>
      <c r="K159" s="2057"/>
      <c r="L159" s="2057"/>
      <c r="M159" s="2057"/>
      <c r="N159" s="2057"/>
      <c r="O159" s="2057"/>
      <c r="P159" s="2057"/>
      <c r="Q159" s="1999">
        <v>55</v>
      </c>
      <c r="R159" s="1999"/>
      <c r="S159" s="1999"/>
      <c r="T159" s="2050"/>
      <c r="U159" s="2050"/>
      <c r="V159" s="2050"/>
      <c r="W159" s="2050"/>
      <c r="X159" s="2050"/>
      <c r="Y159" s="2050"/>
      <c r="Z159" s="2050"/>
      <c r="AA159" s="2050"/>
      <c r="AB159" s="1246"/>
      <c r="AC159" s="1246"/>
      <c r="AD159" s="1246"/>
      <c r="AE159" s="1246"/>
      <c r="AF159" s="1246"/>
      <c r="AG159" s="1247"/>
      <c r="AH159" s="1208"/>
      <c r="AI159" s="1208"/>
      <c r="AJ159" s="1208"/>
      <c r="AK159" s="1208"/>
      <c r="AL159" s="1208"/>
      <c r="AM159" s="1208"/>
      <c r="AN159" s="1208"/>
      <c r="AO159" s="1208"/>
      <c r="AP159" s="1208" t="s">
        <v>249</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56" t="s">
        <v>2277</v>
      </c>
      <c r="D160" s="2057"/>
      <c r="E160" s="2057"/>
      <c r="F160" s="2057"/>
      <c r="G160" s="2057"/>
      <c r="H160" s="2057"/>
      <c r="I160" s="2057"/>
      <c r="J160" s="2057"/>
      <c r="K160" s="2057"/>
      <c r="L160" s="2057"/>
      <c r="M160" s="2057"/>
      <c r="N160" s="2057"/>
      <c r="O160" s="2057"/>
      <c r="P160" s="2057"/>
      <c r="Q160" s="1999">
        <v>55</v>
      </c>
      <c r="R160" s="1999"/>
      <c r="S160" s="1999"/>
      <c r="T160" s="2059"/>
      <c r="U160" s="2059"/>
      <c r="V160" s="2059"/>
      <c r="W160" s="2059"/>
      <c r="X160" s="2059"/>
      <c r="Y160" s="2059"/>
      <c r="Z160" s="2059"/>
      <c r="AA160" s="2059"/>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56" t="s">
        <v>2276</v>
      </c>
      <c r="D161" s="2057"/>
      <c r="E161" s="2057"/>
      <c r="F161" s="2057"/>
      <c r="G161" s="2057"/>
      <c r="H161" s="2057"/>
      <c r="I161" s="2057"/>
      <c r="J161" s="2057"/>
      <c r="K161" s="2057"/>
      <c r="L161" s="2057"/>
      <c r="M161" s="2057"/>
      <c r="N161" s="2057"/>
      <c r="O161" s="2057"/>
      <c r="P161" s="2057"/>
      <c r="Q161" s="1999">
        <v>55</v>
      </c>
      <c r="R161" s="1999"/>
      <c r="S161" s="1999"/>
      <c r="T161" s="2050"/>
      <c r="U161" s="2050"/>
      <c r="V161" s="2050"/>
      <c r="W161" s="2050"/>
      <c r="X161" s="2050"/>
      <c r="Y161" s="2050"/>
      <c r="Z161" s="2050"/>
      <c r="AA161" s="2050"/>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56" t="s">
        <v>2275</v>
      </c>
      <c r="D162" s="2057"/>
      <c r="E162" s="2057"/>
      <c r="F162" s="2057"/>
      <c r="G162" s="2057"/>
      <c r="H162" s="2057"/>
      <c r="I162" s="2057"/>
      <c r="J162" s="2057"/>
      <c r="K162" s="2057"/>
      <c r="L162" s="2057"/>
      <c r="M162" s="2057"/>
      <c r="N162" s="2057"/>
      <c r="O162" s="2057"/>
      <c r="P162" s="2057"/>
      <c r="Q162" s="1999">
        <v>55</v>
      </c>
      <c r="R162" s="1999"/>
      <c r="S162" s="1999"/>
      <c r="T162" s="2050"/>
      <c r="U162" s="2050"/>
      <c r="V162" s="2050"/>
      <c r="W162" s="2050"/>
      <c r="X162" s="2050"/>
      <c r="Y162" s="2050"/>
      <c r="Z162" s="2050"/>
      <c r="AA162" s="2050"/>
      <c r="AB162" s="2060">
        <v>0</v>
      </c>
      <c r="AC162" s="2060"/>
      <c r="AD162" s="2060"/>
      <c r="AE162" s="2060"/>
      <c r="AF162" s="2060"/>
      <c r="AG162" s="2061"/>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56" t="s">
        <v>169</v>
      </c>
      <c r="D163" s="2057"/>
      <c r="E163" s="2057"/>
      <c r="F163" s="2058" t="s">
        <v>2256</v>
      </c>
      <c r="G163" s="2058"/>
      <c r="H163" s="2058"/>
      <c r="I163" s="2058"/>
      <c r="J163" s="2058"/>
      <c r="K163" s="2058"/>
      <c r="L163" s="2058"/>
      <c r="M163" s="2058"/>
      <c r="N163" s="2058"/>
      <c r="O163" s="2058"/>
      <c r="P163" s="2058"/>
      <c r="Q163" s="1999">
        <v>55</v>
      </c>
      <c r="R163" s="1999"/>
      <c r="S163" s="1999"/>
      <c r="T163" s="2059"/>
      <c r="U163" s="2059"/>
      <c r="V163" s="2059"/>
      <c r="W163" s="2059"/>
      <c r="X163" s="2059"/>
      <c r="Y163" s="2059"/>
      <c r="Z163" s="2059"/>
      <c r="AA163" s="2059"/>
      <c r="AB163" s="2060">
        <v>0</v>
      </c>
      <c r="AC163" s="2060"/>
      <c r="AD163" s="2060"/>
      <c r="AE163" s="2060"/>
      <c r="AF163" s="2060"/>
      <c r="AG163" s="2061"/>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56" t="s">
        <v>169</v>
      </c>
      <c r="D164" s="2057"/>
      <c r="E164" s="2057"/>
      <c r="F164" s="2058" t="s">
        <v>2256</v>
      </c>
      <c r="G164" s="2058"/>
      <c r="H164" s="2058"/>
      <c r="I164" s="2058"/>
      <c r="J164" s="2058"/>
      <c r="K164" s="2058"/>
      <c r="L164" s="2058"/>
      <c r="M164" s="2058"/>
      <c r="N164" s="2058"/>
      <c r="O164" s="2058"/>
      <c r="P164" s="2058"/>
      <c r="Q164" s="1999">
        <v>55</v>
      </c>
      <c r="R164" s="1999"/>
      <c r="S164" s="1999"/>
      <c r="T164" s="2059"/>
      <c r="U164" s="2059"/>
      <c r="V164" s="2059"/>
      <c r="W164" s="2059"/>
      <c r="X164" s="2059"/>
      <c r="Y164" s="2059"/>
      <c r="Z164" s="2059"/>
      <c r="AA164" s="2059"/>
      <c r="AB164" s="2060">
        <v>0</v>
      </c>
      <c r="AC164" s="2060"/>
      <c r="AD164" s="2060"/>
      <c r="AE164" s="2060"/>
      <c r="AF164" s="2060"/>
      <c r="AG164" s="2061"/>
      <c r="AH164" s="1208"/>
      <c r="AI164" s="1208"/>
      <c r="AJ164" s="1208"/>
      <c r="AK164" s="1208" t="s">
        <v>249</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2" t="s">
        <v>169</v>
      </c>
      <c r="D165" s="2063"/>
      <c r="E165" s="2063"/>
      <c r="F165" s="2064" t="s">
        <v>2256</v>
      </c>
      <c r="G165" s="2064"/>
      <c r="H165" s="2064"/>
      <c r="I165" s="2064"/>
      <c r="J165" s="2064"/>
      <c r="K165" s="2064"/>
      <c r="L165" s="2064"/>
      <c r="M165" s="2064"/>
      <c r="N165" s="2064"/>
      <c r="O165" s="2064"/>
      <c r="P165" s="2064"/>
      <c r="Q165" s="2065">
        <v>55</v>
      </c>
      <c r="R165" s="2065"/>
      <c r="S165" s="2065"/>
      <c r="T165" s="2066"/>
      <c r="U165" s="2066"/>
      <c r="V165" s="2066"/>
      <c r="W165" s="2066"/>
      <c r="X165" s="2066"/>
      <c r="Y165" s="2066"/>
      <c r="Z165" s="2066"/>
      <c r="AA165" s="2066"/>
      <c r="AB165" s="2067">
        <v>0</v>
      </c>
      <c r="AC165" s="2067"/>
      <c r="AD165" s="2067"/>
      <c r="AE165" s="2067"/>
      <c r="AF165" s="2067"/>
      <c r="AG165" s="2068"/>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27" t="s">
        <v>2274</v>
      </c>
      <c r="D167" s="2028"/>
      <c r="E167" s="2028"/>
      <c r="F167" s="2028"/>
      <c r="G167" s="2028"/>
      <c r="H167" s="2028"/>
      <c r="I167" s="2028"/>
      <c r="J167" s="2028"/>
      <c r="K167" s="2028"/>
      <c r="L167" s="2028"/>
      <c r="M167" s="2028"/>
      <c r="N167" s="2037"/>
      <c r="O167" s="1208"/>
      <c r="P167" s="2038" t="s">
        <v>2273</v>
      </c>
      <c r="Q167" s="2039"/>
      <c r="R167" s="2039"/>
      <c r="S167" s="2039"/>
      <c r="T167" s="2039"/>
      <c r="U167" s="2039"/>
      <c r="V167" s="2039"/>
      <c r="W167" s="2039"/>
      <c r="X167" s="2039"/>
      <c r="Y167" s="2039"/>
      <c r="Z167" s="2039"/>
      <c r="AA167" s="2039"/>
      <c r="AB167" s="2039"/>
      <c r="AC167" s="2039"/>
      <c r="AD167" s="2039"/>
      <c r="AE167" s="2039"/>
      <c r="AF167" s="2039"/>
      <c r="AG167" s="2039"/>
      <c r="AH167" s="2039"/>
      <c r="AI167" s="2039"/>
      <c r="AJ167" s="2039"/>
      <c r="AK167" s="2039"/>
      <c r="AL167" s="2039"/>
      <c r="AM167" s="2039"/>
      <c r="AN167" s="2039"/>
      <c r="AO167" s="2040"/>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1" t="s">
        <v>2272</v>
      </c>
      <c r="D168" s="2042"/>
      <c r="E168" s="2042"/>
      <c r="F168" s="2042"/>
      <c r="G168" s="2042"/>
      <c r="H168" s="2042"/>
      <c r="I168" s="2042" t="s">
        <v>2271</v>
      </c>
      <c r="J168" s="2042"/>
      <c r="K168" s="2042"/>
      <c r="L168" s="2042"/>
      <c r="M168" s="2042"/>
      <c r="N168" s="2043"/>
      <c r="O168" s="1208"/>
      <c r="P168" s="2044" t="s">
        <v>2270</v>
      </c>
      <c r="Q168" s="2045"/>
      <c r="R168" s="2045"/>
      <c r="S168" s="2045"/>
      <c r="T168" s="2045"/>
      <c r="U168" s="2045"/>
      <c r="V168" s="2045"/>
      <c r="W168" s="2045"/>
      <c r="X168" s="2045"/>
      <c r="Y168" s="2045"/>
      <c r="Z168" s="2045"/>
      <c r="AA168" s="2045"/>
      <c r="AB168" s="2045"/>
      <c r="AC168" s="2045"/>
      <c r="AD168" s="2045"/>
      <c r="AE168" s="2045"/>
      <c r="AF168" s="2045"/>
      <c r="AG168" s="2045"/>
      <c r="AH168" s="2045"/>
      <c r="AI168" s="2045"/>
      <c r="AJ168" s="2045"/>
      <c r="AK168" s="2045"/>
      <c r="AL168" s="2045"/>
      <c r="AM168" s="2045"/>
      <c r="AN168" s="2045"/>
      <c r="AO168" s="2046"/>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89"/>
      <c r="D169" s="1990"/>
      <c r="E169" s="1990"/>
      <c r="F169" s="1990"/>
      <c r="G169" s="1990"/>
      <c r="H169" s="1990"/>
      <c r="I169" s="2050"/>
      <c r="J169" s="2050"/>
      <c r="K169" s="2050"/>
      <c r="L169" s="2050"/>
      <c r="M169" s="2050"/>
      <c r="N169" s="2051"/>
      <c r="O169" s="1208"/>
      <c r="P169" s="2044"/>
      <c r="Q169" s="2045"/>
      <c r="R169" s="2045"/>
      <c r="S169" s="2045"/>
      <c r="T169" s="2045"/>
      <c r="U169" s="2045"/>
      <c r="V169" s="2045"/>
      <c r="W169" s="2045"/>
      <c r="X169" s="2045"/>
      <c r="Y169" s="2045"/>
      <c r="Z169" s="2045"/>
      <c r="AA169" s="2045"/>
      <c r="AB169" s="2045"/>
      <c r="AC169" s="2045"/>
      <c r="AD169" s="2045"/>
      <c r="AE169" s="2045"/>
      <c r="AF169" s="2045"/>
      <c r="AG169" s="2045"/>
      <c r="AH169" s="2045"/>
      <c r="AI169" s="2045"/>
      <c r="AJ169" s="2045"/>
      <c r="AK169" s="2045"/>
      <c r="AL169" s="2045"/>
      <c r="AM169" s="2045"/>
      <c r="AN169" s="2045"/>
      <c r="AO169" s="2046"/>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89"/>
      <c r="D170" s="1990"/>
      <c r="E170" s="1990"/>
      <c r="F170" s="1990"/>
      <c r="G170" s="1990"/>
      <c r="H170" s="1990"/>
      <c r="I170" s="2050"/>
      <c r="J170" s="2050"/>
      <c r="K170" s="2050"/>
      <c r="L170" s="2050"/>
      <c r="M170" s="2050"/>
      <c r="N170" s="2051"/>
      <c r="O170" s="1208"/>
      <c r="P170" s="2044"/>
      <c r="Q170" s="2045"/>
      <c r="R170" s="2045"/>
      <c r="S170" s="2045"/>
      <c r="T170" s="2045"/>
      <c r="U170" s="2045"/>
      <c r="V170" s="2045"/>
      <c r="W170" s="2045"/>
      <c r="X170" s="2045"/>
      <c r="Y170" s="2045"/>
      <c r="Z170" s="2045"/>
      <c r="AA170" s="2045"/>
      <c r="AB170" s="2045"/>
      <c r="AC170" s="2045"/>
      <c r="AD170" s="2045"/>
      <c r="AE170" s="2045"/>
      <c r="AF170" s="2045"/>
      <c r="AG170" s="2045"/>
      <c r="AH170" s="2045"/>
      <c r="AI170" s="2045"/>
      <c r="AJ170" s="2045"/>
      <c r="AK170" s="2045"/>
      <c r="AL170" s="2045"/>
      <c r="AM170" s="2045"/>
      <c r="AN170" s="2045"/>
      <c r="AO170" s="2046"/>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89"/>
      <c r="D171" s="1990"/>
      <c r="E171" s="1990"/>
      <c r="F171" s="1990"/>
      <c r="G171" s="1990"/>
      <c r="H171" s="1990"/>
      <c r="I171" s="2050"/>
      <c r="J171" s="2050"/>
      <c r="K171" s="2050"/>
      <c r="L171" s="2050"/>
      <c r="M171" s="2050"/>
      <c r="N171" s="2051"/>
      <c r="O171" s="1208"/>
      <c r="P171" s="2044"/>
      <c r="Q171" s="2045"/>
      <c r="R171" s="2045"/>
      <c r="S171" s="2045"/>
      <c r="T171" s="2045"/>
      <c r="U171" s="2045"/>
      <c r="V171" s="2045"/>
      <c r="W171" s="2045"/>
      <c r="X171" s="2045"/>
      <c r="Y171" s="2045"/>
      <c r="Z171" s="2045"/>
      <c r="AA171" s="2045"/>
      <c r="AB171" s="2045"/>
      <c r="AC171" s="2045"/>
      <c r="AD171" s="2045"/>
      <c r="AE171" s="2045"/>
      <c r="AF171" s="2045"/>
      <c r="AG171" s="2045"/>
      <c r="AH171" s="2045"/>
      <c r="AI171" s="2045"/>
      <c r="AJ171" s="2045"/>
      <c r="AK171" s="2045"/>
      <c r="AL171" s="2045"/>
      <c r="AM171" s="2045"/>
      <c r="AN171" s="2045"/>
      <c r="AO171" s="2046"/>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89"/>
      <c r="D172" s="1990"/>
      <c r="E172" s="1990"/>
      <c r="F172" s="1990"/>
      <c r="G172" s="1990"/>
      <c r="H172" s="1990"/>
      <c r="I172" s="2050"/>
      <c r="J172" s="2050"/>
      <c r="K172" s="2050"/>
      <c r="L172" s="2050"/>
      <c r="M172" s="2050"/>
      <c r="N172" s="2051"/>
      <c r="O172" s="1208"/>
      <c r="P172" s="2044"/>
      <c r="Q172" s="2045"/>
      <c r="R172" s="2045"/>
      <c r="S172" s="2045"/>
      <c r="T172" s="2045"/>
      <c r="U172" s="2045"/>
      <c r="V172" s="2045"/>
      <c r="W172" s="2045"/>
      <c r="X172" s="2045"/>
      <c r="Y172" s="2045"/>
      <c r="Z172" s="2045"/>
      <c r="AA172" s="2045"/>
      <c r="AB172" s="2045"/>
      <c r="AC172" s="2045"/>
      <c r="AD172" s="2045"/>
      <c r="AE172" s="2045"/>
      <c r="AF172" s="2045"/>
      <c r="AG172" s="2045"/>
      <c r="AH172" s="2045"/>
      <c r="AI172" s="2045"/>
      <c r="AJ172" s="2045"/>
      <c r="AK172" s="2045"/>
      <c r="AL172" s="2045"/>
      <c r="AM172" s="2045"/>
      <c r="AN172" s="2045"/>
      <c r="AO172" s="2046"/>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89"/>
      <c r="D173" s="1990"/>
      <c r="E173" s="1990"/>
      <c r="F173" s="1990"/>
      <c r="G173" s="1990"/>
      <c r="H173" s="1990"/>
      <c r="I173" s="2050"/>
      <c r="J173" s="2050"/>
      <c r="K173" s="2050"/>
      <c r="L173" s="2050"/>
      <c r="M173" s="2050"/>
      <c r="N173" s="2051"/>
      <c r="O173" s="1208"/>
      <c r="P173" s="2044"/>
      <c r="Q173" s="2045"/>
      <c r="R173" s="2045"/>
      <c r="S173" s="2045"/>
      <c r="T173" s="2045"/>
      <c r="U173" s="2045"/>
      <c r="V173" s="2045"/>
      <c r="W173" s="2045"/>
      <c r="X173" s="2045"/>
      <c r="Y173" s="2045"/>
      <c r="Z173" s="2045"/>
      <c r="AA173" s="2045"/>
      <c r="AB173" s="2045"/>
      <c r="AC173" s="2045"/>
      <c r="AD173" s="2045"/>
      <c r="AE173" s="2045"/>
      <c r="AF173" s="2045"/>
      <c r="AG173" s="2045"/>
      <c r="AH173" s="2045"/>
      <c r="AI173" s="2045"/>
      <c r="AJ173" s="2045"/>
      <c r="AK173" s="2045"/>
      <c r="AL173" s="2045"/>
      <c r="AM173" s="2045"/>
      <c r="AN173" s="2045"/>
      <c r="AO173" s="2046"/>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89"/>
      <c r="D174" s="1990"/>
      <c r="E174" s="1990"/>
      <c r="F174" s="1990"/>
      <c r="G174" s="1990"/>
      <c r="H174" s="1990"/>
      <c r="I174" s="2050"/>
      <c r="J174" s="2050"/>
      <c r="K174" s="2050"/>
      <c r="L174" s="2050"/>
      <c r="M174" s="2050"/>
      <c r="N174" s="2051"/>
      <c r="O174" s="1208"/>
      <c r="P174" s="2044"/>
      <c r="Q174" s="2045"/>
      <c r="R174" s="2045"/>
      <c r="S174" s="2045"/>
      <c r="T174" s="2045"/>
      <c r="U174" s="2045"/>
      <c r="V174" s="2045"/>
      <c r="W174" s="2045"/>
      <c r="X174" s="2045"/>
      <c r="Y174" s="2045"/>
      <c r="Z174" s="2045"/>
      <c r="AA174" s="2045"/>
      <c r="AB174" s="2045"/>
      <c r="AC174" s="2045"/>
      <c r="AD174" s="2045"/>
      <c r="AE174" s="2045"/>
      <c r="AF174" s="2045"/>
      <c r="AG174" s="2045"/>
      <c r="AH174" s="2045"/>
      <c r="AI174" s="2045"/>
      <c r="AJ174" s="2045"/>
      <c r="AK174" s="2045"/>
      <c r="AL174" s="2045"/>
      <c r="AM174" s="2045"/>
      <c r="AN174" s="2045"/>
      <c r="AO174" s="2046"/>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2"/>
      <c r="D175" s="2053"/>
      <c r="E175" s="2053"/>
      <c r="F175" s="2053"/>
      <c r="G175" s="2053"/>
      <c r="H175" s="2053"/>
      <c r="I175" s="2054"/>
      <c r="J175" s="2054"/>
      <c r="K175" s="2054"/>
      <c r="L175" s="2054"/>
      <c r="M175" s="2054"/>
      <c r="N175" s="2055"/>
      <c r="O175" s="1208"/>
      <c r="P175" s="2047"/>
      <c r="Q175" s="2048"/>
      <c r="R175" s="2048"/>
      <c r="S175" s="2048"/>
      <c r="T175" s="2048"/>
      <c r="U175" s="2048"/>
      <c r="V175" s="2048"/>
      <c r="W175" s="2048"/>
      <c r="X175" s="2048"/>
      <c r="Y175" s="2048"/>
      <c r="Z175" s="2048"/>
      <c r="AA175" s="2048"/>
      <c r="AB175" s="2048"/>
      <c r="AC175" s="2048"/>
      <c r="AD175" s="2048"/>
      <c r="AE175" s="2048"/>
      <c r="AF175" s="2048"/>
      <c r="AG175" s="2048"/>
      <c r="AH175" s="2048"/>
      <c r="AI175" s="2048"/>
      <c r="AJ175" s="2048"/>
      <c r="AK175" s="2048"/>
      <c r="AL175" s="2048"/>
      <c r="AM175" s="2048"/>
      <c r="AN175" s="2048"/>
      <c r="AO175" s="2049"/>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18" t="s">
        <v>2269</v>
      </c>
      <c r="D177" s="2019"/>
      <c r="E177" s="2019"/>
      <c r="F177" s="2019"/>
      <c r="G177" s="2019"/>
      <c r="H177" s="2019"/>
      <c r="I177" s="2019"/>
      <c r="J177" s="2019"/>
      <c r="K177" s="2019"/>
      <c r="L177" s="2019"/>
      <c r="M177" s="2019"/>
      <c r="N177" s="2019"/>
      <c r="O177" s="2019"/>
      <c r="P177" s="2019"/>
      <c r="Q177" s="2019"/>
      <c r="R177" s="2019"/>
      <c r="S177" s="2019"/>
      <c r="T177" s="2019"/>
      <c r="U177" s="2019"/>
      <c r="V177" s="2019"/>
      <c r="W177" s="2019"/>
      <c r="X177" s="2019"/>
      <c r="Y177" s="2019"/>
      <c r="Z177" s="2019"/>
      <c r="AA177" s="2019"/>
      <c r="AB177" s="2019"/>
      <c r="AC177" s="2019"/>
      <c r="AD177" s="2019"/>
      <c r="AE177" s="2020"/>
      <c r="AF177" s="1208"/>
      <c r="AG177" s="1208"/>
      <c r="AH177" s="1903"/>
      <c r="AI177" s="1903"/>
      <c r="AJ177" s="1903"/>
      <c r="AK177" s="1903"/>
      <c r="AL177" s="1903"/>
      <c r="AM177" s="1903"/>
      <c r="AN177" s="1903"/>
      <c r="AO177" s="1903"/>
      <c r="AP177" s="1903"/>
      <c r="AQ177" s="1903"/>
      <c r="AR177" s="1903"/>
      <c r="AS177" s="1903"/>
      <c r="AT177" s="1903"/>
      <c r="AU177" s="1903"/>
      <c r="AV177" s="1903"/>
      <c r="AW177" s="1903"/>
      <c r="AX177" s="1903"/>
      <c r="AY177" s="1903"/>
      <c r="AZ177" s="1903"/>
      <c r="BA177" s="1903"/>
      <c r="BB177" s="1903"/>
      <c r="BC177" s="1903"/>
      <c r="BD177" s="1903"/>
      <c r="BE177" s="1903"/>
    </row>
    <row r="178" spans="1:57" ht="15.75" customHeight="1" thickBot="1">
      <c r="A178" s="1208"/>
      <c r="B178" s="1208"/>
      <c r="C178" s="2021"/>
      <c r="D178" s="2022"/>
      <c r="E178" s="2022"/>
      <c r="F178" s="2022"/>
      <c r="G178" s="2022"/>
      <c r="H178" s="2022"/>
      <c r="I178" s="2022"/>
      <c r="J178" s="2022"/>
      <c r="K178" s="2022"/>
      <c r="L178" s="2022"/>
      <c r="M178" s="2022"/>
      <c r="N178" s="2022"/>
      <c r="O178" s="2022"/>
      <c r="P178" s="2022"/>
      <c r="Q178" s="2022"/>
      <c r="R178" s="2022"/>
      <c r="S178" s="2022"/>
      <c r="T178" s="2022"/>
      <c r="U178" s="2022"/>
      <c r="V178" s="2022"/>
      <c r="W178" s="2022"/>
      <c r="X178" s="2022"/>
      <c r="Y178" s="2022"/>
      <c r="Z178" s="2022"/>
      <c r="AA178" s="2022"/>
      <c r="AB178" s="2022"/>
      <c r="AC178" s="2022"/>
      <c r="AD178" s="2022"/>
      <c r="AE178" s="2023"/>
      <c r="AF178" s="1208"/>
      <c r="AG178" s="1208"/>
      <c r="AH178" s="1903"/>
      <c r="AI178" s="1903"/>
      <c r="AJ178" s="1903"/>
      <c r="AK178" s="1903"/>
      <c r="AL178" s="1903"/>
      <c r="AM178" s="1903"/>
      <c r="AN178" s="1903"/>
      <c r="AO178" s="1903"/>
      <c r="AP178" s="1903"/>
      <c r="AQ178" s="1903"/>
      <c r="AR178" s="1903"/>
      <c r="AS178" s="1903"/>
      <c r="AT178" s="1903"/>
      <c r="AU178" s="1903"/>
      <c r="AV178" s="1903"/>
      <c r="AW178" s="1903"/>
      <c r="AX178" s="1903"/>
      <c r="AY178" s="1903"/>
      <c r="AZ178" s="1903"/>
      <c r="BA178" s="1903"/>
      <c r="BB178" s="1903"/>
      <c r="BC178" s="1903"/>
      <c r="BD178" s="1903"/>
      <c r="BE178" s="1903"/>
    </row>
    <row r="179" spans="1:57" ht="15.75" customHeight="1">
      <c r="A179" s="1208"/>
      <c r="B179" s="1208"/>
      <c r="C179" s="2027" t="s">
        <v>2267</v>
      </c>
      <c r="D179" s="2028"/>
      <c r="E179" s="2028"/>
      <c r="F179" s="2028"/>
      <c r="G179" s="2028"/>
      <c r="H179" s="2028"/>
      <c r="I179" s="2028"/>
      <c r="J179" s="2028"/>
      <c r="K179" s="2028"/>
      <c r="L179" s="2028"/>
      <c r="M179" s="2028"/>
      <c r="N179" s="2028" t="s">
        <v>2268</v>
      </c>
      <c r="O179" s="2028"/>
      <c r="P179" s="2028"/>
      <c r="Q179" s="2028"/>
      <c r="R179" s="2028"/>
      <c r="S179" s="2028"/>
      <c r="T179" s="2028"/>
      <c r="U179" s="2029" t="s">
        <v>2267</v>
      </c>
      <c r="V179" s="2029"/>
      <c r="W179" s="2029"/>
      <c r="X179" s="2029"/>
      <c r="Y179" s="2029"/>
      <c r="Z179" s="2029"/>
      <c r="AA179" s="2029"/>
      <c r="AB179" s="2029"/>
      <c r="AC179" s="2029"/>
      <c r="AD179" s="2029"/>
      <c r="AE179" s="2030"/>
      <c r="AF179" s="1208"/>
      <c r="AG179" s="1208"/>
      <c r="AH179" s="1903"/>
      <c r="AI179" s="1903"/>
      <c r="AJ179" s="1903"/>
      <c r="AK179" s="1903"/>
      <c r="AL179" s="1903"/>
      <c r="AM179" s="1903"/>
      <c r="AN179" s="1903"/>
      <c r="AO179" s="1903"/>
      <c r="AP179" s="1903"/>
      <c r="AQ179" s="1903"/>
      <c r="AR179" s="1903"/>
      <c r="AS179" s="1903"/>
      <c r="AT179" s="1903"/>
      <c r="AU179" s="1903"/>
      <c r="AV179" s="1903"/>
      <c r="AW179" s="1903"/>
      <c r="AX179" s="1903"/>
      <c r="AY179" s="1903"/>
      <c r="AZ179" s="1903"/>
      <c r="BA179" s="1903"/>
      <c r="BB179" s="1903"/>
      <c r="BC179" s="1903"/>
      <c r="BD179" s="1903"/>
      <c r="BE179" s="1903"/>
    </row>
    <row r="180" spans="1:57" ht="15.75" customHeight="1">
      <c r="A180" s="1208"/>
      <c r="B180" s="1208"/>
      <c r="C180" s="2006" t="s">
        <v>2266</v>
      </c>
      <c r="D180" s="2007"/>
      <c r="E180" s="2007"/>
      <c r="F180" s="2007"/>
      <c r="G180" s="2007"/>
      <c r="H180" s="2007"/>
      <c r="I180" s="2007"/>
      <c r="J180" s="2007"/>
      <c r="K180" s="2007"/>
      <c r="L180" s="2007"/>
      <c r="M180" s="2007"/>
      <c r="N180" s="2017">
        <f>'Sources and Uses Budget'!B105</f>
        <v>67459439</v>
      </c>
      <c r="O180" s="2017"/>
      <c r="P180" s="2017"/>
      <c r="Q180" s="2017"/>
      <c r="R180" s="2017"/>
      <c r="S180" s="2017"/>
      <c r="T180" s="2017"/>
      <c r="U180" s="2031"/>
      <c r="V180" s="2031"/>
      <c r="W180" s="2031"/>
      <c r="X180" s="2031"/>
      <c r="Y180" s="2031"/>
      <c r="Z180" s="2031"/>
      <c r="AA180" s="2031"/>
      <c r="AB180" s="2031"/>
      <c r="AC180" s="2031"/>
      <c r="AD180" s="2031"/>
      <c r="AE180" s="2032"/>
      <c r="AF180" s="1208"/>
      <c r="AG180" s="1208"/>
      <c r="AH180" s="1903"/>
      <c r="AI180" s="1903"/>
      <c r="AJ180" s="1903"/>
      <c r="AK180" s="1903"/>
      <c r="AL180" s="1903"/>
      <c r="AM180" s="1903"/>
      <c r="AN180" s="1903"/>
      <c r="AO180" s="1903"/>
      <c r="AP180" s="1903"/>
      <c r="AQ180" s="1903"/>
      <c r="AR180" s="1903"/>
      <c r="AS180" s="1903"/>
      <c r="AT180" s="1903"/>
      <c r="AU180" s="1903"/>
      <c r="AV180" s="1903"/>
      <c r="AW180" s="1903"/>
      <c r="AX180" s="1903"/>
      <c r="AY180" s="1903"/>
      <c r="AZ180" s="1903"/>
      <c r="BA180" s="1903"/>
      <c r="BB180" s="1903"/>
      <c r="BC180" s="1903"/>
      <c r="BD180" s="1903"/>
      <c r="BE180" s="1903"/>
    </row>
    <row r="181" spans="1:57" ht="15.75" customHeight="1">
      <c r="A181" s="1208"/>
      <c r="B181" s="1208"/>
      <c r="C181" s="2006" t="s">
        <v>2265</v>
      </c>
      <c r="D181" s="2007"/>
      <c r="E181" s="2007"/>
      <c r="F181" s="2007"/>
      <c r="G181" s="2007"/>
      <c r="H181" s="2007"/>
      <c r="I181" s="2007"/>
      <c r="J181" s="2007"/>
      <c r="K181" s="2007"/>
      <c r="L181" s="2007"/>
      <c r="M181" s="2007"/>
      <c r="N181" s="2017">
        <f>N180/J29</f>
        <v>514957.5496183206</v>
      </c>
      <c r="O181" s="2017"/>
      <c r="P181" s="2017"/>
      <c r="Q181" s="2017"/>
      <c r="R181" s="2017"/>
      <c r="S181" s="2017"/>
      <c r="T181" s="2017"/>
      <c r="U181" s="1248"/>
      <c r="V181" s="1248"/>
      <c r="W181" s="1248"/>
      <c r="X181" s="1248"/>
      <c r="Y181" s="1248"/>
      <c r="Z181" s="1248"/>
      <c r="AA181" s="1248"/>
      <c r="AB181" s="1248"/>
      <c r="AC181" s="1248"/>
      <c r="AD181" s="1248"/>
      <c r="AE181" s="1249"/>
      <c r="AF181" s="1208"/>
      <c r="AG181" s="1208"/>
      <c r="AH181" s="1903"/>
      <c r="AI181" s="1903"/>
      <c r="AJ181" s="1903"/>
      <c r="AK181" s="1903"/>
      <c r="AL181" s="1903"/>
      <c r="AM181" s="1903"/>
      <c r="AN181" s="1903"/>
      <c r="AO181" s="1903"/>
      <c r="AP181" s="1903"/>
      <c r="AQ181" s="1903"/>
      <c r="AR181" s="1903"/>
      <c r="AS181" s="1903"/>
      <c r="AT181" s="1903"/>
      <c r="AU181" s="1903"/>
      <c r="AV181" s="1903"/>
      <c r="AW181" s="1903"/>
      <c r="AX181" s="1903"/>
      <c r="AY181" s="1903"/>
      <c r="AZ181" s="1903"/>
      <c r="BA181" s="1903"/>
      <c r="BB181" s="1903"/>
      <c r="BC181" s="1903"/>
      <c r="BD181" s="1903"/>
      <c r="BE181" s="1903"/>
    </row>
    <row r="182" spans="1:57" ht="15.75" customHeight="1">
      <c r="A182" s="1208"/>
      <c r="B182" s="1208"/>
      <c r="C182" s="2033" t="s">
        <v>2264</v>
      </c>
      <c r="D182" s="2034"/>
      <c r="E182" s="2034"/>
      <c r="F182" s="2034"/>
      <c r="G182" s="2034"/>
      <c r="H182" s="2034"/>
      <c r="I182" s="2034"/>
      <c r="J182" s="2034"/>
      <c r="K182" s="2034"/>
      <c r="L182" s="2034"/>
      <c r="M182" s="2034"/>
      <c r="N182" s="2035">
        <v>0</v>
      </c>
      <c r="O182" s="2035"/>
      <c r="P182" s="2035"/>
      <c r="Q182" s="2035"/>
      <c r="R182" s="2035"/>
      <c r="S182" s="2035"/>
      <c r="T182" s="2035"/>
      <c r="U182" s="1993"/>
      <c r="V182" s="1993"/>
      <c r="W182" s="1993"/>
      <c r="X182" s="1993"/>
      <c r="Y182" s="1993"/>
      <c r="Z182" s="1993"/>
      <c r="AA182" s="1993"/>
      <c r="AB182" s="1993"/>
      <c r="AC182" s="1993"/>
      <c r="AD182" s="1993"/>
      <c r="AE182" s="1994"/>
      <c r="AF182" s="1208"/>
      <c r="AG182" s="1208"/>
      <c r="AH182" s="1903"/>
      <c r="AI182" s="1903"/>
      <c r="AJ182" s="1903"/>
      <c r="AK182" s="1903"/>
      <c r="AL182" s="1903"/>
      <c r="AM182" s="1903"/>
      <c r="AN182" s="1903"/>
      <c r="AO182" s="1903"/>
      <c r="AP182" s="1903"/>
      <c r="AQ182" s="1903"/>
      <c r="AR182" s="1903"/>
      <c r="AS182" s="1903"/>
      <c r="AT182" s="1903"/>
      <c r="AU182" s="1903"/>
      <c r="AV182" s="1903"/>
      <c r="AW182" s="1903"/>
      <c r="AX182" s="1903"/>
      <c r="AY182" s="1903"/>
      <c r="AZ182" s="1903"/>
      <c r="BA182" s="1903"/>
      <c r="BB182" s="1903"/>
      <c r="BC182" s="1903"/>
      <c r="BD182" s="1903"/>
      <c r="BE182" s="1903"/>
    </row>
    <row r="183" spans="1:57" ht="15.75" customHeight="1" thickBot="1">
      <c r="A183" s="1208"/>
      <c r="B183" s="1208"/>
      <c r="C183" s="2006" t="s">
        <v>2263</v>
      </c>
      <c r="D183" s="2007"/>
      <c r="E183" s="2007"/>
      <c r="F183" s="2007"/>
      <c r="G183" s="2007"/>
      <c r="H183" s="2007"/>
      <c r="I183" s="2007"/>
      <c r="J183" s="2007"/>
      <c r="K183" s="2007"/>
      <c r="L183" s="2007"/>
      <c r="M183" s="2007"/>
      <c r="N183" s="2036">
        <f>SUM('Sources and Uses Budget'!B85:B86)</f>
        <v>5778145</v>
      </c>
      <c r="O183" s="2036"/>
      <c r="P183" s="2036"/>
      <c r="Q183" s="2036"/>
      <c r="R183" s="2036"/>
      <c r="S183" s="2036"/>
      <c r="T183" s="2036"/>
      <c r="U183" s="1993"/>
      <c r="V183" s="1993"/>
      <c r="W183" s="1993"/>
      <c r="X183" s="1993"/>
      <c r="Y183" s="1993"/>
      <c r="Z183" s="1993"/>
      <c r="AA183" s="1993"/>
      <c r="AB183" s="1993"/>
      <c r="AC183" s="1993"/>
      <c r="AD183" s="1993"/>
      <c r="AE183" s="1994"/>
      <c r="AF183" s="1208"/>
      <c r="AG183" s="1208"/>
      <c r="AH183" s="1903"/>
      <c r="AI183" s="1903"/>
      <c r="AJ183" s="1903"/>
      <c r="AK183" s="1903"/>
      <c r="AL183" s="1903"/>
      <c r="AM183" s="1903"/>
      <c r="AN183" s="1903"/>
      <c r="AO183" s="1903"/>
      <c r="AP183" s="1903"/>
      <c r="AQ183" s="1903"/>
      <c r="AR183" s="1903"/>
      <c r="AS183" s="1903"/>
      <c r="AT183" s="1903"/>
      <c r="AU183" s="1903"/>
      <c r="AV183" s="1903"/>
      <c r="AW183" s="1903"/>
      <c r="AX183" s="1903"/>
      <c r="AY183" s="1903"/>
      <c r="AZ183" s="1903"/>
      <c r="BA183" s="1903"/>
      <c r="BB183" s="1903"/>
      <c r="BC183" s="1903"/>
      <c r="BD183" s="1903"/>
      <c r="BE183" s="1903"/>
    </row>
    <row r="184" spans="1:57" ht="15.75" customHeight="1" thickBot="1">
      <c r="A184" s="1208"/>
      <c r="B184" s="1208"/>
      <c r="C184" s="2006" t="s">
        <v>2262</v>
      </c>
      <c r="D184" s="2007"/>
      <c r="E184" s="2007"/>
      <c r="F184" s="2007"/>
      <c r="G184" s="2007"/>
      <c r="H184" s="2007"/>
      <c r="I184" s="2007"/>
      <c r="J184" s="2007"/>
      <c r="K184" s="2007"/>
      <c r="L184" s="2007"/>
      <c r="M184" s="2007"/>
      <c r="N184" s="2036">
        <f>'Sources and Uses Budget'!B8</f>
        <v>150000</v>
      </c>
      <c r="O184" s="2036"/>
      <c r="P184" s="2036"/>
      <c r="Q184" s="2036"/>
      <c r="R184" s="2036"/>
      <c r="S184" s="2036"/>
      <c r="T184" s="2036"/>
      <c r="U184" s="1993"/>
      <c r="V184" s="1993"/>
      <c r="W184" s="1993"/>
      <c r="X184" s="1993"/>
      <c r="Y184" s="1993"/>
      <c r="Z184" s="1993"/>
      <c r="AA184" s="1993"/>
      <c r="AB184" s="1993"/>
      <c r="AC184" s="1993"/>
      <c r="AD184" s="1993"/>
      <c r="AE184" s="1994"/>
      <c r="AF184" s="1208"/>
      <c r="AG184" s="1208"/>
      <c r="AH184" s="2003" t="s">
        <v>2260</v>
      </c>
      <c r="AI184" s="2004"/>
      <c r="AJ184" s="2004"/>
      <c r="AK184" s="2004"/>
      <c r="AL184" s="2004"/>
      <c r="AM184" s="2004"/>
      <c r="AN184" s="2004"/>
      <c r="AO184" s="2004"/>
      <c r="AP184" s="2004"/>
      <c r="AQ184" s="2004"/>
      <c r="AR184" s="2004"/>
      <c r="AS184" s="2004"/>
      <c r="AT184" s="2004"/>
      <c r="AU184" s="2004"/>
      <c r="AV184" s="2004"/>
      <c r="AW184" s="2004"/>
      <c r="AX184" s="2004"/>
      <c r="AY184" s="2004"/>
      <c r="AZ184" s="2004"/>
      <c r="BA184" s="2004"/>
      <c r="BB184" s="2004"/>
      <c r="BC184" s="2004"/>
      <c r="BD184" s="2004"/>
      <c r="BE184" s="2005"/>
    </row>
    <row r="185" spans="1:57" ht="15.75" customHeight="1">
      <c r="A185" s="1208"/>
      <c r="B185" s="1208"/>
      <c r="C185" s="2006" t="s">
        <v>2261</v>
      </c>
      <c r="D185" s="2007"/>
      <c r="E185" s="2007"/>
      <c r="F185" s="2007"/>
      <c r="G185" s="2007"/>
      <c r="H185" s="2007"/>
      <c r="I185" s="2007"/>
      <c r="J185" s="2007"/>
      <c r="K185" s="2007"/>
      <c r="L185" s="2007"/>
      <c r="M185" s="2007"/>
      <c r="N185" s="1992">
        <v>0</v>
      </c>
      <c r="O185" s="1992"/>
      <c r="P185" s="1992"/>
      <c r="Q185" s="1992"/>
      <c r="R185" s="1992"/>
      <c r="S185" s="1992"/>
      <c r="T185" s="1992"/>
      <c r="U185" s="1993"/>
      <c r="V185" s="1993"/>
      <c r="W185" s="1993"/>
      <c r="X185" s="1993"/>
      <c r="Y185" s="1993"/>
      <c r="Z185" s="1993"/>
      <c r="AA185" s="1993"/>
      <c r="AB185" s="1993"/>
      <c r="AC185" s="1993"/>
      <c r="AD185" s="1993"/>
      <c r="AE185" s="1994"/>
      <c r="AF185" s="1208"/>
      <c r="AG185" s="1208"/>
      <c r="AH185" s="2008" t="s">
        <v>2260</v>
      </c>
      <c r="AI185" s="2009"/>
      <c r="AJ185" s="2009"/>
      <c r="AK185" s="2009"/>
      <c r="AL185" s="2009"/>
      <c r="AM185" s="2009"/>
      <c r="AN185" s="2009"/>
      <c r="AO185" s="2009"/>
      <c r="AP185" s="2009"/>
      <c r="AQ185" s="2009"/>
      <c r="AR185" s="2009"/>
      <c r="AS185" s="2009"/>
      <c r="AT185" s="2009"/>
      <c r="AU185" s="2010">
        <v>0</v>
      </c>
      <c r="AV185" s="2010"/>
      <c r="AW185" s="2010"/>
      <c r="AX185" s="2010"/>
      <c r="AY185" s="2010"/>
      <c r="AZ185" s="2010"/>
      <c r="BA185" s="2010"/>
      <c r="BB185" s="2010"/>
      <c r="BC185" s="2011"/>
      <c r="BD185" s="2012"/>
      <c r="BE185" s="2013"/>
    </row>
    <row r="186" spans="1:57" ht="15.75" customHeight="1">
      <c r="A186" s="1208"/>
      <c r="B186" s="1208"/>
      <c r="C186" s="2006" t="s">
        <v>2259</v>
      </c>
      <c r="D186" s="2007"/>
      <c r="E186" s="2007"/>
      <c r="F186" s="2007"/>
      <c r="G186" s="2007"/>
      <c r="H186" s="2007"/>
      <c r="I186" s="2007"/>
      <c r="J186" s="2007"/>
      <c r="K186" s="2007"/>
      <c r="L186" s="2007"/>
      <c r="M186" s="2007"/>
      <c r="N186" s="1992">
        <v>0</v>
      </c>
      <c r="O186" s="1992"/>
      <c r="P186" s="1992"/>
      <c r="Q186" s="1992"/>
      <c r="R186" s="1992"/>
      <c r="S186" s="1992"/>
      <c r="T186" s="1992"/>
      <c r="U186" s="1993"/>
      <c r="V186" s="1993"/>
      <c r="W186" s="1993"/>
      <c r="X186" s="1993"/>
      <c r="Y186" s="1993"/>
      <c r="Z186" s="1993"/>
      <c r="AA186" s="1993"/>
      <c r="AB186" s="1993"/>
      <c r="AC186" s="1993"/>
      <c r="AD186" s="1993"/>
      <c r="AE186" s="1994"/>
      <c r="AF186" s="1208"/>
      <c r="AG186" s="1208"/>
      <c r="AH186" s="2024" t="s">
        <v>2258</v>
      </c>
      <c r="AI186" s="2025"/>
      <c r="AJ186" s="2025"/>
      <c r="AK186" s="2025"/>
      <c r="AL186" s="2025"/>
      <c r="AM186" s="2025"/>
      <c r="AN186" s="2025"/>
      <c r="AO186" s="2025"/>
      <c r="AP186" s="2025"/>
      <c r="AQ186" s="2025"/>
      <c r="AR186" s="2025"/>
      <c r="AS186" s="2025"/>
      <c r="AT186" s="2025"/>
      <c r="AU186" s="2026"/>
      <c r="AV186" s="2026"/>
      <c r="AW186" s="2026"/>
      <c r="AX186" s="2026"/>
      <c r="AY186" s="2026"/>
      <c r="AZ186" s="2026"/>
      <c r="BA186" s="2026"/>
      <c r="BB186" s="2026"/>
      <c r="BC186" s="2014"/>
      <c r="BD186" s="2015"/>
      <c r="BE186" s="2016"/>
    </row>
    <row r="187" spans="1:57" ht="15.75" customHeight="1">
      <c r="A187" s="1208"/>
      <c r="B187" s="1208"/>
      <c r="C187" s="1998" t="s">
        <v>299</v>
      </c>
      <c r="D187" s="1999"/>
      <c r="E187" s="1991" t="s">
        <v>2256</v>
      </c>
      <c r="F187" s="1991"/>
      <c r="G187" s="1991"/>
      <c r="H187" s="1991"/>
      <c r="I187" s="1991"/>
      <c r="J187" s="1991"/>
      <c r="K187" s="1991"/>
      <c r="L187" s="1991"/>
      <c r="M187" s="1991"/>
      <c r="N187" s="1992">
        <v>0</v>
      </c>
      <c r="O187" s="1992"/>
      <c r="P187" s="1992"/>
      <c r="Q187" s="1992"/>
      <c r="R187" s="1992"/>
      <c r="S187" s="1992"/>
      <c r="T187" s="1992"/>
      <c r="U187" s="1993"/>
      <c r="V187" s="1993"/>
      <c r="W187" s="1993"/>
      <c r="X187" s="1993"/>
      <c r="Y187" s="1993"/>
      <c r="Z187" s="1993"/>
      <c r="AA187" s="1993"/>
      <c r="AB187" s="1993"/>
      <c r="AC187" s="1993"/>
      <c r="AD187" s="1993"/>
      <c r="AE187" s="1994"/>
      <c r="AF187" s="1208"/>
      <c r="AG187" s="1208"/>
      <c r="AH187" s="2000" t="s">
        <v>2257</v>
      </c>
      <c r="AI187" s="2001"/>
      <c r="AJ187" s="2001"/>
      <c r="AK187" s="2001"/>
      <c r="AL187" s="2001"/>
      <c r="AM187" s="2001"/>
      <c r="AN187" s="2001"/>
      <c r="AO187" s="2001"/>
      <c r="AP187" s="2001"/>
      <c r="AQ187" s="2001"/>
      <c r="AR187" s="2001"/>
      <c r="AS187" s="2001"/>
      <c r="AT187" s="2001"/>
      <c r="AU187" s="2002">
        <f>SUM(AU185:BB186)</f>
        <v>0</v>
      </c>
      <c r="AV187" s="2002"/>
      <c r="AW187" s="2002"/>
      <c r="AX187" s="2002"/>
      <c r="AY187" s="2002"/>
      <c r="AZ187" s="2002"/>
      <c r="BA187" s="2002"/>
      <c r="BB187" s="2002"/>
      <c r="BC187" s="2014"/>
      <c r="BD187" s="2015"/>
      <c r="BE187" s="2016"/>
    </row>
    <row r="188" spans="1:57" ht="15.75" customHeight="1" thickBot="1">
      <c r="A188" s="1208"/>
      <c r="B188" s="1208"/>
      <c r="C188" s="1989" t="s">
        <v>299</v>
      </c>
      <c r="D188" s="1990"/>
      <c r="E188" s="1991" t="s">
        <v>2256</v>
      </c>
      <c r="F188" s="1991"/>
      <c r="G188" s="1991"/>
      <c r="H188" s="1991"/>
      <c r="I188" s="1991"/>
      <c r="J188" s="1991"/>
      <c r="K188" s="1991"/>
      <c r="L188" s="1991"/>
      <c r="M188" s="1991"/>
      <c r="N188" s="1992">
        <v>0</v>
      </c>
      <c r="O188" s="1992"/>
      <c r="P188" s="1992"/>
      <c r="Q188" s="1992"/>
      <c r="R188" s="1992"/>
      <c r="S188" s="1992"/>
      <c r="T188" s="1992"/>
      <c r="U188" s="1993"/>
      <c r="V188" s="1993"/>
      <c r="W188" s="1993"/>
      <c r="X188" s="1993"/>
      <c r="Y188" s="1993"/>
      <c r="Z188" s="1993"/>
      <c r="AA188" s="1993"/>
      <c r="AB188" s="1993"/>
      <c r="AC188" s="1993"/>
      <c r="AD188" s="1993"/>
      <c r="AE188" s="1994"/>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995"/>
      <c r="BD188" s="1996"/>
      <c r="BE188" s="1997"/>
    </row>
    <row r="189" spans="1:57" ht="15.75" customHeight="1" thickBot="1">
      <c r="A189" s="1208"/>
      <c r="B189" s="1208"/>
      <c r="C189" s="1977" t="s">
        <v>299</v>
      </c>
      <c r="D189" s="1978"/>
      <c r="E189" s="1979" t="s">
        <v>2256</v>
      </c>
      <c r="F189" s="1979"/>
      <c r="G189" s="1979"/>
      <c r="H189" s="1979"/>
      <c r="I189" s="1979"/>
      <c r="J189" s="1979"/>
      <c r="K189" s="1979"/>
      <c r="L189" s="1979"/>
      <c r="M189" s="1980"/>
      <c r="N189" s="1981">
        <v>0</v>
      </c>
      <c r="O189" s="1981"/>
      <c r="P189" s="1981"/>
      <c r="Q189" s="1981"/>
      <c r="R189" s="1981"/>
      <c r="S189" s="1981"/>
      <c r="T189" s="1982"/>
      <c r="U189" s="1983"/>
      <c r="V189" s="1984"/>
      <c r="W189" s="1984"/>
      <c r="X189" s="1984"/>
      <c r="Y189" s="1984"/>
      <c r="Z189" s="1984"/>
      <c r="AA189" s="1984"/>
      <c r="AB189" s="1984"/>
      <c r="AC189" s="1984"/>
      <c r="AD189" s="1984"/>
      <c r="AE189" s="1985"/>
      <c r="AF189" s="1208"/>
      <c r="AG189" s="1208"/>
      <c r="AH189" s="1986" t="s">
        <v>2255</v>
      </c>
      <c r="AI189" s="1987"/>
      <c r="AJ189" s="1987"/>
      <c r="AK189" s="1987"/>
      <c r="AL189" s="1987"/>
      <c r="AM189" s="1987"/>
      <c r="AN189" s="1987"/>
      <c r="AO189" s="1987"/>
      <c r="AP189" s="1987"/>
      <c r="AQ189" s="1987"/>
      <c r="AR189" s="1987"/>
      <c r="AS189" s="1987"/>
      <c r="AT189" s="1987"/>
      <c r="AU189" s="1988"/>
      <c r="AV189" s="1988"/>
      <c r="AW189" s="1988"/>
      <c r="AX189" s="1988"/>
      <c r="AY189" s="1988"/>
      <c r="AZ189" s="1988"/>
      <c r="BA189" s="1988"/>
      <c r="BB189" s="1988"/>
      <c r="BC189" s="1164"/>
      <c r="BD189" s="1164"/>
      <c r="BE189" s="1252"/>
    </row>
    <row r="190" spans="1:57" ht="15.75" customHeight="1">
      <c r="A190" s="1208"/>
      <c r="B190" s="1208"/>
      <c r="C190" s="1960" t="s">
        <v>2254</v>
      </c>
      <c r="D190" s="1961"/>
      <c r="E190" s="1961"/>
      <c r="F190" s="1961"/>
      <c r="G190" s="1961"/>
      <c r="H190" s="1961"/>
      <c r="I190" s="1961"/>
      <c r="J190" s="1961"/>
      <c r="K190" s="1961"/>
      <c r="L190" s="1961"/>
      <c r="M190" s="1961"/>
      <c r="N190" s="1962">
        <f>SUM(N182:T189)</f>
        <v>5928145</v>
      </c>
      <c r="O190" s="1962"/>
      <c r="P190" s="1962"/>
      <c r="Q190" s="1962"/>
      <c r="R190" s="1962"/>
      <c r="S190" s="1962"/>
      <c r="T190" s="1963"/>
      <c r="U190" s="1208"/>
      <c r="V190" s="1208"/>
      <c r="W190" s="1208"/>
      <c r="X190" s="1208"/>
      <c r="Y190" s="1208"/>
      <c r="Z190" s="1208"/>
      <c r="AA190" s="1208"/>
      <c r="AB190" s="1208"/>
      <c r="AC190" s="1208"/>
      <c r="AD190" s="1208"/>
      <c r="AE190" s="1208"/>
      <c r="AF190" s="1208"/>
      <c r="AG190" s="1208"/>
      <c r="AH190" s="1964" t="s">
        <v>2253</v>
      </c>
      <c r="AI190" s="1965"/>
      <c r="AJ190" s="1965"/>
      <c r="AK190" s="1965"/>
      <c r="AL190" s="1965"/>
      <c r="AM190" s="1965"/>
      <c r="AN190" s="1965"/>
      <c r="AO190" s="1965"/>
      <c r="AP190" s="1965"/>
      <c r="AQ190" s="1965"/>
      <c r="AR190" s="1965"/>
      <c r="AS190" s="1965"/>
      <c r="AT190" s="1965"/>
      <c r="AU190" s="1965"/>
      <c r="AV190" s="1965"/>
      <c r="AW190" s="1965"/>
      <c r="AX190" s="1965"/>
      <c r="AY190" s="1965"/>
      <c r="AZ190" s="1965"/>
      <c r="BA190" s="1965"/>
      <c r="BB190" s="1965"/>
      <c r="BC190" s="1965"/>
      <c r="BD190" s="1965"/>
      <c r="BE190" s="1966"/>
    </row>
    <row r="191" spans="1:57" ht="15.75" customHeight="1" thickBot="1">
      <c r="A191" s="1208"/>
      <c r="B191" s="1208"/>
      <c r="C191" s="1970" t="s">
        <v>2252</v>
      </c>
      <c r="D191" s="1971"/>
      <c r="E191" s="1971"/>
      <c r="F191" s="1971"/>
      <c r="G191" s="1971"/>
      <c r="H191" s="1971"/>
      <c r="I191" s="1971"/>
      <c r="J191" s="1971"/>
      <c r="K191" s="1971"/>
      <c r="L191" s="1971"/>
      <c r="M191" s="1971"/>
      <c r="N191" s="1972">
        <f>(N180-N190)/J29</f>
        <v>469704.53435114503</v>
      </c>
      <c r="O191" s="1973"/>
      <c r="P191" s="1973"/>
      <c r="Q191" s="1973"/>
      <c r="R191" s="1973"/>
      <c r="S191" s="1973"/>
      <c r="T191" s="1974"/>
      <c r="U191" s="1216"/>
      <c r="V191" s="1208"/>
      <c r="W191" s="1208"/>
      <c r="X191" s="1208"/>
      <c r="Y191" s="1208"/>
      <c r="Z191" s="1208"/>
      <c r="AA191" s="1208"/>
      <c r="AB191" s="1208"/>
      <c r="AC191" s="1208"/>
      <c r="AD191" s="1208"/>
      <c r="AE191" s="1208"/>
      <c r="AF191" s="1208"/>
      <c r="AG191" s="1208"/>
      <c r="AH191" s="1967"/>
      <c r="AI191" s="1968"/>
      <c r="AJ191" s="1968"/>
      <c r="AK191" s="1968"/>
      <c r="AL191" s="1968"/>
      <c r="AM191" s="1968"/>
      <c r="AN191" s="1968"/>
      <c r="AO191" s="1968"/>
      <c r="AP191" s="1968"/>
      <c r="AQ191" s="1968"/>
      <c r="AR191" s="1968"/>
      <c r="AS191" s="1968"/>
      <c r="AT191" s="1968"/>
      <c r="AU191" s="1968"/>
      <c r="AV191" s="1968"/>
      <c r="AW191" s="1968"/>
      <c r="AX191" s="1968"/>
      <c r="AY191" s="1968"/>
      <c r="AZ191" s="1968"/>
      <c r="BA191" s="1968"/>
      <c r="BB191" s="1968"/>
      <c r="BC191" s="1968"/>
      <c r="BD191" s="1968"/>
      <c r="BE191" s="1969"/>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75"/>
      <c r="AI192" s="1975"/>
      <c r="AJ192" s="1975"/>
      <c r="AK192" s="1975"/>
      <c r="AL192" s="1975"/>
      <c r="AM192" s="1975"/>
      <c r="AN192" s="1975"/>
      <c r="AO192" s="1975"/>
      <c r="AP192" s="1975"/>
      <c r="AQ192" s="1975"/>
      <c r="AR192" s="1975"/>
      <c r="AS192" s="1976"/>
      <c r="AT192" s="1976"/>
      <c r="AU192" s="1976"/>
      <c r="AV192" s="1976"/>
      <c r="AW192" s="1976"/>
      <c r="AX192" s="1976"/>
      <c r="AY192" s="1976"/>
      <c r="AZ192" s="1976"/>
      <c r="BA192" s="1976"/>
      <c r="BB192" s="1976"/>
      <c r="BC192" s="1976"/>
      <c r="BD192" s="1976"/>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55" t="s">
        <v>2251</v>
      </c>
      <c r="D194" s="1956"/>
      <c r="E194" s="1956"/>
      <c r="F194" s="1956"/>
      <c r="G194" s="1956"/>
      <c r="H194" s="1956"/>
      <c r="I194" s="1956"/>
      <c r="J194" s="1956"/>
      <c r="K194" s="1956"/>
      <c r="L194" s="1956"/>
      <c r="M194" s="1956"/>
      <c r="N194" s="1956"/>
      <c r="O194" s="1956"/>
      <c r="P194" s="1956"/>
      <c r="Q194" s="1956"/>
      <c r="R194" s="1956"/>
      <c r="S194" s="1956"/>
      <c r="T194" s="1956"/>
      <c r="U194" s="1956"/>
      <c r="V194" s="1956"/>
      <c r="W194" s="1956"/>
      <c r="X194" s="1956"/>
      <c r="Y194" s="1956"/>
      <c r="Z194" s="1956"/>
      <c r="AA194" s="1956"/>
      <c r="AB194" s="1956"/>
      <c r="AC194" s="1956"/>
      <c r="AD194" s="1956"/>
      <c r="AE194" s="1957"/>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58" t="s">
        <v>2250</v>
      </c>
      <c r="D195" s="1958"/>
      <c r="E195" s="1958"/>
      <c r="F195" s="1958"/>
      <c r="G195" s="1958"/>
      <c r="H195" s="1958"/>
      <c r="I195" s="1958"/>
      <c r="J195" s="1958"/>
      <c r="K195" s="1958"/>
      <c r="L195" s="1958"/>
      <c r="M195" s="1958"/>
      <c r="N195" s="1958"/>
      <c r="O195" s="1959" t="s">
        <v>2249</v>
      </c>
      <c r="P195" s="1959"/>
      <c r="Q195" s="1959"/>
      <c r="R195" s="1959"/>
      <c r="S195" s="1959"/>
      <c r="T195" s="1959"/>
      <c r="U195" s="1959"/>
      <c r="V195" s="1959"/>
      <c r="W195" s="1959"/>
      <c r="X195" s="1959" t="s">
        <v>2248</v>
      </c>
      <c r="Y195" s="1959"/>
      <c r="Z195" s="1959"/>
      <c r="AA195" s="1959"/>
      <c r="AB195" s="1959"/>
      <c r="AC195" s="1959"/>
      <c r="AD195" s="1959"/>
      <c r="AE195" s="1959"/>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0" t="s">
        <v>2247</v>
      </c>
      <c r="D196" s="1950"/>
      <c r="E196" s="1950"/>
      <c r="F196" s="1950"/>
      <c r="G196" s="1950"/>
      <c r="H196" s="1950"/>
      <c r="I196" s="1950"/>
      <c r="J196" s="1950"/>
      <c r="K196" s="1950"/>
      <c r="L196" s="1950"/>
      <c r="M196" s="1950"/>
      <c r="N196" s="1950"/>
      <c r="O196" s="1951" t="s">
        <v>2246</v>
      </c>
      <c r="P196" s="1951"/>
      <c r="Q196" s="1951"/>
      <c r="R196" s="1951"/>
      <c r="S196" s="1951"/>
      <c r="T196" s="1951"/>
      <c r="U196" s="1951"/>
      <c r="V196" s="1951"/>
      <c r="W196" s="1951"/>
      <c r="X196" s="1952">
        <v>0.03</v>
      </c>
      <c r="Y196" s="1952"/>
      <c r="Z196" s="1952"/>
      <c r="AA196" s="1952"/>
      <c r="AB196" s="1952"/>
      <c r="AC196" s="1952"/>
      <c r="AD196" s="1952"/>
      <c r="AE196" s="1952"/>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0" t="s">
        <v>853</v>
      </c>
      <c r="D197" s="1950"/>
      <c r="E197" s="1950"/>
      <c r="F197" s="1950"/>
      <c r="G197" s="1950"/>
      <c r="H197" s="1950"/>
      <c r="I197" s="1950"/>
      <c r="J197" s="1950"/>
      <c r="K197" s="1950"/>
      <c r="L197" s="1950"/>
      <c r="M197" s="1950"/>
      <c r="N197" s="1950"/>
      <c r="O197" s="1951" t="s">
        <v>2246</v>
      </c>
      <c r="P197" s="1951"/>
      <c r="Q197" s="1951"/>
      <c r="R197" s="1951"/>
      <c r="S197" s="1951"/>
      <c r="T197" s="1951"/>
      <c r="U197" s="1951"/>
      <c r="V197" s="1951"/>
      <c r="W197" s="1951"/>
      <c r="X197" s="1952">
        <v>0.03</v>
      </c>
      <c r="Y197" s="1952"/>
      <c r="Z197" s="1952"/>
      <c r="AA197" s="1952"/>
      <c r="AB197" s="1952"/>
      <c r="AC197" s="1952"/>
      <c r="AD197" s="1952"/>
      <c r="AE197" s="1952"/>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0" t="s">
        <v>2245</v>
      </c>
      <c r="D198" s="1950"/>
      <c r="E198" s="1950"/>
      <c r="F198" s="1950"/>
      <c r="G198" s="1950"/>
      <c r="H198" s="1950"/>
      <c r="I198" s="1950"/>
      <c r="J198" s="1950"/>
      <c r="K198" s="1950"/>
      <c r="L198" s="1950"/>
      <c r="M198" s="1950"/>
      <c r="N198" s="1950"/>
      <c r="O198" s="1953">
        <f>SUM(O196:W197)</f>
        <v>0</v>
      </c>
      <c r="P198" s="1954"/>
      <c r="Q198" s="1954"/>
      <c r="R198" s="1954"/>
      <c r="S198" s="1954"/>
      <c r="T198" s="1954"/>
      <c r="U198" s="1954"/>
      <c r="V198" s="1954"/>
      <c r="W198" s="1954"/>
      <c r="X198" s="1954" t="s">
        <v>2244</v>
      </c>
      <c r="Y198" s="1954"/>
      <c r="Z198" s="1954"/>
      <c r="AA198" s="1954"/>
      <c r="AB198" s="1954"/>
      <c r="AC198" s="1954"/>
      <c r="AD198" s="1954"/>
      <c r="AE198" s="1954"/>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24" t="s">
        <v>2243</v>
      </c>
      <c r="D199" s="1924"/>
      <c r="E199" s="1924"/>
      <c r="F199" s="1924"/>
      <c r="G199" s="1924"/>
      <c r="H199" s="1924"/>
      <c r="I199" s="1924"/>
      <c r="J199" s="1924"/>
      <c r="K199" s="1924"/>
      <c r="L199" s="1924"/>
      <c r="M199" s="1924"/>
      <c r="N199" s="1924"/>
      <c r="O199" s="1924"/>
      <c r="P199" s="1924"/>
      <c r="Q199" s="1924"/>
      <c r="R199" s="1924"/>
      <c r="S199" s="1924"/>
      <c r="T199" s="1924"/>
      <c r="U199" s="1924"/>
      <c r="V199" s="1924"/>
      <c r="W199" s="1924"/>
      <c r="X199" s="1924"/>
      <c r="Y199" s="1924"/>
      <c r="Z199" s="1924"/>
      <c r="AA199" s="1924"/>
      <c r="AB199" s="1924"/>
      <c r="AC199" s="1924"/>
      <c r="AD199" s="1924"/>
      <c r="AE199" s="1924"/>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25" t="s">
        <v>2242</v>
      </c>
      <c r="D201" s="1926"/>
      <c r="E201" s="1926"/>
      <c r="F201" s="1926"/>
      <c r="G201" s="1926"/>
      <c r="H201" s="1926"/>
      <c r="I201" s="1926"/>
      <c r="J201" s="1926"/>
      <c r="K201" s="1926"/>
      <c r="L201" s="1926"/>
      <c r="M201" s="1926"/>
      <c r="N201" s="1926"/>
      <c r="O201" s="1926"/>
      <c r="P201" s="1926"/>
      <c r="Q201" s="1926"/>
      <c r="R201" s="1926"/>
      <c r="S201" s="1926"/>
      <c r="T201" s="1926"/>
      <c r="U201" s="1926"/>
      <c r="V201" s="1926"/>
      <c r="W201" s="1926"/>
      <c r="X201" s="1926"/>
      <c r="Y201" s="1926"/>
      <c r="Z201" s="1926"/>
      <c r="AA201" s="1926"/>
      <c r="AB201" s="1926"/>
      <c r="AC201" s="1926"/>
      <c r="AD201" s="1926"/>
      <c r="AE201" s="1926"/>
      <c r="AF201" s="1926"/>
      <c r="AG201" s="1926"/>
      <c r="AH201" s="1926"/>
      <c r="AI201" s="1926"/>
      <c r="AJ201" s="1926"/>
      <c r="AK201" s="1927"/>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28" t="s">
        <v>2241</v>
      </c>
      <c r="D202" s="1929"/>
      <c r="E202" s="1929"/>
      <c r="F202" s="1930"/>
      <c r="G202" s="1934" t="s">
        <v>2240</v>
      </c>
      <c r="H202" s="1929"/>
      <c r="I202" s="1929"/>
      <c r="J202" s="1929"/>
      <c r="K202" s="1929"/>
      <c r="L202" s="1929"/>
      <c r="M202" s="1929"/>
      <c r="N202" s="1929"/>
      <c r="O202" s="1930"/>
      <c r="P202" s="1936" t="s">
        <v>2239</v>
      </c>
      <c r="Q202" s="1937"/>
      <c r="R202" s="1937"/>
      <c r="S202" s="1937"/>
      <c r="T202" s="1938"/>
      <c r="U202" s="1942" t="s">
        <v>2238</v>
      </c>
      <c r="V202" s="1943"/>
      <c r="W202" s="1943"/>
      <c r="X202" s="1944"/>
      <c r="Y202" s="1942" t="s">
        <v>2237</v>
      </c>
      <c r="Z202" s="1943"/>
      <c r="AA202" s="1943"/>
      <c r="AB202" s="1944"/>
      <c r="AC202" s="1942" t="s">
        <v>2236</v>
      </c>
      <c r="AD202" s="1943"/>
      <c r="AE202" s="1943"/>
      <c r="AF202" s="1944"/>
      <c r="AG202" s="1934" t="s">
        <v>2235</v>
      </c>
      <c r="AH202" s="1929"/>
      <c r="AI202" s="1929"/>
      <c r="AJ202" s="1929"/>
      <c r="AK202" s="1948"/>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1"/>
      <c r="D203" s="1932"/>
      <c r="E203" s="1932"/>
      <c r="F203" s="1933"/>
      <c r="G203" s="1935"/>
      <c r="H203" s="1932"/>
      <c r="I203" s="1932"/>
      <c r="J203" s="1932"/>
      <c r="K203" s="1932"/>
      <c r="L203" s="1932"/>
      <c r="M203" s="1932"/>
      <c r="N203" s="1932"/>
      <c r="O203" s="1933"/>
      <c r="P203" s="1939"/>
      <c r="Q203" s="1940"/>
      <c r="R203" s="1940"/>
      <c r="S203" s="1940"/>
      <c r="T203" s="1941"/>
      <c r="U203" s="1945"/>
      <c r="V203" s="1946"/>
      <c r="W203" s="1946"/>
      <c r="X203" s="1947"/>
      <c r="Y203" s="1945"/>
      <c r="Z203" s="1946"/>
      <c r="AA203" s="1946"/>
      <c r="AB203" s="1947"/>
      <c r="AC203" s="1945"/>
      <c r="AD203" s="1946"/>
      <c r="AE203" s="1946"/>
      <c r="AF203" s="1947"/>
      <c r="AG203" s="1935"/>
      <c r="AH203" s="1932"/>
      <c r="AI203" s="1932"/>
      <c r="AJ203" s="1932"/>
      <c r="AK203" s="1949"/>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17">
        <v>1</v>
      </c>
      <c r="D204" s="1918"/>
      <c r="E204" s="1918"/>
      <c r="F204" s="1918"/>
      <c r="G204" s="1919" t="s">
        <v>1857</v>
      </c>
      <c r="H204" s="1919"/>
      <c r="I204" s="1919"/>
      <c r="J204" s="1919"/>
      <c r="K204" s="1919"/>
      <c r="L204" s="1919"/>
      <c r="M204" s="1919"/>
      <c r="N204" s="1919"/>
      <c r="O204" s="1919"/>
      <c r="P204" s="1920"/>
      <c r="Q204" s="1923"/>
      <c r="R204" s="1923"/>
      <c r="S204" s="1923"/>
      <c r="T204" s="1923"/>
      <c r="U204" s="1921" t="s">
        <v>1857</v>
      </c>
      <c r="V204" s="1921"/>
      <c r="W204" s="1921"/>
      <c r="X204" s="1921"/>
      <c r="Y204" s="1921" t="s">
        <v>1857</v>
      </c>
      <c r="Z204" s="1921"/>
      <c r="AA204" s="1921"/>
      <c r="AB204" s="1921"/>
      <c r="AC204" s="1922" t="s">
        <v>1857</v>
      </c>
      <c r="AD204" s="1922"/>
      <c r="AE204" s="1922"/>
      <c r="AF204" s="1922"/>
      <c r="AG204" s="1906"/>
      <c r="AH204" s="1907"/>
      <c r="AI204" s="1907"/>
      <c r="AJ204" s="1907"/>
      <c r="AK204" s="1908"/>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17">
        <v>2</v>
      </c>
      <c r="D205" s="1918"/>
      <c r="E205" s="1918"/>
      <c r="F205" s="1918"/>
      <c r="G205" s="1919" t="s">
        <v>1857</v>
      </c>
      <c r="H205" s="1919"/>
      <c r="I205" s="1919"/>
      <c r="J205" s="1919"/>
      <c r="K205" s="1919"/>
      <c r="L205" s="1919"/>
      <c r="M205" s="1919"/>
      <c r="N205" s="1919"/>
      <c r="O205" s="1919"/>
      <c r="P205" s="1920"/>
      <c r="Q205" s="1920"/>
      <c r="R205" s="1920"/>
      <c r="S205" s="1920"/>
      <c r="T205" s="1920"/>
      <c r="U205" s="1921" t="s">
        <v>1857</v>
      </c>
      <c r="V205" s="1921"/>
      <c r="W205" s="1921"/>
      <c r="X205" s="1921"/>
      <c r="Y205" s="1921" t="s">
        <v>1857</v>
      </c>
      <c r="Z205" s="1921"/>
      <c r="AA205" s="1921"/>
      <c r="AB205" s="1921"/>
      <c r="AC205" s="1922" t="s">
        <v>1857</v>
      </c>
      <c r="AD205" s="1922"/>
      <c r="AE205" s="1922"/>
      <c r="AF205" s="1922"/>
      <c r="AG205" s="1906"/>
      <c r="AH205" s="1907"/>
      <c r="AI205" s="1907"/>
      <c r="AJ205" s="1907"/>
      <c r="AK205" s="1908"/>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17">
        <v>3</v>
      </c>
      <c r="D206" s="1918"/>
      <c r="E206" s="1918"/>
      <c r="F206" s="1918"/>
      <c r="G206" s="1919" t="s">
        <v>1857</v>
      </c>
      <c r="H206" s="1919"/>
      <c r="I206" s="1919"/>
      <c r="J206" s="1919"/>
      <c r="K206" s="1919"/>
      <c r="L206" s="1919"/>
      <c r="M206" s="1919"/>
      <c r="N206" s="1919"/>
      <c r="O206" s="1919"/>
      <c r="P206" s="1920"/>
      <c r="Q206" s="1920"/>
      <c r="R206" s="1920"/>
      <c r="S206" s="1920"/>
      <c r="T206" s="1920"/>
      <c r="U206" s="1921" t="s">
        <v>1857</v>
      </c>
      <c r="V206" s="1921"/>
      <c r="W206" s="1921"/>
      <c r="X206" s="1921"/>
      <c r="Y206" s="1921" t="s">
        <v>1857</v>
      </c>
      <c r="Z206" s="1921"/>
      <c r="AA206" s="1921"/>
      <c r="AB206" s="1921"/>
      <c r="AC206" s="1922" t="s">
        <v>1857</v>
      </c>
      <c r="AD206" s="1922"/>
      <c r="AE206" s="1922"/>
      <c r="AF206" s="1922"/>
      <c r="AG206" s="1906"/>
      <c r="AH206" s="1907"/>
      <c r="AI206" s="1907"/>
      <c r="AJ206" s="1907"/>
      <c r="AK206" s="1908"/>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17">
        <v>4</v>
      </c>
      <c r="D207" s="1918"/>
      <c r="E207" s="1918"/>
      <c r="F207" s="1918"/>
      <c r="G207" s="1919" t="s">
        <v>1857</v>
      </c>
      <c r="H207" s="1919"/>
      <c r="I207" s="1919"/>
      <c r="J207" s="1919"/>
      <c r="K207" s="1919"/>
      <c r="L207" s="1919"/>
      <c r="M207" s="1919"/>
      <c r="N207" s="1919"/>
      <c r="O207" s="1919"/>
      <c r="P207" s="1920"/>
      <c r="Q207" s="1920"/>
      <c r="R207" s="1920"/>
      <c r="S207" s="1920"/>
      <c r="T207" s="1920"/>
      <c r="U207" s="1921" t="s">
        <v>1857</v>
      </c>
      <c r="V207" s="1921"/>
      <c r="W207" s="1921"/>
      <c r="X207" s="1921"/>
      <c r="Y207" s="1921" t="s">
        <v>1857</v>
      </c>
      <c r="Z207" s="1921"/>
      <c r="AA207" s="1921"/>
      <c r="AB207" s="1921"/>
      <c r="AC207" s="1922" t="s">
        <v>1857</v>
      </c>
      <c r="AD207" s="1922"/>
      <c r="AE207" s="1922"/>
      <c r="AF207" s="1922"/>
      <c r="AG207" s="1906"/>
      <c r="AH207" s="1907"/>
      <c r="AI207" s="1907"/>
      <c r="AJ207" s="1907"/>
      <c r="AK207" s="1908"/>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17">
        <v>5</v>
      </c>
      <c r="D208" s="1918"/>
      <c r="E208" s="1918"/>
      <c r="F208" s="1918"/>
      <c r="G208" s="1919" t="s">
        <v>1857</v>
      </c>
      <c r="H208" s="1919"/>
      <c r="I208" s="1919"/>
      <c r="J208" s="1919"/>
      <c r="K208" s="1919"/>
      <c r="L208" s="1919"/>
      <c r="M208" s="1919"/>
      <c r="N208" s="1919"/>
      <c r="O208" s="1919"/>
      <c r="P208" s="1920"/>
      <c r="Q208" s="1920"/>
      <c r="R208" s="1920"/>
      <c r="S208" s="1920"/>
      <c r="T208" s="1920"/>
      <c r="U208" s="1921" t="s">
        <v>1857</v>
      </c>
      <c r="V208" s="1921"/>
      <c r="W208" s="1921"/>
      <c r="X208" s="1921"/>
      <c r="Y208" s="1921" t="s">
        <v>1857</v>
      </c>
      <c r="Z208" s="1921"/>
      <c r="AA208" s="1921"/>
      <c r="AB208" s="1921"/>
      <c r="AC208" s="1922" t="s">
        <v>1857</v>
      </c>
      <c r="AD208" s="1922"/>
      <c r="AE208" s="1922"/>
      <c r="AF208" s="1922"/>
      <c r="AG208" s="1906"/>
      <c r="AH208" s="1907"/>
      <c r="AI208" s="1907"/>
      <c r="AJ208" s="1907"/>
      <c r="AK208" s="1908"/>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17">
        <v>6</v>
      </c>
      <c r="D209" s="1918"/>
      <c r="E209" s="1918"/>
      <c r="F209" s="1918"/>
      <c r="G209" s="1919" t="s">
        <v>1857</v>
      </c>
      <c r="H209" s="1919"/>
      <c r="I209" s="1919"/>
      <c r="J209" s="1919"/>
      <c r="K209" s="1919"/>
      <c r="L209" s="1919"/>
      <c r="M209" s="1919"/>
      <c r="N209" s="1919"/>
      <c r="O209" s="1919"/>
      <c r="P209" s="1920"/>
      <c r="Q209" s="1920"/>
      <c r="R209" s="1920"/>
      <c r="S209" s="1920"/>
      <c r="T209" s="1920"/>
      <c r="U209" s="1921"/>
      <c r="V209" s="1921"/>
      <c r="W209" s="1921"/>
      <c r="X209" s="1921"/>
      <c r="Y209" s="1921"/>
      <c r="Z209" s="1921"/>
      <c r="AA209" s="1921"/>
      <c r="AB209" s="1921"/>
      <c r="AC209" s="1922" t="s">
        <v>1857</v>
      </c>
      <c r="AD209" s="1922"/>
      <c r="AE209" s="1922"/>
      <c r="AF209" s="1922"/>
      <c r="AG209" s="1906"/>
      <c r="AH209" s="1907"/>
      <c r="AI209" s="1907"/>
      <c r="AJ209" s="1907"/>
      <c r="AK209" s="1908"/>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17">
        <v>7</v>
      </c>
      <c r="D210" s="1918"/>
      <c r="E210" s="1918"/>
      <c r="F210" s="1918"/>
      <c r="G210" s="1919"/>
      <c r="H210" s="1919"/>
      <c r="I210" s="1919"/>
      <c r="J210" s="1919"/>
      <c r="K210" s="1919"/>
      <c r="L210" s="1919"/>
      <c r="M210" s="1919"/>
      <c r="N210" s="1919"/>
      <c r="O210" s="1919"/>
      <c r="P210" s="1920"/>
      <c r="Q210" s="1920"/>
      <c r="R210" s="1920"/>
      <c r="S210" s="1920"/>
      <c r="T210" s="1920"/>
      <c r="U210" s="1921"/>
      <c r="V210" s="1921"/>
      <c r="W210" s="1921"/>
      <c r="X210" s="1921"/>
      <c r="Y210" s="1921"/>
      <c r="Z210" s="1921"/>
      <c r="AA210" s="1921"/>
      <c r="AB210" s="1921"/>
      <c r="AC210" s="1922" t="s">
        <v>1857</v>
      </c>
      <c r="AD210" s="1922"/>
      <c r="AE210" s="1922"/>
      <c r="AF210" s="1922"/>
      <c r="AG210" s="1906"/>
      <c r="AH210" s="1907"/>
      <c r="AI210" s="1907"/>
      <c r="AJ210" s="1907"/>
      <c r="AK210" s="1908"/>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09" t="s">
        <v>2234</v>
      </c>
      <c r="D211" s="1910"/>
      <c r="E211" s="1910"/>
      <c r="F211" s="1910"/>
      <c r="G211" s="1910"/>
      <c r="H211" s="1910"/>
      <c r="I211" s="1910"/>
      <c r="J211" s="1910"/>
      <c r="K211" s="1910"/>
      <c r="L211" s="1910"/>
      <c r="M211" s="1910"/>
      <c r="N211" s="1910"/>
      <c r="O211" s="1910"/>
      <c r="P211" s="1911"/>
      <c r="Q211" s="1911"/>
      <c r="R211" s="1911"/>
      <c r="S211" s="1911"/>
      <c r="T211" s="1911"/>
      <c r="U211" s="1912">
        <f>-SUM(U204:U210)</f>
        <v>0</v>
      </c>
      <c r="V211" s="1912"/>
      <c r="W211" s="1912"/>
      <c r="X211" s="1912"/>
      <c r="Y211" s="1912">
        <f>-SUM(Y204:Y210)</f>
        <v>0</v>
      </c>
      <c r="Z211" s="1912"/>
      <c r="AA211" s="1912"/>
      <c r="AB211" s="1912"/>
      <c r="AC211" s="1913">
        <f>-SUM(AC204:AC210)</f>
        <v>0</v>
      </c>
      <c r="AD211" s="1913"/>
      <c r="AE211" s="1913"/>
      <c r="AF211" s="1913"/>
      <c r="AG211" s="1914"/>
      <c r="AH211" s="1915"/>
      <c r="AI211" s="1915"/>
      <c r="AJ211" s="1915"/>
      <c r="AK211" s="1916"/>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2233</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3" t="s">
        <v>2232</v>
      </c>
      <c r="C216" s="1894"/>
      <c r="D216" s="1894"/>
      <c r="E216" s="1894"/>
      <c r="F216" s="1894"/>
      <c r="G216" s="1894"/>
      <c r="H216" s="1894"/>
      <c r="I216" s="1894"/>
      <c r="J216" s="1894"/>
      <c r="K216" s="1894"/>
      <c r="L216" s="1894"/>
      <c r="M216" s="1894"/>
      <c r="N216" s="1894"/>
      <c r="O216" s="1894"/>
      <c r="P216" s="1894"/>
      <c r="Q216" s="1894"/>
      <c r="R216" s="1894"/>
      <c r="S216" s="1894"/>
      <c r="T216" s="1894"/>
      <c r="U216" s="1894"/>
      <c r="V216" s="1894"/>
      <c r="W216" s="1894"/>
      <c r="X216" s="1894"/>
      <c r="Y216" s="1894"/>
      <c r="Z216" s="1894"/>
      <c r="AA216" s="1894"/>
      <c r="AB216" s="1894"/>
      <c r="AC216" s="1894"/>
      <c r="AD216" s="1894"/>
      <c r="AE216" s="1894"/>
      <c r="AF216" s="1894"/>
      <c r="AG216" s="1894"/>
      <c r="AH216" s="1894"/>
      <c r="AI216" s="1894"/>
      <c r="AJ216" s="1894"/>
      <c r="AK216" s="1894"/>
      <c r="AL216" s="1894"/>
      <c r="AM216" s="1894"/>
      <c r="AN216" s="1894"/>
      <c r="AO216" s="1894"/>
      <c r="AP216" s="1894"/>
      <c r="AQ216" s="1894"/>
      <c r="AR216" s="1894"/>
      <c r="AS216" s="1894"/>
      <c r="AT216" s="1894"/>
      <c r="AU216" s="1894"/>
      <c r="AV216" s="1894"/>
      <c r="AW216" s="1894"/>
      <c r="AX216" s="1894"/>
      <c r="AY216" s="1894"/>
      <c r="AZ216" s="1894"/>
      <c r="BA216" s="1894"/>
      <c r="BB216" s="1894"/>
      <c r="BC216" s="1894"/>
      <c r="BD216" s="1895"/>
      <c r="BE216" s="1215"/>
    </row>
    <row r="217" spans="1:57" ht="15.75" customHeight="1">
      <c r="A217" s="1208"/>
      <c r="B217" s="1896"/>
      <c r="C217" s="1897"/>
      <c r="D217" s="1897"/>
      <c r="E217" s="1897"/>
      <c r="F217" s="1897"/>
      <c r="G217" s="1897"/>
      <c r="H217" s="1897"/>
      <c r="I217" s="1897"/>
      <c r="J217" s="1897"/>
      <c r="K217" s="1897"/>
      <c r="L217" s="1897"/>
      <c r="M217" s="1897"/>
      <c r="N217" s="1897"/>
      <c r="O217" s="1897"/>
      <c r="P217" s="1897"/>
      <c r="Q217" s="1897"/>
      <c r="R217" s="1897"/>
      <c r="S217" s="1897"/>
      <c r="T217" s="1897"/>
      <c r="U217" s="1897"/>
      <c r="V217" s="1897"/>
      <c r="W217" s="1897"/>
      <c r="X217" s="1897"/>
      <c r="Y217" s="1897"/>
      <c r="Z217" s="1897"/>
      <c r="AA217" s="1897"/>
      <c r="AB217" s="1897"/>
      <c r="AC217" s="1897"/>
      <c r="AD217" s="1897"/>
      <c r="AE217" s="1897"/>
      <c r="AF217" s="1897"/>
      <c r="AG217" s="1897"/>
      <c r="AH217" s="1897"/>
      <c r="AI217" s="1897"/>
      <c r="AJ217" s="1897"/>
      <c r="AK217" s="1897"/>
      <c r="AL217" s="1897"/>
      <c r="AM217" s="1897"/>
      <c r="AN217" s="1897"/>
      <c r="AO217" s="1897"/>
      <c r="AP217" s="1897"/>
      <c r="AQ217" s="1897"/>
      <c r="AR217" s="1897"/>
      <c r="AS217" s="1897"/>
      <c r="AT217" s="1897"/>
      <c r="AU217" s="1897"/>
      <c r="AV217" s="1897"/>
      <c r="AW217" s="1897"/>
      <c r="AX217" s="1897"/>
      <c r="AY217" s="1897"/>
      <c r="AZ217" s="1897"/>
      <c r="BA217" s="1897"/>
      <c r="BB217" s="1897"/>
      <c r="BC217" s="1897"/>
      <c r="BD217" s="1898"/>
      <c r="BE217" s="1215"/>
    </row>
    <row r="218" spans="1:57" ht="15.75" customHeight="1">
      <c r="A218" s="1208"/>
      <c r="B218" s="1899" t="s">
        <v>2231</v>
      </c>
      <c r="C218" s="1900"/>
      <c r="D218" s="1900"/>
      <c r="E218" s="1900"/>
      <c r="F218" s="1900"/>
      <c r="G218" s="1900"/>
      <c r="H218" s="1900"/>
      <c r="I218" s="1900"/>
      <c r="J218" s="1900"/>
      <c r="K218" s="1900"/>
      <c r="L218" s="1900"/>
      <c r="M218" s="1900"/>
      <c r="N218" s="1900"/>
      <c r="O218" s="1900"/>
      <c r="P218" s="1900"/>
      <c r="Q218" s="1900"/>
      <c r="R218" s="1900"/>
      <c r="S218" s="1900"/>
      <c r="T218" s="1900"/>
      <c r="U218" s="1900"/>
      <c r="V218" s="1900"/>
      <c r="W218" s="1900"/>
      <c r="X218" s="1900"/>
      <c r="Y218" s="1900"/>
      <c r="Z218" s="1900"/>
      <c r="AA218" s="1900"/>
      <c r="AB218" s="1900"/>
      <c r="AC218" s="1900"/>
      <c r="AD218" s="1900"/>
      <c r="AE218" s="1900"/>
      <c r="AF218" s="1900"/>
      <c r="AG218" s="1900"/>
      <c r="AH218" s="1900"/>
      <c r="AI218" s="1900"/>
      <c r="AJ218" s="1900"/>
      <c r="AK218" s="1900"/>
      <c r="AL218" s="1900"/>
      <c r="AM218" s="1900"/>
      <c r="AN218" s="1900"/>
      <c r="AO218" s="1900"/>
      <c r="AP218" s="1900"/>
      <c r="AQ218" s="1900"/>
      <c r="AR218" s="1900"/>
      <c r="AS218" s="1900"/>
      <c r="AT218" s="1900"/>
      <c r="AU218" s="1900"/>
      <c r="AV218" s="1900"/>
      <c r="AW218" s="1900"/>
      <c r="AX218" s="1900"/>
      <c r="AY218" s="1900"/>
      <c r="AZ218" s="1900"/>
      <c r="BA218" s="1900"/>
      <c r="BB218" s="1900"/>
      <c r="BC218" s="1900"/>
      <c r="BD218" s="1901"/>
      <c r="BE218" s="1215"/>
    </row>
    <row r="219" spans="1:57" ht="15.75" customHeight="1">
      <c r="A219" s="1208"/>
      <c r="B219" s="1899" t="s">
        <v>2230</v>
      </c>
      <c r="C219" s="1900"/>
      <c r="D219" s="1900"/>
      <c r="E219" s="1900"/>
      <c r="F219" s="1900"/>
      <c r="G219" s="1900"/>
      <c r="H219" s="1900"/>
      <c r="I219" s="1900"/>
      <c r="J219" s="1900"/>
      <c r="K219" s="1900"/>
      <c r="L219" s="1900"/>
      <c r="M219" s="1900"/>
      <c r="N219" s="1900"/>
      <c r="O219" s="1900"/>
      <c r="P219" s="1900"/>
      <c r="Q219" s="1900"/>
      <c r="R219" s="1900"/>
      <c r="S219" s="1900"/>
      <c r="T219" s="1900"/>
      <c r="U219" s="1900"/>
      <c r="V219" s="1900"/>
      <c r="W219" s="1900"/>
      <c r="X219" s="1900"/>
      <c r="Y219" s="1900"/>
      <c r="Z219" s="1900"/>
      <c r="AA219" s="1900"/>
      <c r="AB219" s="1900"/>
      <c r="AC219" s="1900"/>
      <c r="AD219" s="1900"/>
      <c r="AE219" s="1900"/>
      <c r="AF219" s="1900"/>
      <c r="AG219" s="1900"/>
      <c r="AH219" s="1900"/>
      <c r="AI219" s="1900"/>
      <c r="AJ219" s="1900"/>
      <c r="AK219" s="1900"/>
      <c r="AL219" s="1900"/>
      <c r="AM219" s="1900"/>
      <c r="AN219" s="1900"/>
      <c r="AO219" s="1900"/>
      <c r="AP219" s="1900"/>
      <c r="AQ219" s="1900"/>
      <c r="AR219" s="1900"/>
      <c r="AS219" s="1900"/>
      <c r="AT219" s="1900"/>
      <c r="AU219" s="1900"/>
      <c r="AV219" s="1900"/>
      <c r="AW219" s="1900"/>
      <c r="AX219" s="1900"/>
      <c r="AY219" s="1900"/>
      <c r="AZ219" s="1900"/>
      <c r="BA219" s="1900"/>
      <c r="BB219" s="1900"/>
      <c r="BC219" s="1900"/>
      <c r="BD219" s="1901"/>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2" t="s">
        <v>2229</v>
      </c>
      <c r="C221" s="1903"/>
      <c r="D221" s="1903"/>
      <c r="E221" s="1903"/>
      <c r="F221" s="1903"/>
      <c r="G221" s="1903"/>
      <c r="H221" s="1903"/>
      <c r="I221" s="1903"/>
      <c r="J221" s="1903"/>
      <c r="K221" s="1903"/>
      <c r="L221" s="1903"/>
      <c r="M221" s="1903"/>
      <c r="N221" s="1903"/>
      <c r="O221" s="1903"/>
      <c r="P221" s="1903"/>
      <c r="Q221" s="1903"/>
      <c r="R221" s="1903"/>
      <c r="S221" s="1903"/>
      <c r="T221" s="1903"/>
      <c r="U221" s="1903"/>
      <c r="V221" s="1903"/>
      <c r="W221" s="1903"/>
      <c r="X221" s="1903"/>
      <c r="Y221" s="1903"/>
      <c r="Z221" s="1903"/>
      <c r="AA221" s="1903"/>
      <c r="AB221" s="1903"/>
      <c r="AC221" s="1903"/>
      <c r="AD221" s="1903"/>
      <c r="AE221" s="1903"/>
      <c r="AF221" s="1903"/>
      <c r="AG221" s="1903"/>
      <c r="AH221" s="1903"/>
      <c r="AI221" s="1903"/>
      <c r="AJ221" s="1903"/>
      <c r="AK221" s="1903"/>
      <c r="AL221" s="1903"/>
      <c r="AM221" s="1903"/>
      <c r="AN221" s="1903"/>
      <c r="AO221" s="1903"/>
      <c r="AP221" s="1903"/>
      <c r="AQ221" s="1903"/>
      <c r="AR221" s="1903"/>
      <c r="AS221" s="1903"/>
      <c r="AT221" s="1903"/>
      <c r="AU221" s="1903"/>
      <c r="AV221" s="1903"/>
      <c r="AW221" s="1903"/>
      <c r="AX221" s="1903"/>
      <c r="AY221" s="1903"/>
      <c r="AZ221" s="1903"/>
      <c r="BA221" s="1903"/>
      <c r="BB221" s="1903"/>
      <c r="BC221" s="1903"/>
      <c r="BD221" s="1904"/>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2228</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05" t="s">
        <v>2227</v>
      </c>
      <c r="I225" s="1905"/>
      <c r="J225" s="1905"/>
      <c r="K225" s="1905"/>
      <c r="L225" s="1905"/>
      <c r="M225" s="1905"/>
      <c r="N225" s="1905"/>
      <c r="O225" s="1905"/>
      <c r="P225" s="1905"/>
      <c r="Q225" s="1905"/>
      <c r="R225" s="1905"/>
      <c r="S225" s="1905"/>
      <c r="T225" s="1905"/>
      <c r="U225" s="1905"/>
      <c r="V225" s="1905"/>
      <c r="W225" s="1905"/>
      <c r="X225" s="1905"/>
      <c r="Y225" s="1905"/>
      <c r="Z225" s="1905"/>
      <c r="AA225" s="1905"/>
      <c r="AB225" s="1905"/>
      <c r="AC225" s="1905"/>
      <c r="AD225" s="1905"/>
      <c r="AE225" s="1905"/>
      <c r="AF225" s="1905"/>
      <c r="AG225" s="1905"/>
      <c r="AH225" s="1905"/>
      <c r="AI225" s="1905"/>
      <c r="AJ225" s="1905"/>
      <c r="AK225" s="1905"/>
      <c r="AL225" s="1905"/>
      <c r="AM225" s="1905"/>
      <c r="AN225" s="1905"/>
      <c r="AO225" s="1905"/>
      <c r="AP225" s="1905"/>
      <c r="AQ225" s="1905"/>
      <c r="AR225" s="1905"/>
      <c r="AS225" s="1905"/>
      <c r="AT225" s="1905"/>
      <c r="AU225" s="1905"/>
      <c r="AV225" s="1905"/>
      <c r="AW225" s="1905"/>
      <c r="AX225" s="1905"/>
      <c r="AY225" s="1905"/>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88" t="s">
        <v>2226</v>
      </c>
      <c r="I227" s="1888"/>
      <c r="J227" s="1888"/>
      <c r="K227" s="1888"/>
      <c r="L227" s="1888"/>
      <c r="M227" s="1888"/>
      <c r="N227" s="1888"/>
      <c r="O227" s="1888"/>
      <c r="P227" s="1888"/>
      <c r="Q227" s="1888"/>
      <c r="R227" s="1888"/>
      <c r="S227" s="1888"/>
      <c r="T227" s="1888"/>
      <c r="U227" s="1888"/>
      <c r="V227" s="1888"/>
      <c r="W227" s="1888"/>
      <c r="X227" s="1888"/>
      <c r="Y227" s="1888"/>
      <c r="Z227" s="1888"/>
      <c r="AA227" s="1888"/>
      <c r="AB227" s="1888"/>
      <c r="AC227" s="1888"/>
      <c r="AD227" s="1888"/>
      <c r="AE227" s="1888"/>
      <c r="AF227" s="1888"/>
      <c r="AG227" s="1888"/>
      <c r="AH227" s="1888"/>
      <c r="AI227" s="1888"/>
      <c r="AJ227" s="1888"/>
      <c r="AK227" s="1888"/>
      <c r="AL227" s="1888"/>
      <c r="AM227" s="1888"/>
      <c r="AN227" s="1888"/>
      <c r="AO227" s="1888"/>
      <c r="AP227" s="1888"/>
      <c r="AQ227" s="1888"/>
      <c r="AR227" s="1888"/>
      <c r="AS227" s="1888"/>
      <c r="AT227" s="1888"/>
      <c r="AU227" s="1888"/>
      <c r="AV227" s="1888"/>
      <c r="AW227" s="1888"/>
      <c r="AX227" s="1888"/>
      <c r="AY227" s="1888"/>
      <c r="AZ227" s="1888"/>
      <c r="BA227" s="1208"/>
      <c r="BB227" s="1208"/>
      <c r="BC227" s="1208"/>
      <c r="BD227" s="1215"/>
      <c r="BE227" s="1215"/>
    </row>
    <row r="228" spans="1:57" ht="15.75" customHeight="1">
      <c r="A228" s="1208"/>
      <c r="B228" s="1207"/>
      <c r="C228" s="1208"/>
      <c r="D228" s="1208"/>
      <c r="E228" s="1208"/>
      <c r="F228" s="1208"/>
      <c r="G228" s="1208"/>
      <c r="H228" s="1888"/>
      <c r="I228" s="1888"/>
      <c r="J228" s="1888"/>
      <c r="K228" s="1888"/>
      <c r="L228" s="1888"/>
      <c r="M228" s="1888"/>
      <c r="N228" s="1888"/>
      <c r="O228" s="1888"/>
      <c r="P228" s="1888"/>
      <c r="Q228" s="1888"/>
      <c r="R228" s="1888"/>
      <c r="S228" s="1888"/>
      <c r="T228" s="1888"/>
      <c r="U228" s="1888"/>
      <c r="V228" s="1888"/>
      <c r="W228" s="1888"/>
      <c r="X228" s="1888"/>
      <c r="Y228" s="1888"/>
      <c r="Z228" s="1888"/>
      <c r="AA228" s="1888"/>
      <c r="AB228" s="1888"/>
      <c r="AC228" s="1888"/>
      <c r="AD228" s="1888"/>
      <c r="AE228" s="1888"/>
      <c r="AF228" s="1888"/>
      <c r="AG228" s="1888"/>
      <c r="AH228" s="1888"/>
      <c r="AI228" s="1888"/>
      <c r="AJ228" s="1888"/>
      <c r="AK228" s="1888"/>
      <c r="AL228" s="1888"/>
      <c r="AM228" s="1888"/>
      <c r="AN228" s="1888"/>
      <c r="AO228" s="1888"/>
      <c r="AP228" s="1888"/>
      <c r="AQ228" s="1888"/>
      <c r="AR228" s="1888"/>
      <c r="AS228" s="1888"/>
      <c r="AT228" s="1888"/>
      <c r="AU228" s="1888"/>
      <c r="AV228" s="1888"/>
      <c r="AW228" s="1888"/>
      <c r="AX228" s="1888"/>
      <c r="AY228" s="1888"/>
      <c r="AZ228" s="1888"/>
      <c r="BA228" s="1208"/>
      <c r="BB228" s="1208"/>
      <c r="BC228" s="1208"/>
      <c r="BD228" s="1215"/>
      <c r="BE228" s="1215"/>
    </row>
    <row r="229" spans="1:57" ht="15.75" customHeight="1">
      <c r="A229" s="1208"/>
      <c r="B229" s="1207"/>
      <c r="C229" s="1208"/>
      <c r="D229" s="1208"/>
      <c r="E229" s="1208"/>
      <c r="F229" s="1208"/>
      <c r="G229" s="1208"/>
      <c r="H229" s="1888"/>
      <c r="I229" s="1888"/>
      <c r="J229" s="1888"/>
      <c r="K229" s="1888"/>
      <c r="L229" s="1888"/>
      <c r="M229" s="1888"/>
      <c r="N229" s="1888"/>
      <c r="O229" s="1888"/>
      <c r="P229" s="1888"/>
      <c r="Q229" s="1888"/>
      <c r="R229" s="1888"/>
      <c r="S229" s="1888"/>
      <c r="T229" s="1888"/>
      <c r="U229" s="1888"/>
      <c r="V229" s="1888"/>
      <c r="W229" s="1888"/>
      <c r="X229" s="1888"/>
      <c r="Y229" s="1888"/>
      <c r="Z229" s="1888"/>
      <c r="AA229" s="1888"/>
      <c r="AB229" s="1888"/>
      <c r="AC229" s="1888"/>
      <c r="AD229" s="1888"/>
      <c r="AE229" s="1888"/>
      <c r="AF229" s="1888"/>
      <c r="AG229" s="1888"/>
      <c r="AH229" s="1888"/>
      <c r="AI229" s="1888"/>
      <c r="AJ229" s="1888"/>
      <c r="AK229" s="1888"/>
      <c r="AL229" s="1888"/>
      <c r="AM229" s="1888"/>
      <c r="AN229" s="1888"/>
      <c r="AO229" s="1888"/>
      <c r="AP229" s="1888"/>
      <c r="AQ229" s="1888"/>
      <c r="AR229" s="1888"/>
      <c r="AS229" s="1888"/>
      <c r="AT229" s="1888"/>
      <c r="AU229" s="1888"/>
      <c r="AV229" s="1888"/>
      <c r="AW229" s="1888"/>
      <c r="AX229" s="1888"/>
      <c r="AY229" s="1888"/>
      <c r="AZ229" s="1888"/>
      <c r="BA229" s="1208"/>
      <c r="BB229" s="1208"/>
      <c r="BC229" s="1208"/>
      <c r="BD229" s="1215"/>
      <c r="BE229" s="1215"/>
    </row>
    <row r="230" spans="1:57" ht="15.75" customHeight="1">
      <c r="A230" s="1208"/>
      <c r="B230" s="1207"/>
      <c r="C230" s="1208"/>
      <c r="D230" s="1208"/>
      <c r="E230" s="1208"/>
      <c r="F230" s="1208"/>
      <c r="G230" s="1208"/>
      <c r="H230" s="1888"/>
      <c r="I230" s="1888"/>
      <c r="J230" s="1888"/>
      <c r="K230" s="1888"/>
      <c r="L230" s="1888"/>
      <c r="M230" s="1888"/>
      <c r="N230" s="1888"/>
      <c r="O230" s="1888"/>
      <c r="P230" s="1888"/>
      <c r="Q230" s="1888"/>
      <c r="R230" s="1888"/>
      <c r="S230" s="1888"/>
      <c r="T230" s="1888"/>
      <c r="U230" s="1888"/>
      <c r="V230" s="1888"/>
      <c r="W230" s="1888"/>
      <c r="X230" s="1888"/>
      <c r="Y230" s="1888"/>
      <c r="Z230" s="1888"/>
      <c r="AA230" s="1888"/>
      <c r="AB230" s="1888"/>
      <c r="AC230" s="1888"/>
      <c r="AD230" s="1888"/>
      <c r="AE230" s="1888"/>
      <c r="AF230" s="1888"/>
      <c r="AG230" s="1888"/>
      <c r="AH230" s="1888"/>
      <c r="AI230" s="1888"/>
      <c r="AJ230" s="1888"/>
      <c r="AK230" s="1888"/>
      <c r="AL230" s="1888"/>
      <c r="AM230" s="1888"/>
      <c r="AN230" s="1888"/>
      <c r="AO230" s="1888"/>
      <c r="AP230" s="1888"/>
      <c r="AQ230" s="1888"/>
      <c r="AR230" s="1888"/>
      <c r="AS230" s="1888"/>
      <c r="AT230" s="1888"/>
      <c r="AU230" s="1888"/>
      <c r="AV230" s="1888"/>
      <c r="AW230" s="1888"/>
      <c r="AX230" s="1888"/>
      <c r="AY230" s="1888"/>
      <c r="AZ230" s="1888"/>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89" t="s">
        <v>2225</v>
      </c>
      <c r="I232" s="1889"/>
      <c r="J232" s="1889"/>
      <c r="K232" s="1889"/>
      <c r="L232" s="1889"/>
      <c r="M232" s="1889"/>
      <c r="N232" s="1889"/>
      <c r="O232" s="1889"/>
      <c r="P232" s="1889"/>
      <c r="Q232" s="1889"/>
      <c r="R232" s="1889"/>
      <c r="S232" s="1889"/>
      <c r="T232" s="1889"/>
      <c r="U232" s="1889"/>
      <c r="V232" s="1889"/>
      <c r="W232" s="1889"/>
      <c r="X232" s="1889"/>
      <c r="Y232" s="1889"/>
      <c r="Z232" s="1889"/>
      <c r="AA232" s="1889"/>
      <c r="AB232" s="1889"/>
      <c r="AC232" s="1889"/>
      <c r="AD232" s="1889"/>
      <c r="AE232" s="1889"/>
      <c r="AF232" s="1889"/>
      <c r="AG232" s="1889"/>
      <c r="AH232" s="1889"/>
      <c r="AI232" s="1889"/>
      <c r="AJ232" s="1889"/>
      <c r="AK232" s="1889"/>
      <c r="AL232" s="1889"/>
      <c r="AM232" s="1889"/>
      <c r="AN232" s="1889"/>
      <c r="AO232" s="1889"/>
      <c r="AP232" s="1889"/>
      <c r="AQ232" s="1889"/>
      <c r="AR232" s="1889"/>
      <c r="AS232" s="1889"/>
      <c r="AT232" s="1889"/>
      <c r="AU232" s="1889"/>
      <c r="AV232" s="1889"/>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79" t="s">
        <v>2224</v>
      </c>
      <c r="I234" s="1879"/>
      <c r="J234" s="1879"/>
      <c r="K234" s="1879"/>
      <c r="L234" s="1259"/>
      <c r="M234" s="1259"/>
      <c r="N234" s="1259"/>
      <c r="O234" s="1259"/>
      <c r="P234" s="1259"/>
      <c r="Q234" s="1259"/>
      <c r="R234" s="1259"/>
      <c r="S234" s="1890"/>
      <c r="T234" s="1891"/>
      <c r="U234" s="1891"/>
      <c r="V234" s="1891"/>
      <c r="W234" s="1891"/>
      <c r="X234" s="1891"/>
      <c r="Y234" s="1891"/>
      <c r="Z234" s="1891"/>
      <c r="AA234" s="1891"/>
      <c r="AB234" s="1891"/>
      <c r="AC234" s="1891"/>
      <c r="AD234" s="1891"/>
      <c r="AE234" s="1891"/>
      <c r="AF234" s="1891"/>
      <c r="AG234" s="1891"/>
      <c r="AH234" s="1891"/>
      <c r="AI234" s="1891"/>
      <c r="AJ234" s="1892"/>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79" t="s">
        <v>2223</v>
      </c>
      <c r="I236" s="1879"/>
      <c r="J236" s="1879"/>
      <c r="K236" s="1261"/>
      <c r="L236" s="1259"/>
      <c r="M236" s="1259"/>
      <c r="N236" s="1259"/>
      <c r="O236" s="1259"/>
      <c r="P236" s="1259"/>
      <c r="Q236" s="1259"/>
      <c r="R236" s="1259"/>
      <c r="S236" s="1880"/>
      <c r="T236" s="1881"/>
      <c r="U236" s="1881"/>
      <c r="V236" s="1881"/>
      <c r="W236" s="1881"/>
      <c r="X236" s="1881"/>
      <c r="Y236" s="1881"/>
      <c r="Z236" s="1881"/>
      <c r="AA236" s="1881"/>
      <c r="AB236" s="1881"/>
      <c r="AC236" s="1881"/>
      <c r="AD236" s="1881"/>
      <c r="AE236" s="1881"/>
      <c r="AF236" s="1881"/>
      <c r="AG236" s="1881"/>
      <c r="AH236" s="1881"/>
      <c r="AI236" s="1881"/>
      <c r="AJ236" s="1882"/>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79" t="s">
        <v>440</v>
      </c>
      <c r="I238" s="1879"/>
      <c r="J238" s="1261"/>
      <c r="K238" s="1261"/>
      <c r="L238" s="1259"/>
      <c r="M238" s="1259"/>
      <c r="N238" s="1259"/>
      <c r="O238" s="1259"/>
      <c r="P238" s="1259"/>
      <c r="Q238" s="1259"/>
      <c r="R238" s="1259"/>
      <c r="S238" s="1880"/>
      <c r="T238" s="1881"/>
      <c r="U238" s="1881"/>
      <c r="V238" s="1881"/>
      <c r="W238" s="1881"/>
      <c r="X238" s="1881"/>
      <c r="Y238" s="1881"/>
      <c r="Z238" s="1881"/>
      <c r="AA238" s="1881"/>
      <c r="AB238" s="1881"/>
      <c r="AC238" s="1881"/>
      <c r="AD238" s="1881"/>
      <c r="AE238" s="1881"/>
      <c r="AF238" s="1881"/>
      <c r="AG238" s="1881"/>
      <c r="AH238" s="1881"/>
      <c r="AI238" s="1881"/>
      <c r="AJ238" s="1882"/>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3" t="s">
        <v>2222</v>
      </c>
      <c r="I240" s="1883"/>
      <c r="J240" s="1883"/>
      <c r="K240" s="1883"/>
      <c r="L240" s="1883"/>
      <c r="M240" s="1883"/>
      <c r="N240" s="1883"/>
      <c r="O240" s="1883"/>
      <c r="P240" s="1259"/>
      <c r="Q240" s="1259"/>
      <c r="R240" s="1259"/>
      <c r="S240" s="1880"/>
      <c r="T240" s="1881"/>
      <c r="U240" s="1881"/>
      <c r="V240" s="1881"/>
      <c r="W240" s="1881"/>
      <c r="X240" s="1881"/>
      <c r="Y240" s="1881"/>
      <c r="Z240" s="1881"/>
      <c r="AA240" s="1881"/>
      <c r="AB240" s="1881"/>
      <c r="AC240" s="1881"/>
      <c r="AD240" s="1881"/>
      <c r="AE240" s="1881"/>
      <c r="AF240" s="1881"/>
      <c r="AG240" s="1881"/>
      <c r="AH240" s="1881"/>
      <c r="AI240" s="1881"/>
      <c r="AJ240" s="1882"/>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84" t="s">
        <v>2221</v>
      </c>
      <c r="I242" s="1884"/>
      <c r="J242" s="1259"/>
      <c r="K242" s="1259"/>
      <c r="L242" s="1259"/>
      <c r="M242" s="1259"/>
      <c r="N242" s="1259"/>
      <c r="O242" s="1259"/>
      <c r="P242" s="1259"/>
      <c r="Q242" s="1259"/>
      <c r="R242" s="1259"/>
      <c r="S242" s="1885"/>
      <c r="T242" s="1886"/>
      <c r="U242" s="1886"/>
      <c r="V242" s="1886"/>
      <c r="W242" s="1886"/>
      <c r="X242" s="1886"/>
      <c r="Y242" s="1886"/>
      <c r="Z242" s="1886"/>
      <c r="AA242" s="1886"/>
      <c r="AB242" s="1886"/>
      <c r="AC242" s="1886"/>
      <c r="AD242" s="1886"/>
      <c r="AE242" s="1886"/>
      <c r="AF242" s="1886"/>
      <c r="AG242" s="1886"/>
      <c r="AH242" s="1886"/>
      <c r="AI242" s="1886"/>
      <c r="AJ242" s="1887"/>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249</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6" workbookViewId="0">
      <selection activeCell="AB50" sqref="AB50:AF50"/>
    </sheetView>
  </sheetViews>
  <sheetFormatPr defaultColWidth="0" defaultRowHeight="13" customHeight="1" zeroHeight="1"/>
  <cols>
    <col min="1" max="1" width="1.54296875" style="402" customWidth="1"/>
    <col min="2" max="2" width="0.81640625" style="402" customWidth="1"/>
    <col min="3" max="18" width="2.54296875" style="402" customWidth="1"/>
    <col min="19" max="19" width="6.26953125" style="402" customWidth="1"/>
    <col min="20" max="39" width="2.7265625" style="402" customWidth="1"/>
    <col min="40" max="40" width="1.54296875" style="402" customWidth="1"/>
    <col min="41" max="256" width="2.54296875" style="402" hidden="1"/>
    <col min="257" max="257" width="1.54296875" style="402" hidden="1" customWidth="1"/>
    <col min="258" max="258" width="0.81640625" style="402" hidden="1" customWidth="1"/>
    <col min="259" max="274" width="2.54296875" style="402" hidden="1" customWidth="1"/>
    <col min="275" max="275" width="4" style="402" hidden="1" customWidth="1"/>
    <col min="276" max="279" width="2.54296875" style="402" hidden="1" customWidth="1"/>
    <col min="280" max="280" width="2.453125" style="402" hidden="1" customWidth="1"/>
    <col min="281" max="284" width="2.54296875" style="402" hidden="1" customWidth="1"/>
    <col min="285" max="285" width="2.453125" style="402" hidden="1" customWidth="1"/>
    <col min="286" max="289" width="2.54296875" style="402" hidden="1" customWidth="1"/>
    <col min="290" max="295" width="2.453125" style="402" hidden="1" customWidth="1"/>
    <col min="296" max="296" width="1.54296875" style="402" hidden="1" customWidth="1"/>
    <col min="297" max="512" width="2.54296875" style="402" hidden="1"/>
    <col min="513" max="513" width="1.54296875" style="402" hidden="1" customWidth="1"/>
    <col min="514" max="514" width="0.81640625" style="402" hidden="1" customWidth="1"/>
    <col min="515" max="530" width="2.54296875" style="402" hidden="1" customWidth="1"/>
    <col min="531" max="531" width="4" style="402" hidden="1" customWidth="1"/>
    <col min="532" max="535" width="2.54296875" style="402" hidden="1" customWidth="1"/>
    <col min="536" max="536" width="2.453125" style="402" hidden="1" customWidth="1"/>
    <col min="537" max="540" width="2.54296875" style="402" hidden="1" customWidth="1"/>
    <col min="541" max="541" width="2.453125" style="402" hidden="1" customWidth="1"/>
    <col min="542" max="545" width="2.54296875" style="402" hidden="1" customWidth="1"/>
    <col min="546" max="551" width="2.453125" style="402" hidden="1" customWidth="1"/>
    <col min="552" max="552" width="1.54296875" style="402" hidden="1" customWidth="1"/>
    <col min="553" max="768" width="2.54296875" style="402" hidden="1"/>
    <col min="769" max="769" width="1.54296875" style="402" hidden="1" customWidth="1"/>
    <col min="770" max="770" width="0.81640625" style="402" hidden="1" customWidth="1"/>
    <col min="771" max="786" width="2.54296875" style="402" hidden="1" customWidth="1"/>
    <col min="787" max="787" width="4" style="402" hidden="1" customWidth="1"/>
    <col min="788" max="791" width="2.54296875" style="402" hidden="1" customWidth="1"/>
    <col min="792" max="792" width="2.453125" style="402" hidden="1" customWidth="1"/>
    <col min="793" max="796" width="2.54296875" style="402" hidden="1" customWidth="1"/>
    <col min="797" max="797" width="2.453125" style="402" hidden="1" customWidth="1"/>
    <col min="798" max="801" width="2.54296875" style="402" hidden="1" customWidth="1"/>
    <col min="802" max="807" width="2.453125" style="402" hidden="1" customWidth="1"/>
    <col min="808" max="808" width="1.54296875" style="402" hidden="1" customWidth="1"/>
    <col min="809" max="1024" width="2.54296875" style="402" hidden="1"/>
    <col min="1025" max="1025" width="1.54296875" style="402" hidden="1" customWidth="1"/>
    <col min="1026" max="1026" width="0.81640625" style="402" hidden="1" customWidth="1"/>
    <col min="1027" max="1042" width="2.54296875" style="402" hidden="1" customWidth="1"/>
    <col min="1043" max="1043" width="4" style="402" hidden="1" customWidth="1"/>
    <col min="1044" max="1047" width="2.54296875" style="402" hidden="1" customWidth="1"/>
    <col min="1048" max="1048" width="2.453125" style="402" hidden="1" customWidth="1"/>
    <col min="1049" max="1052" width="2.54296875" style="402" hidden="1" customWidth="1"/>
    <col min="1053" max="1053" width="2.453125" style="402" hidden="1" customWidth="1"/>
    <col min="1054" max="1057" width="2.54296875" style="402" hidden="1" customWidth="1"/>
    <col min="1058" max="1063" width="2.453125" style="402" hidden="1" customWidth="1"/>
    <col min="1064" max="1064" width="1.54296875" style="402" hidden="1" customWidth="1"/>
    <col min="1065" max="1280" width="2.54296875" style="402" hidden="1"/>
    <col min="1281" max="1281" width="1.54296875" style="402" hidden="1" customWidth="1"/>
    <col min="1282" max="1282" width="0.81640625" style="402" hidden="1" customWidth="1"/>
    <col min="1283" max="1298" width="2.54296875" style="402" hidden="1" customWidth="1"/>
    <col min="1299" max="1299" width="4" style="402" hidden="1" customWidth="1"/>
    <col min="1300" max="1303" width="2.54296875" style="402" hidden="1" customWidth="1"/>
    <col min="1304" max="1304" width="2.453125" style="402" hidden="1" customWidth="1"/>
    <col min="1305" max="1308" width="2.54296875" style="402" hidden="1" customWidth="1"/>
    <col min="1309" max="1309" width="2.453125" style="402" hidden="1" customWidth="1"/>
    <col min="1310" max="1313" width="2.54296875" style="402" hidden="1" customWidth="1"/>
    <col min="1314" max="1319" width="2.453125" style="402" hidden="1" customWidth="1"/>
    <col min="1320" max="1320" width="1.54296875" style="402" hidden="1" customWidth="1"/>
    <col min="1321" max="1536" width="2.54296875" style="402" hidden="1"/>
    <col min="1537" max="1537" width="1.54296875" style="402" hidden="1" customWidth="1"/>
    <col min="1538" max="1538" width="0.81640625" style="402" hidden="1" customWidth="1"/>
    <col min="1539" max="1554" width="2.54296875" style="402" hidden="1" customWidth="1"/>
    <col min="1555" max="1555" width="4" style="402" hidden="1" customWidth="1"/>
    <col min="1556" max="1559" width="2.54296875" style="402" hidden="1" customWidth="1"/>
    <col min="1560" max="1560" width="2.453125" style="402" hidden="1" customWidth="1"/>
    <col min="1561" max="1564" width="2.54296875" style="402" hidden="1" customWidth="1"/>
    <col min="1565" max="1565" width="2.453125" style="402" hidden="1" customWidth="1"/>
    <col min="1566" max="1569" width="2.54296875" style="402" hidden="1" customWidth="1"/>
    <col min="1570" max="1575" width="2.453125" style="402" hidden="1" customWidth="1"/>
    <col min="1576" max="1576" width="1.54296875" style="402" hidden="1" customWidth="1"/>
    <col min="1577" max="1792" width="2.54296875" style="402" hidden="1"/>
    <col min="1793" max="1793" width="1.54296875" style="402" hidden="1" customWidth="1"/>
    <col min="1794" max="1794" width="0.81640625" style="402" hidden="1" customWidth="1"/>
    <col min="1795" max="1810" width="2.54296875" style="402" hidden="1" customWidth="1"/>
    <col min="1811" max="1811" width="4" style="402" hidden="1" customWidth="1"/>
    <col min="1812" max="1815" width="2.54296875" style="402" hidden="1" customWidth="1"/>
    <col min="1816" max="1816" width="2.453125" style="402" hidden="1" customWidth="1"/>
    <col min="1817" max="1820" width="2.54296875" style="402" hidden="1" customWidth="1"/>
    <col min="1821" max="1821" width="2.453125" style="402" hidden="1" customWidth="1"/>
    <col min="1822" max="1825" width="2.54296875" style="402" hidden="1" customWidth="1"/>
    <col min="1826" max="1831" width="2.453125" style="402" hidden="1" customWidth="1"/>
    <col min="1832" max="1832" width="1.54296875" style="402" hidden="1" customWidth="1"/>
    <col min="1833" max="2048" width="2.54296875" style="402" hidden="1"/>
    <col min="2049" max="2049" width="1.54296875" style="402" hidden="1" customWidth="1"/>
    <col min="2050" max="2050" width="0.81640625" style="402" hidden="1" customWidth="1"/>
    <col min="2051" max="2066" width="2.54296875" style="402" hidden="1" customWidth="1"/>
    <col min="2067" max="2067" width="4" style="402" hidden="1" customWidth="1"/>
    <col min="2068" max="2071" width="2.54296875" style="402" hidden="1" customWidth="1"/>
    <col min="2072" max="2072" width="2.453125" style="402" hidden="1" customWidth="1"/>
    <col min="2073" max="2076" width="2.54296875" style="402" hidden="1" customWidth="1"/>
    <col min="2077" max="2077" width="2.453125" style="402" hidden="1" customWidth="1"/>
    <col min="2078" max="2081" width="2.54296875" style="402" hidden="1" customWidth="1"/>
    <col min="2082" max="2087" width="2.453125" style="402" hidden="1" customWidth="1"/>
    <col min="2088" max="2088" width="1.54296875" style="402" hidden="1" customWidth="1"/>
    <col min="2089" max="2304" width="2.54296875" style="402" hidden="1"/>
    <col min="2305" max="2305" width="1.54296875" style="402" hidden="1" customWidth="1"/>
    <col min="2306" max="2306" width="0.81640625" style="402" hidden="1" customWidth="1"/>
    <col min="2307" max="2322" width="2.54296875" style="402" hidden="1" customWidth="1"/>
    <col min="2323" max="2323" width="4" style="402" hidden="1" customWidth="1"/>
    <col min="2324" max="2327" width="2.54296875" style="402" hidden="1" customWidth="1"/>
    <col min="2328" max="2328" width="2.453125" style="402" hidden="1" customWidth="1"/>
    <col min="2329" max="2332" width="2.54296875" style="402" hidden="1" customWidth="1"/>
    <col min="2333" max="2333" width="2.453125" style="402" hidden="1" customWidth="1"/>
    <col min="2334" max="2337" width="2.54296875" style="402" hidden="1" customWidth="1"/>
    <col min="2338" max="2343" width="2.453125" style="402" hidden="1" customWidth="1"/>
    <col min="2344" max="2344" width="1.54296875" style="402" hidden="1" customWidth="1"/>
    <col min="2345" max="2560" width="2.54296875" style="402" hidden="1"/>
    <col min="2561" max="2561" width="1.54296875" style="402" hidden="1" customWidth="1"/>
    <col min="2562" max="2562" width="0.81640625" style="402" hidden="1" customWidth="1"/>
    <col min="2563" max="2578" width="2.54296875" style="402" hidden="1" customWidth="1"/>
    <col min="2579" max="2579" width="4" style="402" hidden="1" customWidth="1"/>
    <col min="2580" max="2583" width="2.54296875" style="402" hidden="1" customWidth="1"/>
    <col min="2584" max="2584" width="2.453125" style="402" hidden="1" customWidth="1"/>
    <col min="2585" max="2588" width="2.54296875" style="402" hidden="1" customWidth="1"/>
    <col min="2589" max="2589" width="2.453125" style="402" hidden="1" customWidth="1"/>
    <col min="2590" max="2593" width="2.54296875" style="402" hidden="1" customWidth="1"/>
    <col min="2594" max="2599" width="2.453125" style="402" hidden="1" customWidth="1"/>
    <col min="2600" max="2600" width="1.54296875" style="402" hidden="1" customWidth="1"/>
    <col min="2601" max="2816" width="2.54296875" style="402" hidden="1"/>
    <col min="2817" max="2817" width="1.54296875" style="402" hidden="1" customWidth="1"/>
    <col min="2818" max="2818" width="0.81640625" style="402" hidden="1" customWidth="1"/>
    <col min="2819" max="2834" width="2.54296875" style="402" hidden="1" customWidth="1"/>
    <col min="2835" max="2835" width="4" style="402" hidden="1" customWidth="1"/>
    <col min="2836" max="2839" width="2.54296875" style="402" hidden="1" customWidth="1"/>
    <col min="2840" max="2840" width="2.453125" style="402" hidden="1" customWidth="1"/>
    <col min="2841" max="2844" width="2.54296875" style="402" hidden="1" customWidth="1"/>
    <col min="2845" max="2845" width="2.453125" style="402" hidden="1" customWidth="1"/>
    <col min="2846" max="2849" width="2.54296875" style="402" hidden="1" customWidth="1"/>
    <col min="2850" max="2855" width="2.453125" style="402" hidden="1" customWidth="1"/>
    <col min="2856" max="2856" width="1.54296875" style="402" hidden="1" customWidth="1"/>
    <col min="2857" max="3072" width="2.54296875" style="402" hidden="1"/>
    <col min="3073" max="3073" width="1.54296875" style="402" hidden="1" customWidth="1"/>
    <col min="3074" max="3074" width="0.81640625" style="402" hidden="1" customWidth="1"/>
    <col min="3075" max="3090" width="2.54296875" style="402" hidden="1" customWidth="1"/>
    <col min="3091" max="3091" width="4" style="402" hidden="1" customWidth="1"/>
    <col min="3092" max="3095" width="2.54296875" style="402" hidden="1" customWidth="1"/>
    <col min="3096" max="3096" width="2.453125" style="402" hidden="1" customWidth="1"/>
    <col min="3097" max="3100" width="2.54296875" style="402" hidden="1" customWidth="1"/>
    <col min="3101" max="3101" width="2.453125" style="402" hidden="1" customWidth="1"/>
    <col min="3102" max="3105" width="2.54296875" style="402" hidden="1" customWidth="1"/>
    <col min="3106" max="3111" width="2.453125" style="402" hidden="1" customWidth="1"/>
    <col min="3112" max="3112" width="1.54296875" style="402" hidden="1" customWidth="1"/>
    <col min="3113" max="3328" width="2.54296875" style="402" hidden="1"/>
    <col min="3329" max="3329" width="1.54296875" style="402" hidden="1" customWidth="1"/>
    <col min="3330" max="3330" width="0.81640625" style="402" hidden="1" customWidth="1"/>
    <col min="3331" max="3346" width="2.54296875" style="402" hidden="1" customWidth="1"/>
    <col min="3347" max="3347" width="4" style="402" hidden="1" customWidth="1"/>
    <col min="3348" max="3351" width="2.54296875" style="402" hidden="1" customWidth="1"/>
    <col min="3352" max="3352" width="2.453125" style="402" hidden="1" customWidth="1"/>
    <col min="3353" max="3356" width="2.54296875" style="402" hidden="1" customWidth="1"/>
    <col min="3357" max="3357" width="2.453125" style="402" hidden="1" customWidth="1"/>
    <col min="3358" max="3361" width="2.54296875" style="402" hidden="1" customWidth="1"/>
    <col min="3362" max="3367" width="2.453125" style="402" hidden="1" customWidth="1"/>
    <col min="3368" max="3368" width="1.54296875" style="402" hidden="1" customWidth="1"/>
    <col min="3369" max="3584" width="2.54296875" style="402" hidden="1"/>
    <col min="3585" max="3585" width="1.54296875" style="402" hidden="1" customWidth="1"/>
    <col min="3586" max="3586" width="0.81640625" style="402" hidden="1" customWidth="1"/>
    <col min="3587" max="3602" width="2.54296875" style="402" hidden="1" customWidth="1"/>
    <col min="3603" max="3603" width="4" style="402" hidden="1" customWidth="1"/>
    <col min="3604" max="3607" width="2.54296875" style="402" hidden="1" customWidth="1"/>
    <col min="3608" max="3608" width="2.453125" style="402" hidden="1" customWidth="1"/>
    <col min="3609" max="3612" width="2.54296875" style="402" hidden="1" customWidth="1"/>
    <col min="3613" max="3613" width="2.453125" style="402" hidden="1" customWidth="1"/>
    <col min="3614" max="3617" width="2.54296875" style="402" hidden="1" customWidth="1"/>
    <col min="3618" max="3623" width="2.453125" style="402" hidden="1" customWidth="1"/>
    <col min="3624" max="3624" width="1.54296875" style="402" hidden="1" customWidth="1"/>
    <col min="3625" max="3840" width="2.54296875" style="402" hidden="1"/>
    <col min="3841" max="3841" width="1.54296875" style="402" hidden="1" customWidth="1"/>
    <col min="3842" max="3842" width="0.81640625" style="402" hidden="1" customWidth="1"/>
    <col min="3843" max="3858" width="2.54296875" style="402" hidden="1" customWidth="1"/>
    <col min="3859" max="3859" width="4" style="402" hidden="1" customWidth="1"/>
    <col min="3860" max="3863" width="2.54296875" style="402" hidden="1" customWidth="1"/>
    <col min="3864" max="3864" width="2.453125" style="402" hidden="1" customWidth="1"/>
    <col min="3865" max="3868" width="2.54296875" style="402" hidden="1" customWidth="1"/>
    <col min="3869" max="3869" width="2.453125" style="402" hidden="1" customWidth="1"/>
    <col min="3870" max="3873" width="2.54296875" style="402" hidden="1" customWidth="1"/>
    <col min="3874" max="3879" width="2.453125" style="402" hidden="1" customWidth="1"/>
    <col min="3880" max="3880" width="1.54296875" style="402" hidden="1" customWidth="1"/>
    <col min="3881" max="4096" width="2.54296875" style="402" hidden="1"/>
    <col min="4097" max="4097" width="1.54296875" style="402" hidden="1" customWidth="1"/>
    <col min="4098" max="4098" width="0.81640625" style="402" hidden="1" customWidth="1"/>
    <col min="4099" max="4114" width="2.54296875" style="402" hidden="1" customWidth="1"/>
    <col min="4115" max="4115" width="4" style="402" hidden="1" customWidth="1"/>
    <col min="4116" max="4119" width="2.54296875" style="402" hidden="1" customWidth="1"/>
    <col min="4120" max="4120" width="2.453125" style="402" hidden="1" customWidth="1"/>
    <col min="4121" max="4124" width="2.54296875" style="402" hidden="1" customWidth="1"/>
    <col min="4125" max="4125" width="2.453125" style="402" hidden="1" customWidth="1"/>
    <col min="4126" max="4129" width="2.54296875" style="402" hidden="1" customWidth="1"/>
    <col min="4130" max="4135" width="2.453125" style="402" hidden="1" customWidth="1"/>
    <col min="4136" max="4136" width="1.54296875" style="402" hidden="1" customWidth="1"/>
    <col min="4137" max="4352" width="2.54296875" style="402" hidden="1"/>
    <col min="4353" max="4353" width="1.54296875" style="402" hidden="1" customWidth="1"/>
    <col min="4354" max="4354" width="0.81640625" style="402" hidden="1" customWidth="1"/>
    <col min="4355" max="4370" width="2.54296875" style="402" hidden="1" customWidth="1"/>
    <col min="4371" max="4371" width="4" style="402" hidden="1" customWidth="1"/>
    <col min="4372" max="4375" width="2.54296875" style="402" hidden="1" customWidth="1"/>
    <col min="4376" max="4376" width="2.453125" style="402" hidden="1" customWidth="1"/>
    <col min="4377" max="4380" width="2.54296875" style="402" hidden="1" customWidth="1"/>
    <col min="4381" max="4381" width="2.453125" style="402" hidden="1" customWidth="1"/>
    <col min="4382" max="4385" width="2.54296875" style="402" hidden="1" customWidth="1"/>
    <col min="4386" max="4391" width="2.453125" style="402" hidden="1" customWidth="1"/>
    <col min="4392" max="4392" width="1.54296875" style="402" hidden="1" customWidth="1"/>
    <col min="4393" max="4608" width="2.54296875" style="402" hidden="1"/>
    <col min="4609" max="4609" width="1.54296875" style="402" hidden="1" customWidth="1"/>
    <col min="4610" max="4610" width="0.81640625" style="402" hidden="1" customWidth="1"/>
    <col min="4611" max="4626" width="2.54296875" style="402" hidden="1" customWidth="1"/>
    <col min="4627" max="4627" width="4" style="402" hidden="1" customWidth="1"/>
    <col min="4628" max="4631" width="2.54296875" style="402" hidden="1" customWidth="1"/>
    <col min="4632" max="4632" width="2.453125" style="402" hidden="1" customWidth="1"/>
    <col min="4633" max="4636" width="2.54296875" style="402" hidden="1" customWidth="1"/>
    <col min="4637" max="4637" width="2.453125" style="402" hidden="1" customWidth="1"/>
    <col min="4638" max="4641" width="2.54296875" style="402" hidden="1" customWidth="1"/>
    <col min="4642" max="4647" width="2.453125" style="402" hidden="1" customWidth="1"/>
    <col min="4648" max="4648" width="1.54296875" style="402" hidden="1" customWidth="1"/>
    <col min="4649" max="4864" width="2.54296875" style="402" hidden="1"/>
    <col min="4865" max="4865" width="1.54296875" style="402" hidden="1" customWidth="1"/>
    <col min="4866" max="4866" width="0.81640625" style="402" hidden="1" customWidth="1"/>
    <col min="4867" max="4882" width="2.54296875" style="402" hidden="1" customWidth="1"/>
    <col min="4883" max="4883" width="4" style="402" hidden="1" customWidth="1"/>
    <col min="4884" max="4887" width="2.54296875" style="402" hidden="1" customWidth="1"/>
    <col min="4888" max="4888" width="2.453125" style="402" hidden="1" customWidth="1"/>
    <col min="4889" max="4892" width="2.54296875" style="402" hidden="1" customWidth="1"/>
    <col min="4893" max="4893" width="2.453125" style="402" hidden="1" customWidth="1"/>
    <col min="4894" max="4897" width="2.54296875" style="402" hidden="1" customWidth="1"/>
    <col min="4898" max="4903" width="2.453125" style="402" hidden="1" customWidth="1"/>
    <col min="4904" max="4904" width="1.54296875" style="402" hidden="1" customWidth="1"/>
    <col min="4905" max="5120" width="2.54296875" style="402" hidden="1"/>
    <col min="5121" max="5121" width="1.54296875" style="402" hidden="1" customWidth="1"/>
    <col min="5122" max="5122" width="0.81640625" style="402" hidden="1" customWidth="1"/>
    <col min="5123" max="5138" width="2.54296875" style="402" hidden="1" customWidth="1"/>
    <col min="5139" max="5139" width="4" style="402" hidden="1" customWidth="1"/>
    <col min="5140" max="5143" width="2.54296875" style="402" hidden="1" customWidth="1"/>
    <col min="5144" max="5144" width="2.453125" style="402" hidden="1" customWidth="1"/>
    <col min="5145" max="5148" width="2.54296875" style="402" hidden="1" customWidth="1"/>
    <col min="5149" max="5149" width="2.453125" style="402" hidden="1" customWidth="1"/>
    <col min="5150" max="5153" width="2.54296875" style="402" hidden="1" customWidth="1"/>
    <col min="5154" max="5159" width="2.453125" style="402" hidden="1" customWidth="1"/>
    <col min="5160" max="5160" width="1.54296875" style="402" hidden="1" customWidth="1"/>
    <col min="5161" max="5376" width="2.54296875" style="402" hidden="1"/>
    <col min="5377" max="5377" width="1.54296875" style="402" hidden="1" customWidth="1"/>
    <col min="5378" max="5378" width="0.81640625" style="402" hidden="1" customWidth="1"/>
    <col min="5379" max="5394" width="2.54296875" style="402" hidden="1" customWidth="1"/>
    <col min="5395" max="5395" width="4" style="402" hidden="1" customWidth="1"/>
    <col min="5396" max="5399" width="2.54296875" style="402" hidden="1" customWidth="1"/>
    <col min="5400" max="5400" width="2.453125" style="402" hidden="1" customWidth="1"/>
    <col min="5401" max="5404" width="2.54296875" style="402" hidden="1" customWidth="1"/>
    <col min="5405" max="5405" width="2.453125" style="402" hidden="1" customWidth="1"/>
    <col min="5406" max="5409" width="2.54296875" style="402" hidden="1" customWidth="1"/>
    <col min="5410" max="5415" width="2.453125" style="402" hidden="1" customWidth="1"/>
    <col min="5416" max="5416" width="1.54296875" style="402" hidden="1" customWidth="1"/>
    <col min="5417" max="5632" width="2.54296875" style="402" hidden="1"/>
    <col min="5633" max="5633" width="1.54296875" style="402" hidden="1" customWidth="1"/>
    <col min="5634" max="5634" width="0.81640625" style="402" hidden="1" customWidth="1"/>
    <col min="5635" max="5650" width="2.54296875" style="402" hidden="1" customWidth="1"/>
    <col min="5651" max="5651" width="4" style="402" hidden="1" customWidth="1"/>
    <col min="5652" max="5655" width="2.54296875" style="402" hidden="1" customWidth="1"/>
    <col min="5656" max="5656" width="2.453125" style="402" hidden="1" customWidth="1"/>
    <col min="5657" max="5660" width="2.54296875" style="402" hidden="1" customWidth="1"/>
    <col min="5661" max="5661" width="2.453125" style="402" hidden="1" customWidth="1"/>
    <col min="5662" max="5665" width="2.54296875" style="402" hidden="1" customWidth="1"/>
    <col min="5666" max="5671" width="2.453125" style="402" hidden="1" customWidth="1"/>
    <col min="5672" max="5672" width="1.54296875" style="402" hidden="1" customWidth="1"/>
    <col min="5673" max="5888" width="2.54296875" style="402" hidden="1"/>
    <col min="5889" max="5889" width="1.54296875" style="402" hidden="1" customWidth="1"/>
    <col min="5890" max="5890" width="0.81640625" style="402" hidden="1" customWidth="1"/>
    <col min="5891" max="5906" width="2.54296875" style="402" hidden="1" customWidth="1"/>
    <col min="5907" max="5907" width="4" style="402" hidden="1" customWidth="1"/>
    <col min="5908" max="5911" width="2.54296875" style="402" hidden="1" customWidth="1"/>
    <col min="5912" max="5912" width="2.453125" style="402" hidden="1" customWidth="1"/>
    <col min="5913" max="5916" width="2.54296875" style="402" hidden="1" customWidth="1"/>
    <col min="5917" max="5917" width="2.453125" style="402" hidden="1" customWidth="1"/>
    <col min="5918" max="5921" width="2.54296875" style="402" hidden="1" customWidth="1"/>
    <col min="5922" max="5927" width="2.453125" style="402" hidden="1" customWidth="1"/>
    <col min="5928" max="5928" width="1.54296875" style="402" hidden="1" customWidth="1"/>
    <col min="5929" max="6144" width="2.54296875" style="402" hidden="1"/>
    <col min="6145" max="6145" width="1.54296875" style="402" hidden="1" customWidth="1"/>
    <col min="6146" max="6146" width="0.81640625" style="402" hidden="1" customWidth="1"/>
    <col min="6147" max="6162" width="2.54296875" style="402" hidden="1" customWidth="1"/>
    <col min="6163" max="6163" width="4" style="402" hidden="1" customWidth="1"/>
    <col min="6164" max="6167" width="2.54296875" style="402" hidden="1" customWidth="1"/>
    <col min="6168" max="6168" width="2.453125" style="402" hidden="1" customWidth="1"/>
    <col min="6169" max="6172" width="2.54296875" style="402" hidden="1" customWidth="1"/>
    <col min="6173" max="6173" width="2.453125" style="402" hidden="1" customWidth="1"/>
    <col min="6174" max="6177" width="2.54296875" style="402" hidden="1" customWidth="1"/>
    <col min="6178" max="6183" width="2.453125" style="402" hidden="1" customWidth="1"/>
    <col min="6184" max="6184" width="1.54296875" style="402" hidden="1" customWidth="1"/>
    <col min="6185" max="6400" width="2.54296875" style="402" hidden="1"/>
    <col min="6401" max="6401" width="1.54296875" style="402" hidden="1" customWidth="1"/>
    <col min="6402" max="6402" width="0.81640625" style="402" hidden="1" customWidth="1"/>
    <col min="6403" max="6418" width="2.54296875" style="402" hidden="1" customWidth="1"/>
    <col min="6419" max="6419" width="4" style="402" hidden="1" customWidth="1"/>
    <col min="6420" max="6423" width="2.54296875" style="402" hidden="1" customWidth="1"/>
    <col min="6424" max="6424" width="2.453125" style="402" hidden="1" customWidth="1"/>
    <col min="6425" max="6428" width="2.54296875" style="402" hidden="1" customWidth="1"/>
    <col min="6429" max="6429" width="2.453125" style="402" hidden="1" customWidth="1"/>
    <col min="6430" max="6433" width="2.54296875" style="402" hidden="1" customWidth="1"/>
    <col min="6434" max="6439" width="2.453125" style="402" hidden="1" customWidth="1"/>
    <col min="6440" max="6440" width="1.54296875" style="402" hidden="1" customWidth="1"/>
    <col min="6441" max="6656" width="2.54296875" style="402" hidden="1"/>
    <col min="6657" max="6657" width="1.54296875" style="402" hidden="1" customWidth="1"/>
    <col min="6658" max="6658" width="0.81640625" style="402" hidden="1" customWidth="1"/>
    <col min="6659" max="6674" width="2.54296875" style="402" hidden="1" customWidth="1"/>
    <col min="6675" max="6675" width="4" style="402" hidden="1" customWidth="1"/>
    <col min="6676" max="6679" width="2.54296875" style="402" hidden="1" customWidth="1"/>
    <col min="6680" max="6680" width="2.453125" style="402" hidden="1" customWidth="1"/>
    <col min="6681" max="6684" width="2.54296875" style="402" hidden="1" customWidth="1"/>
    <col min="6685" max="6685" width="2.453125" style="402" hidden="1" customWidth="1"/>
    <col min="6686" max="6689" width="2.54296875" style="402" hidden="1" customWidth="1"/>
    <col min="6690" max="6695" width="2.453125" style="402" hidden="1" customWidth="1"/>
    <col min="6696" max="6696" width="1.54296875" style="402" hidden="1" customWidth="1"/>
    <col min="6697" max="6912" width="2.54296875" style="402" hidden="1"/>
    <col min="6913" max="6913" width="1.54296875" style="402" hidden="1" customWidth="1"/>
    <col min="6914" max="6914" width="0.81640625" style="402" hidden="1" customWidth="1"/>
    <col min="6915" max="6930" width="2.54296875" style="402" hidden="1" customWidth="1"/>
    <col min="6931" max="6931" width="4" style="402" hidden="1" customWidth="1"/>
    <col min="6932" max="6935" width="2.54296875" style="402" hidden="1" customWidth="1"/>
    <col min="6936" max="6936" width="2.453125" style="402" hidden="1" customWidth="1"/>
    <col min="6937" max="6940" width="2.54296875" style="402" hidden="1" customWidth="1"/>
    <col min="6941" max="6941" width="2.453125" style="402" hidden="1" customWidth="1"/>
    <col min="6942" max="6945" width="2.54296875" style="402" hidden="1" customWidth="1"/>
    <col min="6946" max="6951" width="2.453125" style="402" hidden="1" customWidth="1"/>
    <col min="6952" max="6952" width="1.54296875" style="402" hidden="1" customWidth="1"/>
    <col min="6953" max="7168" width="2.54296875" style="402" hidden="1"/>
    <col min="7169" max="7169" width="1.54296875" style="402" hidden="1" customWidth="1"/>
    <col min="7170" max="7170" width="0.81640625" style="402" hidden="1" customWidth="1"/>
    <col min="7171" max="7186" width="2.54296875" style="402" hidden="1" customWidth="1"/>
    <col min="7187" max="7187" width="4" style="402" hidden="1" customWidth="1"/>
    <col min="7188" max="7191" width="2.54296875" style="402" hidden="1" customWidth="1"/>
    <col min="7192" max="7192" width="2.453125" style="402" hidden="1" customWidth="1"/>
    <col min="7193" max="7196" width="2.54296875" style="402" hidden="1" customWidth="1"/>
    <col min="7197" max="7197" width="2.453125" style="402" hidden="1" customWidth="1"/>
    <col min="7198" max="7201" width="2.54296875" style="402" hidden="1" customWidth="1"/>
    <col min="7202" max="7207" width="2.453125" style="402" hidden="1" customWidth="1"/>
    <col min="7208" max="7208" width="1.54296875" style="402" hidden="1" customWidth="1"/>
    <col min="7209" max="7424" width="2.54296875" style="402" hidden="1"/>
    <col min="7425" max="7425" width="1.54296875" style="402" hidden="1" customWidth="1"/>
    <col min="7426" max="7426" width="0.81640625" style="402" hidden="1" customWidth="1"/>
    <col min="7427" max="7442" width="2.54296875" style="402" hidden="1" customWidth="1"/>
    <col min="7443" max="7443" width="4" style="402" hidden="1" customWidth="1"/>
    <col min="7444" max="7447" width="2.54296875" style="402" hidden="1" customWidth="1"/>
    <col min="7448" max="7448" width="2.453125" style="402" hidden="1" customWidth="1"/>
    <col min="7449" max="7452" width="2.54296875" style="402" hidden="1" customWidth="1"/>
    <col min="7453" max="7453" width="2.453125" style="402" hidden="1" customWidth="1"/>
    <col min="7454" max="7457" width="2.54296875" style="402" hidden="1" customWidth="1"/>
    <col min="7458" max="7463" width="2.453125" style="402" hidden="1" customWidth="1"/>
    <col min="7464" max="7464" width="1.54296875" style="402" hidden="1" customWidth="1"/>
    <col min="7465" max="7680" width="2.54296875" style="402" hidden="1"/>
    <col min="7681" max="7681" width="1.54296875" style="402" hidden="1" customWidth="1"/>
    <col min="7682" max="7682" width="0.81640625" style="402" hidden="1" customWidth="1"/>
    <col min="7683" max="7698" width="2.54296875" style="402" hidden="1" customWidth="1"/>
    <col min="7699" max="7699" width="4" style="402" hidden="1" customWidth="1"/>
    <col min="7700" max="7703" width="2.54296875" style="402" hidden="1" customWidth="1"/>
    <col min="7704" max="7704" width="2.453125" style="402" hidden="1" customWidth="1"/>
    <col min="7705" max="7708" width="2.54296875" style="402" hidden="1" customWidth="1"/>
    <col min="7709" max="7709" width="2.453125" style="402" hidden="1" customWidth="1"/>
    <col min="7710" max="7713" width="2.54296875" style="402" hidden="1" customWidth="1"/>
    <col min="7714" max="7719" width="2.453125" style="402" hidden="1" customWidth="1"/>
    <col min="7720" max="7720" width="1.54296875" style="402" hidden="1" customWidth="1"/>
    <col min="7721" max="7936" width="2.54296875" style="402" hidden="1"/>
    <col min="7937" max="7937" width="1.54296875" style="402" hidden="1" customWidth="1"/>
    <col min="7938" max="7938" width="0.81640625" style="402" hidden="1" customWidth="1"/>
    <col min="7939" max="7954" width="2.54296875" style="402" hidden="1" customWidth="1"/>
    <col min="7955" max="7955" width="4" style="402" hidden="1" customWidth="1"/>
    <col min="7956" max="7959" width="2.54296875" style="402" hidden="1" customWidth="1"/>
    <col min="7960" max="7960" width="2.453125" style="402" hidden="1" customWidth="1"/>
    <col min="7961" max="7964" width="2.54296875" style="402" hidden="1" customWidth="1"/>
    <col min="7965" max="7965" width="2.453125" style="402" hidden="1" customWidth="1"/>
    <col min="7966" max="7969" width="2.54296875" style="402" hidden="1" customWidth="1"/>
    <col min="7970" max="7975" width="2.453125" style="402" hidden="1" customWidth="1"/>
    <col min="7976" max="7976" width="1.54296875" style="402" hidden="1" customWidth="1"/>
    <col min="7977" max="8192" width="2.54296875" style="402" hidden="1"/>
    <col min="8193" max="8193" width="1.54296875" style="402" hidden="1" customWidth="1"/>
    <col min="8194" max="8194" width="0.81640625" style="402" hidden="1" customWidth="1"/>
    <col min="8195" max="8210" width="2.54296875" style="402" hidden="1" customWidth="1"/>
    <col min="8211" max="8211" width="4" style="402" hidden="1" customWidth="1"/>
    <col min="8212" max="8215" width="2.54296875" style="402" hidden="1" customWidth="1"/>
    <col min="8216" max="8216" width="2.453125" style="402" hidden="1" customWidth="1"/>
    <col min="8217" max="8220" width="2.54296875" style="402" hidden="1" customWidth="1"/>
    <col min="8221" max="8221" width="2.453125" style="402" hidden="1" customWidth="1"/>
    <col min="8222" max="8225" width="2.54296875" style="402" hidden="1" customWidth="1"/>
    <col min="8226" max="8231" width="2.453125" style="402" hidden="1" customWidth="1"/>
    <col min="8232" max="8232" width="1.54296875" style="402" hidden="1" customWidth="1"/>
    <col min="8233" max="8448" width="2.54296875" style="402" hidden="1"/>
    <col min="8449" max="8449" width="1.54296875" style="402" hidden="1" customWidth="1"/>
    <col min="8450" max="8450" width="0.81640625" style="402" hidden="1" customWidth="1"/>
    <col min="8451" max="8466" width="2.54296875" style="402" hidden="1" customWidth="1"/>
    <col min="8467" max="8467" width="4" style="402" hidden="1" customWidth="1"/>
    <col min="8468" max="8471" width="2.54296875" style="402" hidden="1" customWidth="1"/>
    <col min="8472" max="8472" width="2.453125" style="402" hidden="1" customWidth="1"/>
    <col min="8473" max="8476" width="2.54296875" style="402" hidden="1" customWidth="1"/>
    <col min="8477" max="8477" width="2.453125" style="402" hidden="1" customWidth="1"/>
    <col min="8478" max="8481" width="2.54296875" style="402" hidden="1" customWidth="1"/>
    <col min="8482" max="8487" width="2.453125" style="402" hidden="1" customWidth="1"/>
    <col min="8488" max="8488" width="1.54296875" style="402" hidden="1" customWidth="1"/>
    <col min="8489" max="8704" width="2.54296875" style="402" hidden="1"/>
    <col min="8705" max="8705" width="1.54296875" style="402" hidden="1" customWidth="1"/>
    <col min="8706" max="8706" width="0.81640625" style="402" hidden="1" customWidth="1"/>
    <col min="8707" max="8722" width="2.54296875" style="402" hidden="1" customWidth="1"/>
    <col min="8723" max="8723" width="4" style="402" hidden="1" customWidth="1"/>
    <col min="8724" max="8727" width="2.54296875" style="402" hidden="1" customWidth="1"/>
    <col min="8728" max="8728" width="2.453125" style="402" hidden="1" customWidth="1"/>
    <col min="8729" max="8732" width="2.54296875" style="402" hidden="1" customWidth="1"/>
    <col min="8733" max="8733" width="2.453125" style="402" hidden="1" customWidth="1"/>
    <col min="8734" max="8737" width="2.54296875" style="402" hidden="1" customWidth="1"/>
    <col min="8738" max="8743" width="2.453125" style="402" hidden="1" customWidth="1"/>
    <col min="8744" max="8744" width="1.54296875" style="402" hidden="1" customWidth="1"/>
    <col min="8745" max="8960" width="2.54296875" style="402" hidden="1"/>
    <col min="8961" max="8961" width="1.54296875" style="402" hidden="1" customWidth="1"/>
    <col min="8962" max="8962" width="0.81640625" style="402" hidden="1" customWidth="1"/>
    <col min="8963" max="8978" width="2.54296875" style="402" hidden="1" customWidth="1"/>
    <col min="8979" max="8979" width="4" style="402" hidden="1" customWidth="1"/>
    <col min="8980" max="8983" width="2.54296875" style="402" hidden="1" customWidth="1"/>
    <col min="8984" max="8984" width="2.453125" style="402" hidden="1" customWidth="1"/>
    <col min="8985" max="8988" width="2.54296875" style="402" hidden="1" customWidth="1"/>
    <col min="8989" max="8989" width="2.453125" style="402" hidden="1" customWidth="1"/>
    <col min="8990" max="8993" width="2.54296875" style="402" hidden="1" customWidth="1"/>
    <col min="8994" max="8999" width="2.453125" style="402" hidden="1" customWidth="1"/>
    <col min="9000" max="9000" width="1.54296875" style="402" hidden="1" customWidth="1"/>
    <col min="9001" max="9216" width="2.54296875" style="402" hidden="1"/>
    <col min="9217" max="9217" width="1.54296875" style="402" hidden="1" customWidth="1"/>
    <col min="9218" max="9218" width="0.81640625" style="402" hidden="1" customWidth="1"/>
    <col min="9219" max="9234" width="2.54296875" style="402" hidden="1" customWidth="1"/>
    <col min="9235" max="9235" width="4" style="402" hidden="1" customWidth="1"/>
    <col min="9236" max="9239" width="2.54296875" style="402" hidden="1" customWidth="1"/>
    <col min="9240" max="9240" width="2.453125" style="402" hidden="1" customWidth="1"/>
    <col min="9241" max="9244" width="2.54296875" style="402" hidden="1" customWidth="1"/>
    <col min="9245" max="9245" width="2.453125" style="402" hidden="1" customWidth="1"/>
    <col min="9246" max="9249" width="2.54296875" style="402" hidden="1" customWidth="1"/>
    <col min="9250" max="9255" width="2.453125" style="402" hidden="1" customWidth="1"/>
    <col min="9256" max="9256" width="1.54296875" style="402" hidden="1" customWidth="1"/>
    <col min="9257" max="9472" width="2.54296875" style="402" hidden="1"/>
    <col min="9473" max="9473" width="1.54296875" style="402" hidden="1" customWidth="1"/>
    <col min="9474" max="9474" width="0.81640625" style="402" hidden="1" customWidth="1"/>
    <col min="9475" max="9490" width="2.54296875" style="402" hidden="1" customWidth="1"/>
    <col min="9491" max="9491" width="4" style="402" hidden="1" customWidth="1"/>
    <col min="9492" max="9495" width="2.54296875" style="402" hidden="1" customWidth="1"/>
    <col min="9496" max="9496" width="2.453125" style="402" hidden="1" customWidth="1"/>
    <col min="9497" max="9500" width="2.54296875" style="402" hidden="1" customWidth="1"/>
    <col min="9501" max="9501" width="2.453125" style="402" hidden="1" customWidth="1"/>
    <col min="9502" max="9505" width="2.54296875" style="402" hidden="1" customWidth="1"/>
    <col min="9506" max="9511" width="2.453125" style="402" hidden="1" customWidth="1"/>
    <col min="9512" max="9512" width="1.54296875" style="402" hidden="1" customWidth="1"/>
    <col min="9513" max="9728" width="2.54296875" style="402" hidden="1"/>
    <col min="9729" max="9729" width="1.54296875" style="402" hidden="1" customWidth="1"/>
    <col min="9730" max="9730" width="0.81640625" style="402" hidden="1" customWidth="1"/>
    <col min="9731" max="9746" width="2.54296875" style="402" hidden="1" customWidth="1"/>
    <col min="9747" max="9747" width="4" style="402" hidden="1" customWidth="1"/>
    <col min="9748" max="9751" width="2.54296875" style="402" hidden="1" customWidth="1"/>
    <col min="9752" max="9752" width="2.453125" style="402" hidden="1" customWidth="1"/>
    <col min="9753" max="9756" width="2.54296875" style="402" hidden="1" customWidth="1"/>
    <col min="9757" max="9757" width="2.453125" style="402" hidden="1" customWidth="1"/>
    <col min="9758" max="9761" width="2.54296875" style="402" hidden="1" customWidth="1"/>
    <col min="9762" max="9767" width="2.453125" style="402" hidden="1" customWidth="1"/>
    <col min="9768" max="9768" width="1.54296875" style="402" hidden="1" customWidth="1"/>
    <col min="9769" max="9984" width="2.54296875" style="402" hidden="1"/>
    <col min="9985" max="9985" width="1.54296875" style="402" hidden="1" customWidth="1"/>
    <col min="9986" max="9986" width="0.81640625" style="402" hidden="1" customWidth="1"/>
    <col min="9987" max="10002" width="2.54296875" style="402" hidden="1" customWidth="1"/>
    <col min="10003" max="10003" width="4" style="402" hidden="1" customWidth="1"/>
    <col min="10004" max="10007" width="2.54296875" style="402" hidden="1" customWidth="1"/>
    <col min="10008" max="10008" width="2.453125" style="402" hidden="1" customWidth="1"/>
    <col min="10009" max="10012" width="2.54296875" style="402" hidden="1" customWidth="1"/>
    <col min="10013" max="10013" width="2.453125" style="402" hidden="1" customWidth="1"/>
    <col min="10014" max="10017" width="2.54296875" style="402" hidden="1" customWidth="1"/>
    <col min="10018" max="10023" width="2.453125" style="402" hidden="1" customWidth="1"/>
    <col min="10024" max="10024" width="1.54296875" style="402" hidden="1" customWidth="1"/>
    <col min="10025" max="10240" width="2.54296875" style="402" hidden="1"/>
    <col min="10241" max="10241" width="1.54296875" style="402" hidden="1" customWidth="1"/>
    <col min="10242" max="10242" width="0.81640625" style="402" hidden="1" customWidth="1"/>
    <col min="10243" max="10258" width="2.54296875" style="402" hidden="1" customWidth="1"/>
    <col min="10259" max="10259" width="4" style="402" hidden="1" customWidth="1"/>
    <col min="10260" max="10263" width="2.54296875" style="402" hidden="1" customWidth="1"/>
    <col min="10264" max="10264" width="2.453125" style="402" hidden="1" customWidth="1"/>
    <col min="10265" max="10268" width="2.54296875" style="402" hidden="1" customWidth="1"/>
    <col min="10269" max="10269" width="2.453125" style="402" hidden="1" customWidth="1"/>
    <col min="10270" max="10273" width="2.54296875" style="402" hidden="1" customWidth="1"/>
    <col min="10274" max="10279" width="2.453125" style="402" hidden="1" customWidth="1"/>
    <col min="10280" max="10280" width="1.54296875" style="402" hidden="1" customWidth="1"/>
    <col min="10281" max="10496" width="2.54296875" style="402" hidden="1"/>
    <col min="10497" max="10497" width="1.54296875" style="402" hidden="1" customWidth="1"/>
    <col min="10498" max="10498" width="0.81640625" style="402" hidden="1" customWidth="1"/>
    <col min="10499" max="10514" width="2.54296875" style="402" hidden="1" customWidth="1"/>
    <col min="10515" max="10515" width="4" style="402" hidden="1" customWidth="1"/>
    <col min="10516" max="10519" width="2.54296875" style="402" hidden="1" customWidth="1"/>
    <col min="10520" max="10520" width="2.453125" style="402" hidden="1" customWidth="1"/>
    <col min="10521" max="10524" width="2.54296875" style="402" hidden="1" customWidth="1"/>
    <col min="10525" max="10525" width="2.453125" style="402" hidden="1" customWidth="1"/>
    <col min="10526" max="10529" width="2.54296875" style="402" hidden="1" customWidth="1"/>
    <col min="10530" max="10535" width="2.453125" style="402" hidden="1" customWidth="1"/>
    <col min="10536" max="10536" width="1.54296875" style="402" hidden="1" customWidth="1"/>
    <col min="10537" max="10752" width="2.54296875" style="402" hidden="1"/>
    <col min="10753" max="10753" width="1.54296875" style="402" hidden="1" customWidth="1"/>
    <col min="10754" max="10754" width="0.81640625" style="402" hidden="1" customWidth="1"/>
    <col min="10755" max="10770" width="2.54296875" style="402" hidden="1" customWidth="1"/>
    <col min="10771" max="10771" width="4" style="402" hidden="1" customWidth="1"/>
    <col min="10772" max="10775" width="2.54296875" style="402" hidden="1" customWidth="1"/>
    <col min="10776" max="10776" width="2.453125" style="402" hidden="1" customWidth="1"/>
    <col min="10777" max="10780" width="2.54296875" style="402" hidden="1" customWidth="1"/>
    <col min="10781" max="10781" width="2.453125" style="402" hidden="1" customWidth="1"/>
    <col min="10782" max="10785" width="2.54296875" style="402" hidden="1" customWidth="1"/>
    <col min="10786" max="10791" width="2.453125" style="402" hidden="1" customWidth="1"/>
    <col min="10792" max="10792" width="1.54296875" style="402" hidden="1" customWidth="1"/>
    <col min="10793" max="11008" width="2.54296875" style="402" hidden="1"/>
    <col min="11009" max="11009" width="1.54296875" style="402" hidden="1" customWidth="1"/>
    <col min="11010" max="11010" width="0.81640625" style="402" hidden="1" customWidth="1"/>
    <col min="11011" max="11026" width="2.54296875" style="402" hidden="1" customWidth="1"/>
    <col min="11027" max="11027" width="4" style="402" hidden="1" customWidth="1"/>
    <col min="11028" max="11031" width="2.54296875" style="402" hidden="1" customWidth="1"/>
    <col min="11032" max="11032" width="2.453125" style="402" hidden="1" customWidth="1"/>
    <col min="11033" max="11036" width="2.54296875" style="402" hidden="1" customWidth="1"/>
    <col min="11037" max="11037" width="2.453125" style="402" hidden="1" customWidth="1"/>
    <col min="11038" max="11041" width="2.54296875" style="402" hidden="1" customWidth="1"/>
    <col min="11042" max="11047" width="2.453125" style="402" hidden="1" customWidth="1"/>
    <col min="11048" max="11048" width="1.54296875" style="402" hidden="1" customWidth="1"/>
    <col min="11049" max="11264" width="2.54296875" style="402" hidden="1"/>
    <col min="11265" max="11265" width="1.54296875" style="402" hidden="1" customWidth="1"/>
    <col min="11266" max="11266" width="0.81640625" style="402" hidden="1" customWidth="1"/>
    <col min="11267" max="11282" width="2.54296875" style="402" hidden="1" customWidth="1"/>
    <col min="11283" max="11283" width="4" style="402" hidden="1" customWidth="1"/>
    <col min="11284" max="11287" width="2.54296875" style="402" hidden="1" customWidth="1"/>
    <col min="11288" max="11288" width="2.453125" style="402" hidden="1" customWidth="1"/>
    <col min="11289" max="11292" width="2.54296875" style="402" hidden="1" customWidth="1"/>
    <col min="11293" max="11293" width="2.453125" style="402" hidden="1" customWidth="1"/>
    <col min="11294" max="11297" width="2.54296875" style="402" hidden="1" customWidth="1"/>
    <col min="11298" max="11303" width="2.453125" style="402" hidden="1" customWidth="1"/>
    <col min="11304" max="11304" width="1.54296875" style="402" hidden="1" customWidth="1"/>
    <col min="11305" max="11520" width="2.54296875" style="402" hidden="1"/>
    <col min="11521" max="11521" width="1.54296875" style="402" hidden="1" customWidth="1"/>
    <col min="11522" max="11522" width="0.81640625" style="402" hidden="1" customWidth="1"/>
    <col min="11523" max="11538" width="2.54296875" style="402" hidden="1" customWidth="1"/>
    <col min="11539" max="11539" width="4" style="402" hidden="1" customWidth="1"/>
    <col min="11540" max="11543" width="2.54296875" style="402" hidden="1" customWidth="1"/>
    <col min="11544" max="11544" width="2.453125" style="402" hidden="1" customWidth="1"/>
    <col min="11545" max="11548" width="2.54296875" style="402" hidden="1" customWidth="1"/>
    <col min="11549" max="11549" width="2.453125" style="402" hidden="1" customWidth="1"/>
    <col min="11550" max="11553" width="2.54296875" style="402" hidden="1" customWidth="1"/>
    <col min="11554" max="11559" width="2.453125" style="402" hidden="1" customWidth="1"/>
    <col min="11560" max="11560" width="1.54296875" style="402" hidden="1" customWidth="1"/>
    <col min="11561" max="11776" width="2.54296875" style="402" hidden="1"/>
    <col min="11777" max="11777" width="1.54296875" style="402" hidden="1" customWidth="1"/>
    <col min="11778" max="11778" width="0.81640625" style="402" hidden="1" customWidth="1"/>
    <col min="11779" max="11794" width="2.54296875" style="402" hidden="1" customWidth="1"/>
    <col min="11795" max="11795" width="4" style="402" hidden="1" customWidth="1"/>
    <col min="11796" max="11799" width="2.54296875" style="402" hidden="1" customWidth="1"/>
    <col min="11800" max="11800" width="2.453125" style="402" hidden="1" customWidth="1"/>
    <col min="11801" max="11804" width="2.54296875" style="402" hidden="1" customWidth="1"/>
    <col min="11805" max="11805" width="2.453125" style="402" hidden="1" customWidth="1"/>
    <col min="11806" max="11809" width="2.54296875" style="402" hidden="1" customWidth="1"/>
    <col min="11810" max="11815" width="2.453125" style="402" hidden="1" customWidth="1"/>
    <col min="11816" max="11816" width="1.54296875" style="402" hidden="1" customWidth="1"/>
    <col min="11817" max="12032" width="2.54296875" style="402" hidden="1"/>
    <col min="12033" max="12033" width="1.54296875" style="402" hidden="1" customWidth="1"/>
    <col min="12034" max="12034" width="0.81640625" style="402" hidden="1" customWidth="1"/>
    <col min="12035" max="12050" width="2.54296875" style="402" hidden="1" customWidth="1"/>
    <col min="12051" max="12051" width="4" style="402" hidden="1" customWidth="1"/>
    <col min="12052" max="12055" width="2.54296875" style="402" hidden="1" customWidth="1"/>
    <col min="12056" max="12056" width="2.453125" style="402" hidden="1" customWidth="1"/>
    <col min="12057" max="12060" width="2.54296875" style="402" hidden="1" customWidth="1"/>
    <col min="12061" max="12061" width="2.453125" style="402" hidden="1" customWidth="1"/>
    <col min="12062" max="12065" width="2.54296875" style="402" hidden="1" customWidth="1"/>
    <col min="12066" max="12071" width="2.453125" style="402" hidden="1" customWidth="1"/>
    <col min="12072" max="12072" width="1.54296875" style="402" hidden="1" customWidth="1"/>
    <col min="12073" max="12288" width="2.54296875" style="402" hidden="1"/>
    <col min="12289" max="12289" width="1.54296875" style="402" hidden="1" customWidth="1"/>
    <col min="12290" max="12290" width="0.81640625" style="402" hidden="1" customWidth="1"/>
    <col min="12291" max="12306" width="2.54296875" style="402" hidden="1" customWidth="1"/>
    <col min="12307" max="12307" width="4" style="402" hidden="1" customWidth="1"/>
    <col min="12308" max="12311" width="2.54296875" style="402" hidden="1" customWidth="1"/>
    <col min="12312" max="12312" width="2.453125" style="402" hidden="1" customWidth="1"/>
    <col min="12313" max="12316" width="2.54296875" style="402" hidden="1" customWidth="1"/>
    <col min="12317" max="12317" width="2.453125" style="402" hidden="1" customWidth="1"/>
    <col min="12318" max="12321" width="2.54296875" style="402" hidden="1" customWidth="1"/>
    <col min="12322" max="12327" width="2.453125" style="402" hidden="1" customWidth="1"/>
    <col min="12328" max="12328" width="1.54296875" style="402" hidden="1" customWidth="1"/>
    <col min="12329" max="12544" width="2.54296875" style="402" hidden="1"/>
    <col min="12545" max="12545" width="1.54296875" style="402" hidden="1" customWidth="1"/>
    <col min="12546" max="12546" width="0.81640625" style="402" hidden="1" customWidth="1"/>
    <col min="12547" max="12562" width="2.54296875" style="402" hidden="1" customWidth="1"/>
    <col min="12563" max="12563" width="4" style="402" hidden="1" customWidth="1"/>
    <col min="12564" max="12567" width="2.54296875" style="402" hidden="1" customWidth="1"/>
    <col min="12568" max="12568" width="2.453125" style="402" hidden="1" customWidth="1"/>
    <col min="12569" max="12572" width="2.54296875" style="402" hidden="1" customWidth="1"/>
    <col min="12573" max="12573" width="2.453125" style="402" hidden="1" customWidth="1"/>
    <col min="12574" max="12577" width="2.54296875" style="402" hidden="1" customWidth="1"/>
    <col min="12578" max="12583" width="2.453125" style="402" hidden="1" customWidth="1"/>
    <col min="12584" max="12584" width="1.54296875" style="402" hidden="1" customWidth="1"/>
    <col min="12585" max="12800" width="2.54296875" style="402" hidden="1"/>
    <col min="12801" max="12801" width="1.54296875" style="402" hidden="1" customWidth="1"/>
    <col min="12802" max="12802" width="0.81640625" style="402" hidden="1" customWidth="1"/>
    <col min="12803" max="12818" width="2.54296875" style="402" hidden="1" customWidth="1"/>
    <col min="12819" max="12819" width="4" style="402" hidden="1" customWidth="1"/>
    <col min="12820" max="12823" width="2.54296875" style="402" hidden="1" customWidth="1"/>
    <col min="12824" max="12824" width="2.453125" style="402" hidden="1" customWidth="1"/>
    <col min="12825" max="12828" width="2.54296875" style="402" hidden="1" customWidth="1"/>
    <col min="12829" max="12829" width="2.453125" style="402" hidden="1" customWidth="1"/>
    <col min="12830" max="12833" width="2.54296875" style="402" hidden="1" customWidth="1"/>
    <col min="12834" max="12839" width="2.453125" style="402" hidden="1" customWidth="1"/>
    <col min="12840" max="12840" width="1.54296875" style="402" hidden="1" customWidth="1"/>
    <col min="12841" max="13056" width="2.54296875" style="402" hidden="1"/>
    <col min="13057" max="13057" width="1.54296875" style="402" hidden="1" customWidth="1"/>
    <col min="13058" max="13058" width="0.81640625" style="402" hidden="1" customWidth="1"/>
    <col min="13059" max="13074" width="2.54296875" style="402" hidden="1" customWidth="1"/>
    <col min="13075" max="13075" width="4" style="402" hidden="1" customWidth="1"/>
    <col min="13076" max="13079" width="2.54296875" style="402" hidden="1" customWidth="1"/>
    <col min="13080" max="13080" width="2.453125" style="402" hidden="1" customWidth="1"/>
    <col min="13081" max="13084" width="2.54296875" style="402" hidden="1" customWidth="1"/>
    <col min="13085" max="13085" width="2.453125" style="402" hidden="1" customWidth="1"/>
    <col min="13086" max="13089" width="2.54296875" style="402" hidden="1" customWidth="1"/>
    <col min="13090" max="13095" width="2.453125" style="402" hidden="1" customWidth="1"/>
    <col min="13096" max="13096" width="1.54296875" style="402" hidden="1" customWidth="1"/>
    <col min="13097" max="13312" width="2.54296875" style="402" hidden="1"/>
    <col min="13313" max="13313" width="1.54296875" style="402" hidden="1" customWidth="1"/>
    <col min="13314" max="13314" width="0.81640625" style="402" hidden="1" customWidth="1"/>
    <col min="13315" max="13330" width="2.54296875" style="402" hidden="1" customWidth="1"/>
    <col min="13331" max="13331" width="4" style="402" hidden="1" customWidth="1"/>
    <col min="13332" max="13335" width="2.54296875" style="402" hidden="1" customWidth="1"/>
    <col min="13336" max="13336" width="2.453125" style="402" hidden="1" customWidth="1"/>
    <col min="13337" max="13340" width="2.54296875" style="402" hidden="1" customWidth="1"/>
    <col min="13341" max="13341" width="2.453125" style="402" hidden="1" customWidth="1"/>
    <col min="13342" max="13345" width="2.54296875" style="402" hidden="1" customWidth="1"/>
    <col min="13346" max="13351" width="2.453125" style="402" hidden="1" customWidth="1"/>
    <col min="13352" max="13352" width="1.54296875" style="402" hidden="1" customWidth="1"/>
    <col min="13353" max="13568" width="2.54296875" style="402" hidden="1"/>
    <col min="13569" max="13569" width="1.54296875" style="402" hidden="1" customWidth="1"/>
    <col min="13570" max="13570" width="0.81640625" style="402" hidden="1" customWidth="1"/>
    <col min="13571" max="13586" width="2.54296875" style="402" hidden="1" customWidth="1"/>
    <col min="13587" max="13587" width="4" style="402" hidden="1" customWidth="1"/>
    <col min="13588" max="13591" width="2.54296875" style="402" hidden="1" customWidth="1"/>
    <col min="13592" max="13592" width="2.453125" style="402" hidden="1" customWidth="1"/>
    <col min="13593" max="13596" width="2.54296875" style="402" hidden="1" customWidth="1"/>
    <col min="13597" max="13597" width="2.453125" style="402" hidden="1" customWidth="1"/>
    <col min="13598" max="13601" width="2.54296875" style="402" hidden="1" customWidth="1"/>
    <col min="13602" max="13607" width="2.453125" style="402" hidden="1" customWidth="1"/>
    <col min="13608" max="13608" width="1.54296875" style="402" hidden="1" customWidth="1"/>
    <col min="13609" max="13824" width="2.54296875" style="402" hidden="1"/>
    <col min="13825" max="13825" width="1.54296875" style="402" hidden="1" customWidth="1"/>
    <col min="13826" max="13826" width="0.81640625" style="402" hidden="1" customWidth="1"/>
    <col min="13827" max="13842" width="2.54296875" style="402" hidden="1" customWidth="1"/>
    <col min="13843" max="13843" width="4" style="402" hidden="1" customWidth="1"/>
    <col min="13844" max="13847" width="2.54296875" style="402" hidden="1" customWidth="1"/>
    <col min="13848" max="13848" width="2.453125" style="402" hidden="1" customWidth="1"/>
    <col min="13849" max="13852" width="2.54296875" style="402" hidden="1" customWidth="1"/>
    <col min="13853" max="13853" width="2.453125" style="402" hidden="1" customWidth="1"/>
    <col min="13854" max="13857" width="2.54296875" style="402" hidden="1" customWidth="1"/>
    <col min="13858" max="13863" width="2.453125" style="402" hidden="1" customWidth="1"/>
    <col min="13864" max="13864" width="1.54296875" style="402" hidden="1" customWidth="1"/>
    <col min="13865" max="14080" width="2.54296875" style="402" hidden="1"/>
    <col min="14081" max="14081" width="1.54296875" style="402" hidden="1" customWidth="1"/>
    <col min="14082" max="14082" width="0.81640625" style="402" hidden="1" customWidth="1"/>
    <col min="14083" max="14098" width="2.54296875" style="402" hidden="1" customWidth="1"/>
    <col min="14099" max="14099" width="4" style="402" hidden="1" customWidth="1"/>
    <col min="14100" max="14103" width="2.54296875" style="402" hidden="1" customWidth="1"/>
    <col min="14104" max="14104" width="2.453125" style="402" hidden="1" customWidth="1"/>
    <col min="14105" max="14108" width="2.54296875" style="402" hidden="1" customWidth="1"/>
    <col min="14109" max="14109" width="2.453125" style="402" hidden="1" customWidth="1"/>
    <col min="14110" max="14113" width="2.54296875" style="402" hidden="1" customWidth="1"/>
    <col min="14114" max="14119" width="2.453125" style="402" hidden="1" customWidth="1"/>
    <col min="14120" max="14120" width="1.54296875" style="402" hidden="1" customWidth="1"/>
    <col min="14121" max="14336" width="2.54296875" style="402" hidden="1"/>
    <col min="14337" max="14337" width="1.54296875" style="402" hidden="1" customWidth="1"/>
    <col min="14338" max="14338" width="0.81640625" style="402" hidden="1" customWidth="1"/>
    <col min="14339" max="14354" width="2.54296875" style="402" hidden="1" customWidth="1"/>
    <col min="14355" max="14355" width="4" style="402" hidden="1" customWidth="1"/>
    <col min="14356" max="14359" width="2.54296875" style="402" hidden="1" customWidth="1"/>
    <col min="14360" max="14360" width="2.453125" style="402" hidden="1" customWidth="1"/>
    <col min="14361" max="14364" width="2.54296875" style="402" hidden="1" customWidth="1"/>
    <col min="14365" max="14365" width="2.453125" style="402" hidden="1" customWidth="1"/>
    <col min="14366" max="14369" width="2.54296875" style="402" hidden="1" customWidth="1"/>
    <col min="14370" max="14375" width="2.453125" style="402" hidden="1" customWidth="1"/>
    <col min="14376" max="14376" width="1.54296875" style="402" hidden="1" customWidth="1"/>
    <col min="14377" max="14592" width="2.54296875" style="402" hidden="1"/>
    <col min="14593" max="14593" width="1.54296875" style="402" hidden="1" customWidth="1"/>
    <col min="14594" max="14594" width="0.81640625" style="402" hidden="1" customWidth="1"/>
    <col min="14595" max="14610" width="2.54296875" style="402" hidden="1" customWidth="1"/>
    <col min="14611" max="14611" width="4" style="402" hidden="1" customWidth="1"/>
    <col min="14612" max="14615" width="2.54296875" style="402" hidden="1" customWidth="1"/>
    <col min="14616" max="14616" width="2.453125" style="402" hidden="1" customWidth="1"/>
    <col min="14617" max="14620" width="2.54296875" style="402" hidden="1" customWidth="1"/>
    <col min="14621" max="14621" width="2.453125" style="402" hidden="1" customWidth="1"/>
    <col min="14622" max="14625" width="2.54296875" style="402" hidden="1" customWidth="1"/>
    <col min="14626" max="14631" width="2.453125" style="402" hidden="1" customWidth="1"/>
    <col min="14632" max="14632" width="1.54296875" style="402" hidden="1" customWidth="1"/>
    <col min="14633" max="14848" width="2.54296875" style="402" hidden="1"/>
    <col min="14849" max="14849" width="1.54296875" style="402" hidden="1" customWidth="1"/>
    <col min="14850" max="14850" width="0.81640625" style="402" hidden="1" customWidth="1"/>
    <col min="14851" max="14866" width="2.54296875" style="402" hidden="1" customWidth="1"/>
    <col min="14867" max="14867" width="4" style="402" hidden="1" customWidth="1"/>
    <col min="14868" max="14871" width="2.54296875" style="402" hidden="1" customWidth="1"/>
    <col min="14872" max="14872" width="2.453125" style="402" hidden="1" customWidth="1"/>
    <col min="14873" max="14876" width="2.54296875" style="402" hidden="1" customWidth="1"/>
    <col min="14877" max="14877" width="2.453125" style="402" hidden="1" customWidth="1"/>
    <col min="14878" max="14881" width="2.54296875" style="402" hidden="1" customWidth="1"/>
    <col min="14882" max="14887" width="2.453125" style="402" hidden="1" customWidth="1"/>
    <col min="14888" max="14888" width="1.54296875" style="402" hidden="1" customWidth="1"/>
    <col min="14889" max="15104" width="2.54296875" style="402" hidden="1"/>
    <col min="15105" max="15105" width="1.54296875" style="402" hidden="1" customWidth="1"/>
    <col min="15106" max="15106" width="0.81640625" style="402" hidden="1" customWidth="1"/>
    <col min="15107" max="15122" width="2.54296875" style="402" hidden="1" customWidth="1"/>
    <col min="15123" max="15123" width="4" style="402" hidden="1" customWidth="1"/>
    <col min="15124" max="15127" width="2.54296875" style="402" hidden="1" customWidth="1"/>
    <col min="15128" max="15128" width="2.453125" style="402" hidden="1" customWidth="1"/>
    <col min="15129" max="15132" width="2.54296875" style="402" hidden="1" customWidth="1"/>
    <col min="15133" max="15133" width="2.453125" style="402" hidden="1" customWidth="1"/>
    <col min="15134" max="15137" width="2.54296875" style="402" hidden="1" customWidth="1"/>
    <col min="15138" max="15143" width="2.453125" style="402" hidden="1" customWidth="1"/>
    <col min="15144" max="15144" width="1.54296875" style="402" hidden="1" customWidth="1"/>
    <col min="15145" max="15360" width="2.54296875" style="402" hidden="1"/>
    <col min="15361" max="15361" width="1.54296875" style="402" hidden="1" customWidth="1"/>
    <col min="15362" max="15362" width="0.81640625" style="402" hidden="1" customWidth="1"/>
    <col min="15363" max="15378" width="2.54296875" style="402" hidden="1" customWidth="1"/>
    <col min="15379" max="15379" width="4" style="402" hidden="1" customWidth="1"/>
    <col min="15380" max="15383" width="2.54296875" style="402" hidden="1" customWidth="1"/>
    <col min="15384" max="15384" width="2.453125" style="402" hidden="1" customWidth="1"/>
    <col min="15385" max="15388" width="2.54296875" style="402" hidden="1" customWidth="1"/>
    <col min="15389" max="15389" width="2.453125" style="402" hidden="1" customWidth="1"/>
    <col min="15390" max="15393" width="2.54296875" style="402" hidden="1" customWidth="1"/>
    <col min="15394" max="15399" width="2.453125" style="402" hidden="1" customWidth="1"/>
    <col min="15400" max="15400" width="1.54296875" style="402" hidden="1" customWidth="1"/>
    <col min="15401" max="15616" width="2.54296875" style="402" hidden="1"/>
    <col min="15617" max="15617" width="1.54296875" style="402" hidden="1" customWidth="1"/>
    <col min="15618" max="15618" width="0.81640625" style="402" hidden="1" customWidth="1"/>
    <col min="15619" max="15634" width="2.54296875" style="402" hidden="1" customWidth="1"/>
    <col min="15635" max="15635" width="4" style="402" hidden="1" customWidth="1"/>
    <col min="15636" max="15639" width="2.54296875" style="402" hidden="1" customWidth="1"/>
    <col min="15640" max="15640" width="2.453125" style="402" hidden="1" customWidth="1"/>
    <col min="15641" max="15644" width="2.54296875" style="402" hidden="1" customWidth="1"/>
    <col min="15645" max="15645" width="2.453125" style="402" hidden="1" customWidth="1"/>
    <col min="15646" max="15649" width="2.54296875" style="402" hidden="1" customWidth="1"/>
    <col min="15650" max="15655" width="2.453125" style="402" hidden="1" customWidth="1"/>
    <col min="15656" max="15656" width="1.54296875" style="402" hidden="1" customWidth="1"/>
    <col min="15657" max="15872" width="2.54296875" style="402" hidden="1"/>
    <col min="15873" max="15873" width="1.54296875" style="402" hidden="1" customWidth="1"/>
    <col min="15874" max="15874" width="0.81640625" style="402" hidden="1" customWidth="1"/>
    <col min="15875" max="15890" width="2.54296875" style="402" hidden="1" customWidth="1"/>
    <col min="15891" max="15891" width="4" style="402" hidden="1" customWidth="1"/>
    <col min="15892" max="15895" width="2.54296875" style="402" hidden="1" customWidth="1"/>
    <col min="15896" max="15896" width="2.453125" style="402" hidden="1" customWidth="1"/>
    <col min="15897" max="15900" width="2.54296875" style="402" hidden="1" customWidth="1"/>
    <col min="15901" max="15901" width="2.453125" style="402" hidden="1" customWidth="1"/>
    <col min="15902" max="15905" width="2.54296875" style="402" hidden="1" customWidth="1"/>
    <col min="15906" max="15911" width="2.453125" style="402" hidden="1" customWidth="1"/>
    <col min="15912" max="15912" width="1.54296875" style="402" hidden="1" customWidth="1"/>
    <col min="15913" max="16128" width="2.54296875" style="402" hidden="1"/>
    <col min="16129" max="16129" width="1.54296875" style="402" hidden="1" customWidth="1"/>
    <col min="16130" max="16130" width="0.81640625" style="402" hidden="1" customWidth="1"/>
    <col min="16131" max="16146" width="2.54296875" style="402" hidden="1" customWidth="1"/>
    <col min="16147" max="16147" width="4" style="402" hidden="1" customWidth="1"/>
    <col min="16148" max="16151" width="2.54296875" style="402" hidden="1" customWidth="1"/>
    <col min="16152" max="16152" width="2.453125" style="402" hidden="1" customWidth="1"/>
    <col min="16153" max="16156" width="2.54296875" style="402" hidden="1" customWidth="1"/>
    <col min="16157" max="16157" width="2.453125" style="402" hidden="1" customWidth="1"/>
    <col min="16158" max="16161" width="2.54296875" style="402" hidden="1" customWidth="1"/>
    <col min="16162" max="16167" width="2.453125" style="402" hidden="1" customWidth="1"/>
    <col min="16168" max="16168" width="1.54296875" style="402" hidden="1" customWidth="1"/>
    <col min="16169" max="16384" width="2.54296875" style="402" hidden="1"/>
  </cols>
  <sheetData>
    <row r="1" spans="1:40" ht="13" customHeight="1">
      <c r="A1" s="2353" t="s">
        <v>1278</v>
      </c>
      <c r="B1" s="2353"/>
      <c r="C1" s="2353"/>
      <c r="D1" s="2353"/>
      <c r="E1" s="2353"/>
      <c r="F1" s="2353"/>
      <c r="G1" s="2353"/>
      <c r="H1" s="2353"/>
      <c r="I1" s="2353"/>
      <c r="J1" s="2353"/>
      <c r="K1" s="2353"/>
      <c r="L1" s="2353"/>
      <c r="M1" s="2353"/>
      <c r="N1" s="2353"/>
      <c r="O1" s="2353"/>
      <c r="P1" s="2353"/>
      <c r="Q1" s="2353"/>
      <c r="R1" s="2353"/>
      <c r="S1" s="2353"/>
      <c r="T1" s="2353"/>
      <c r="U1" s="2353"/>
      <c r="V1" s="2353"/>
      <c r="W1" s="2353"/>
      <c r="X1" s="2353"/>
      <c r="Y1" s="2353"/>
      <c r="Z1" s="2353"/>
      <c r="AA1" s="2353"/>
      <c r="AB1" s="2353"/>
      <c r="AC1" s="2353"/>
      <c r="AD1" s="2353"/>
      <c r="AE1" s="2353"/>
      <c r="AF1" s="2353"/>
      <c r="AG1" s="2353"/>
      <c r="AH1" s="2353"/>
      <c r="AI1" s="2353"/>
      <c r="AJ1" s="2353"/>
      <c r="AK1" s="2353"/>
      <c r="AL1" s="2353"/>
      <c r="AM1" s="2353"/>
      <c r="AN1" s="2353"/>
    </row>
    <row r="2" spans="1:40" ht="13" customHeight="1" thickBot="1">
      <c r="A2" s="2354"/>
      <c r="B2" s="2354"/>
      <c r="C2" s="2354"/>
      <c r="D2" s="2354"/>
      <c r="E2" s="2354"/>
      <c r="F2" s="2354"/>
      <c r="G2" s="2354"/>
      <c r="H2" s="2354"/>
      <c r="I2" s="2354"/>
      <c r="J2" s="2354"/>
      <c r="K2" s="2354"/>
      <c r="L2" s="2354"/>
      <c r="M2" s="2354"/>
      <c r="N2" s="2354"/>
      <c r="O2" s="2354"/>
      <c r="P2" s="2354"/>
      <c r="Q2" s="2354"/>
      <c r="R2" s="2354"/>
      <c r="S2" s="2354"/>
      <c r="T2" s="2354"/>
      <c r="U2" s="2354"/>
      <c r="V2" s="2354"/>
      <c r="W2" s="2354"/>
      <c r="X2" s="2354"/>
      <c r="Y2" s="2354"/>
      <c r="Z2" s="2354"/>
      <c r="AA2" s="2354"/>
      <c r="AB2" s="2354"/>
      <c r="AC2" s="2354"/>
      <c r="AD2" s="2354"/>
      <c r="AE2" s="2354"/>
      <c r="AF2" s="2354"/>
      <c r="AG2" s="2354"/>
      <c r="AH2" s="2354"/>
      <c r="AI2" s="2354"/>
      <c r="AJ2" s="2354"/>
      <c r="AK2" s="2354"/>
      <c r="AL2" s="2354"/>
      <c r="AM2" s="2354"/>
      <c r="AN2" s="2354"/>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318</v>
      </c>
      <c r="C5" s="404" t="s">
        <v>122</v>
      </c>
      <c r="F5" s="404"/>
    </row>
    <row r="6" spans="1:40" ht="13" customHeight="1">
      <c r="A6" s="404"/>
      <c r="C6" s="402" t="s">
        <v>1236</v>
      </c>
    </row>
    <row r="7" spans="1:40" ht="13" customHeight="1">
      <c r="B7" s="405"/>
      <c r="C7" s="406"/>
      <c r="D7" s="406"/>
      <c r="E7" s="406"/>
      <c r="F7" s="406"/>
      <c r="G7" s="406"/>
      <c r="H7" s="406"/>
      <c r="I7" s="406"/>
      <c r="J7" s="406"/>
      <c r="K7" s="406"/>
      <c r="L7" s="406"/>
      <c r="M7" s="406"/>
      <c r="N7" s="406"/>
      <c r="O7" s="406"/>
      <c r="P7" s="406"/>
      <c r="Q7" s="406"/>
      <c r="R7" s="406"/>
      <c r="S7" s="406"/>
      <c r="T7" s="2355" t="str">
        <f xml:space="preserve"> IF(T25=100%,'Sources and Basis Breakdown'!G2,'Sources and Basis Breakdown'!F2)</f>
        <v>30% PVC for New Const/
Rehabilitation
DDA/QCT
Building(s)</v>
      </c>
      <c r="U7" s="2355"/>
      <c r="V7" s="2355"/>
      <c r="W7" s="2355"/>
      <c r="X7" s="2355"/>
      <c r="Y7" s="2355" t="str">
        <f>IF(T25=100%,"",'Sources and Basis Breakdown'!G2)</f>
        <v>30% PVC for New Const/
Rehabilitation
NON-DDA/
NON-QCT Building(s)</v>
      </c>
      <c r="Z7" s="2355"/>
      <c r="AA7" s="2355"/>
      <c r="AB7" s="2355"/>
      <c r="AC7" s="2355"/>
      <c r="AD7" s="2355" t="str">
        <f xml:space="preserve"> IF(T25=100%, 'Sources and Basis Breakdown'!J2,'Sources and Basis Breakdown'!I2)</f>
        <v>30% PVC for Acquisition
DDA/QCT Building(s)</v>
      </c>
      <c r="AE7" s="2355"/>
      <c r="AF7" s="2355"/>
      <c r="AG7" s="2355"/>
      <c r="AH7" s="2355"/>
      <c r="AI7" s="2355" t="str">
        <f>IF(T25=100%,"",'Sources and Basis Breakdown'!J2)</f>
        <v>30% PVC for Acquisition
NON-DDA/
NON-QCT Building(s)</v>
      </c>
      <c r="AJ7" s="2355"/>
      <c r="AK7" s="2355"/>
      <c r="AL7" s="2355"/>
      <c r="AM7" s="2355"/>
    </row>
    <row r="8" spans="1:40" ht="13" customHeight="1">
      <c r="B8" s="407"/>
      <c r="T8" s="2355"/>
      <c r="U8" s="2355"/>
      <c r="V8" s="2355"/>
      <c r="W8" s="2355"/>
      <c r="X8" s="2355"/>
      <c r="Y8" s="2355"/>
      <c r="Z8" s="2355"/>
      <c r="AA8" s="2355"/>
      <c r="AB8" s="2355"/>
      <c r="AC8" s="2355"/>
      <c r="AD8" s="2355"/>
      <c r="AE8" s="2355"/>
      <c r="AF8" s="2355"/>
      <c r="AG8" s="2355"/>
      <c r="AH8" s="2355"/>
      <c r="AI8" s="2355"/>
      <c r="AJ8" s="2355"/>
      <c r="AK8" s="2355"/>
      <c r="AL8" s="2355"/>
      <c r="AM8" s="2355"/>
    </row>
    <row r="9" spans="1:40" ht="13" customHeight="1">
      <c r="B9" s="407"/>
      <c r="T9" s="2355"/>
      <c r="U9" s="2355"/>
      <c r="V9" s="2355"/>
      <c r="W9" s="2355"/>
      <c r="X9" s="2355"/>
      <c r="Y9" s="2355"/>
      <c r="Z9" s="2355"/>
      <c r="AA9" s="2355"/>
      <c r="AB9" s="2355"/>
      <c r="AC9" s="2355"/>
      <c r="AD9" s="2355"/>
      <c r="AE9" s="2355"/>
      <c r="AF9" s="2355"/>
      <c r="AG9" s="2355"/>
      <c r="AH9" s="2355"/>
      <c r="AI9" s="2355"/>
      <c r="AJ9" s="2355"/>
      <c r="AK9" s="2355"/>
      <c r="AL9" s="2355"/>
      <c r="AM9" s="2355"/>
    </row>
    <row r="10" spans="1:40" ht="13" customHeight="1">
      <c r="B10" s="408"/>
      <c r="C10" s="409"/>
      <c r="D10" s="409"/>
      <c r="E10" s="409"/>
      <c r="F10" s="409"/>
      <c r="G10" s="409"/>
      <c r="H10" s="409"/>
      <c r="I10" s="409"/>
      <c r="J10" s="409"/>
      <c r="K10" s="409"/>
      <c r="L10" s="409"/>
      <c r="M10" s="409"/>
      <c r="N10" s="409"/>
      <c r="O10" s="409"/>
      <c r="P10" s="409"/>
      <c r="Q10" s="409"/>
      <c r="R10" s="409"/>
      <c r="S10" s="409"/>
      <c r="T10" s="2355"/>
      <c r="U10" s="2355"/>
      <c r="V10" s="2355"/>
      <c r="W10" s="2355"/>
      <c r="X10" s="2355"/>
      <c r="Y10" s="2355"/>
      <c r="Z10" s="2355"/>
      <c r="AA10" s="2355"/>
      <c r="AB10" s="2355"/>
      <c r="AC10" s="2355"/>
      <c r="AD10" s="2355"/>
      <c r="AE10" s="2355"/>
      <c r="AF10" s="2355"/>
      <c r="AG10" s="2355"/>
      <c r="AH10" s="2355"/>
      <c r="AI10" s="2355"/>
      <c r="AJ10" s="2355"/>
      <c r="AK10" s="2355"/>
      <c r="AL10" s="2355"/>
      <c r="AM10" s="2355"/>
    </row>
    <row r="11" spans="1:40" ht="13" customHeight="1">
      <c r="B11" s="2334" t="s">
        <v>374</v>
      </c>
      <c r="C11" s="2335"/>
      <c r="D11" s="2335"/>
      <c r="E11" s="2335"/>
      <c r="F11" s="2335"/>
      <c r="G11" s="2335"/>
      <c r="H11" s="2335"/>
      <c r="I11" s="2335"/>
      <c r="J11" s="2335"/>
      <c r="K11" s="2335"/>
      <c r="L11" s="2335"/>
      <c r="M11" s="2335"/>
      <c r="N11" s="2335"/>
      <c r="O11" s="2335"/>
      <c r="P11" s="2335"/>
      <c r="Q11" s="2335"/>
      <c r="R11" s="2335"/>
      <c r="S11" s="2336"/>
      <c r="T11" s="2356">
        <f>IF('Sources and Basis Breakdown'!F107=0,'Sources and Basis Breakdown'!E107,'Sources and Basis Breakdown'!F107)</f>
        <v>66330762</v>
      </c>
      <c r="U11" s="2357"/>
      <c r="V11" s="2357"/>
      <c r="W11" s="2357"/>
      <c r="X11" s="2357"/>
      <c r="Y11" s="2356">
        <f>IF(Y7="",0,IF('Sources and Basis Breakdown'!G107+'Sources and Basis Breakdown'!F107='Sources and Basis Breakdown'!E107,'Sources and Basis Breakdown'!G107,0))</f>
        <v>0</v>
      </c>
      <c r="Z11" s="2357"/>
      <c r="AA11" s="2357"/>
      <c r="AB11" s="2357"/>
      <c r="AC11" s="2357"/>
      <c r="AD11" s="2357">
        <f>IF('Sources and Basis Breakdown'!I107=0,'Sources and Basis Breakdown'!H107,'Sources and Basis Breakdown'!I107)</f>
        <v>0</v>
      </c>
      <c r="AE11" s="2357"/>
      <c r="AF11" s="2357"/>
      <c r="AG11" s="2357"/>
      <c r="AH11" s="2357"/>
      <c r="AI11" s="2357">
        <f>IF(Y7="",0,IF('Sources and Basis Breakdown'!I107+'Sources and Basis Breakdown'!J107='Sources and Basis Breakdown'!H107,'Sources and Basis Breakdown'!J107,0))</f>
        <v>0</v>
      </c>
      <c r="AJ11" s="2357"/>
      <c r="AK11" s="2357"/>
      <c r="AL11" s="2357"/>
      <c r="AM11" s="2357"/>
    </row>
    <row r="12" spans="1:40" ht="13" customHeight="1">
      <c r="B12" s="2349" t="s">
        <v>496</v>
      </c>
      <c r="C12" s="1293"/>
      <c r="D12" s="1293"/>
      <c r="E12" s="1293"/>
      <c r="F12" s="1293"/>
      <c r="G12" s="1293"/>
      <c r="H12" s="1293"/>
      <c r="I12" s="1293"/>
      <c r="J12" s="1293"/>
      <c r="K12" s="1293"/>
      <c r="L12" s="1293"/>
      <c r="M12" s="1293"/>
      <c r="N12" s="1293"/>
      <c r="O12" s="1293"/>
      <c r="P12" s="1293"/>
      <c r="Q12" s="1293"/>
      <c r="R12" s="1293"/>
      <c r="S12" s="2350"/>
      <c r="T12" s="2322"/>
      <c r="U12" s="2323"/>
      <c r="V12" s="2323"/>
      <c r="W12" s="2323"/>
      <c r="X12" s="2324"/>
      <c r="Y12" s="2322"/>
      <c r="Z12" s="2323"/>
      <c r="AA12" s="2323"/>
      <c r="AB12" s="2323"/>
      <c r="AC12" s="2324"/>
      <c r="AD12" s="2322"/>
      <c r="AE12" s="2323"/>
      <c r="AF12" s="2323"/>
      <c r="AG12" s="2323"/>
      <c r="AH12" s="2324"/>
      <c r="AI12" s="2322"/>
      <c r="AJ12" s="2323"/>
      <c r="AK12" s="2323"/>
      <c r="AL12" s="2323"/>
      <c r="AM12" s="2324"/>
    </row>
    <row r="13" spans="1:40" ht="13" customHeight="1">
      <c r="B13" s="435"/>
      <c r="C13" s="2351" t="s">
        <v>497</v>
      </c>
      <c r="D13" s="2351"/>
      <c r="E13" s="2351"/>
      <c r="F13" s="2351"/>
      <c r="G13" s="2351"/>
      <c r="H13" s="2351"/>
      <c r="I13" s="2351"/>
      <c r="J13" s="2351"/>
      <c r="K13" s="2351"/>
      <c r="L13" s="2351"/>
      <c r="M13" s="2351"/>
      <c r="N13" s="2351"/>
      <c r="O13" s="2351"/>
      <c r="P13" s="2351"/>
      <c r="Q13" s="2351"/>
      <c r="R13" s="2351"/>
      <c r="S13" s="2352"/>
      <c r="T13" s="2358"/>
      <c r="U13" s="2359"/>
      <c r="V13" s="2359"/>
      <c r="W13" s="2359"/>
      <c r="X13" s="2359"/>
      <c r="Y13" s="2358"/>
      <c r="Z13" s="2359"/>
      <c r="AA13" s="2359"/>
      <c r="AB13" s="2359"/>
      <c r="AC13" s="2359"/>
      <c r="AD13" s="2359"/>
      <c r="AE13" s="2359"/>
      <c r="AF13" s="2359"/>
      <c r="AG13" s="2359"/>
      <c r="AH13" s="2359"/>
      <c r="AI13" s="2359"/>
      <c r="AJ13" s="2359"/>
      <c r="AK13" s="2359"/>
      <c r="AL13" s="2359"/>
      <c r="AM13" s="2359"/>
    </row>
    <row r="14" spans="1:40" ht="13" customHeight="1">
      <c r="B14" s="435"/>
      <c r="C14" s="2351" t="s">
        <v>498</v>
      </c>
      <c r="D14" s="2351"/>
      <c r="E14" s="2351"/>
      <c r="F14" s="2351"/>
      <c r="G14" s="2351"/>
      <c r="H14" s="2351"/>
      <c r="I14" s="2351"/>
      <c r="J14" s="2351"/>
      <c r="K14" s="2351"/>
      <c r="L14" s="2351"/>
      <c r="M14" s="2351"/>
      <c r="N14" s="2351"/>
      <c r="O14" s="2351"/>
      <c r="P14" s="2351"/>
      <c r="Q14" s="2351"/>
      <c r="R14" s="2351"/>
      <c r="S14" s="2352"/>
      <c r="T14" s="2325"/>
      <c r="U14" s="2326"/>
      <c r="V14" s="2326"/>
      <c r="W14" s="2326"/>
      <c r="X14" s="2326"/>
      <c r="Y14" s="2325"/>
      <c r="Z14" s="2326"/>
      <c r="AA14" s="2326"/>
      <c r="AB14" s="2326"/>
      <c r="AC14" s="2326"/>
      <c r="AD14" s="2326"/>
      <c r="AE14" s="2326"/>
      <c r="AF14" s="2326"/>
      <c r="AG14" s="2326"/>
      <c r="AH14" s="2326"/>
      <c r="AI14" s="2326"/>
      <c r="AJ14" s="2326"/>
      <c r="AK14" s="2326"/>
      <c r="AL14" s="2326"/>
      <c r="AM14" s="2326"/>
    </row>
    <row r="15" spans="1:40" ht="13" customHeight="1">
      <c r="B15" s="435"/>
      <c r="C15" s="2351" t="s">
        <v>499</v>
      </c>
      <c r="D15" s="2351"/>
      <c r="E15" s="2351"/>
      <c r="F15" s="2351"/>
      <c r="G15" s="2351"/>
      <c r="H15" s="2351"/>
      <c r="I15" s="2351"/>
      <c r="J15" s="2351"/>
      <c r="K15" s="2351"/>
      <c r="L15" s="2351"/>
      <c r="M15" s="2351"/>
      <c r="N15" s="2351"/>
      <c r="O15" s="2351"/>
      <c r="P15" s="2351"/>
      <c r="Q15" s="2351"/>
      <c r="R15" s="2351"/>
      <c r="S15" s="2352"/>
      <c r="T15" s="2325"/>
      <c r="U15" s="2326"/>
      <c r="V15" s="2326"/>
      <c r="W15" s="2326"/>
      <c r="X15" s="2326"/>
      <c r="Y15" s="2325"/>
      <c r="Z15" s="2326"/>
      <c r="AA15" s="2326"/>
      <c r="AB15" s="2326"/>
      <c r="AC15" s="2326"/>
      <c r="AD15" s="2326"/>
      <c r="AE15" s="2326"/>
      <c r="AF15" s="2326"/>
      <c r="AG15" s="2326"/>
      <c r="AH15" s="2326"/>
      <c r="AI15" s="2326"/>
      <c r="AJ15" s="2326"/>
      <c r="AK15" s="2326"/>
      <c r="AL15" s="2326"/>
      <c r="AM15" s="2326"/>
    </row>
    <row r="16" spans="1:40" ht="13" customHeight="1">
      <c r="B16" s="435"/>
      <c r="C16" s="2351" t="s">
        <v>804</v>
      </c>
      <c r="D16" s="2351"/>
      <c r="E16" s="2351"/>
      <c r="F16" s="2351"/>
      <c r="G16" s="2351"/>
      <c r="H16" s="2351"/>
      <c r="I16" s="2351"/>
      <c r="J16" s="2351"/>
      <c r="K16" s="2351"/>
      <c r="L16" s="2351"/>
      <c r="M16" s="2351"/>
      <c r="N16" s="2351"/>
      <c r="O16" s="2351"/>
      <c r="P16" s="2351"/>
      <c r="Q16" s="2351"/>
      <c r="R16" s="2351"/>
      <c r="S16" s="2352"/>
      <c r="T16" s="2325"/>
      <c r="U16" s="2326"/>
      <c r="V16" s="2326"/>
      <c r="W16" s="2326"/>
      <c r="X16" s="2326"/>
      <c r="Y16" s="2325"/>
      <c r="Z16" s="2326"/>
      <c r="AA16" s="2326"/>
      <c r="AB16" s="2326"/>
      <c r="AC16" s="2326"/>
      <c r="AD16" s="2326"/>
      <c r="AE16" s="2326"/>
      <c r="AF16" s="2326"/>
      <c r="AG16" s="2326"/>
      <c r="AH16" s="2326"/>
      <c r="AI16" s="2326"/>
      <c r="AJ16" s="2326"/>
      <c r="AK16" s="2326"/>
      <c r="AL16" s="2326"/>
      <c r="AM16" s="2326"/>
    </row>
    <row r="17" spans="1:40" ht="13" customHeight="1">
      <c r="B17" s="435"/>
      <c r="C17" s="2351" t="s">
        <v>500</v>
      </c>
      <c r="D17" s="2351"/>
      <c r="E17" s="2351"/>
      <c r="F17" s="2351"/>
      <c r="G17" s="2351"/>
      <c r="H17" s="2351"/>
      <c r="I17" s="2351"/>
      <c r="J17" s="2351"/>
      <c r="K17" s="2351"/>
      <c r="L17" s="2351"/>
      <c r="M17" s="2351"/>
      <c r="N17" s="2351"/>
      <c r="O17" s="2351"/>
      <c r="P17" s="2351"/>
      <c r="Q17" s="2351"/>
      <c r="R17" s="2351"/>
      <c r="S17" s="2352"/>
      <c r="T17" s="2325"/>
      <c r="U17" s="2326"/>
      <c r="V17" s="2326"/>
      <c r="W17" s="2326"/>
      <c r="X17" s="2326"/>
      <c r="Y17" s="2325"/>
      <c r="Z17" s="2326"/>
      <c r="AA17" s="2326"/>
      <c r="AB17" s="2326"/>
      <c r="AC17" s="2326"/>
      <c r="AD17" s="2326"/>
      <c r="AE17" s="2326"/>
      <c r="AF17" s="2326"/>
      <c r="AG17" s="2326"/>
      <c r="AH17" s="2326"/>
      <c r="AI17" s="2326"/>
      <c r="AJ17" s="2326"/>
      <c r="AK17" s="2326"/>
      <c r="AL17" s="2326"/>
      <c r="AM17" s="2326"/>
    </row>
    <row r="18" spans="1:40" ht="13" customHeight="1">
      <c r="A18"/>
      <c r="B18" s="1144"/>
      <c r="C18" s="1809" t="s">
        <v>959</v>
      </c>
      <c r="D18" s="1809"/>
      <c r="E18" s="1809"/>
      <c r="F18" s="1809"/>
      <c r="G18" s="1809"/>
      <c r="H18" s="1809"/>
      <c r="I18" s="1809"/>
      <c r="J18" s="1809"/>
      <c r="K18" s="1809"/>
      <c r="L18" s="1809"/>
      <c r="M18" s="1809"/>
      <c r="N18" s="1809"/>
      <c r="O18" s="1809"/>
      <c r="P18" s="1809"/>
      <c r="Q18" s="1809"/>
      <c r="R18" s="1809"/>
      <c r="S18" s="1810"/>
      <c r="T18" s="2325"/>
      <c r="U18" s="2326"/>
      <c r="V18" s="2326"/>
      <c r="W18" s="2326"/>
      <c r="X18" s="2326"/>
      <c r="Y18" s="2325"/>
      <c r="Z18" s="2326"/>
      <c r="AA18" s="2326"/>
      <c r="AB18" s="2326"/>
      <c r="AC18" s="2326"/>
      <c r="AD18" s="2326"/>
      <c r="AE18" s="2326"/>
      <c r="AF18" s="2326"/>
      <c r="AG18" s="2326"/>
      <c r="AH18" s="2326"/>
      <c r="AI18" s="2326"/>
      <c r="AJ18" s="2326"/>
      <c r="AK18" s="2326"/>
      <c r="AL18" s="2326"/>
      <c r="AM18" s="2326"/>
    </row>
    <row r="19" spans="1:40" ht="13" customHeight="1">
      <c r="B19" s="1144"/>
      <c r="C19" s="1809" t="s">
        <v>959</v>
      </c>
      <c r="D19" s="1809"/>
      <c r="E19" s="1809"/>
      <c r="F19" s="1809"/>
      <c r="G19" s="1809"/>
      <c r="H19" s="1809"/>
      <c r="I19" s="1809"/>
      <c r="J19" s="1809"/>
      <c r="K19" s="1809"/>
      <c r="L19" s="1809"/>
      <c r="M19" s="1809"/>
      <c r="N19" s="1809"/>
      <c r="O19" s="1809"/>
      <c r="P19" s="1809"/>
      <c r="Q19" s="1809"/>
      <c r="R19" s="1809"/>
      <c r="S19" s="1810"/>
      <c r="T19" s="2325"/>
      <c r="U19" s="2326"/>
      <c r="V19" s="2326"/>
      <c r="W19" s="2326"/>
      <c r="X19" s="2326"/>
      <c r="Y19" s="2325"/>
      <c r="Z19" s="2326"/>
      <c r="AA19" s="2326"/>
      <c r="AB19" s="2326"/>
      <c r="AC19" s="2326"/>
      <c r="AD19" s="2326"/>
      <c r="AE19" s="2326"/>
      <c r="AF19" s="2326"/>
      <c r="AG19" s="2326"/>
      <c r="AH19" s="2326"/>
      <c r="AI19" s="2326"/>
      <c r="AJ19" s="2326"/>
      <c r="AK19" s="2326"/>
      <c r="AL19" s="2326"/>
      <c r="AM19" s="2326"/>
    </row>
    <row r="20" spans="1:40" ht="13" customHeight="1">
      <c r="B20" s="2334" t="s">
        <v>501</v>
      </c>
      <c r="C20" s="2335"/>
      <c r="D20" s="2335"/>
      <c r="E20" s="2335"/>
      <c r="F20" s="2335"/>
      <c r="G20" s="2335"/>
      <c r="H20" s="2335"/>
      <c r="I20" s="2335"/>
      <c r="J20" s="2335"/>
      <c r="K20" s="2335"/>
      <c r="L20" s="2335"/>
      <c r="M20" s="2335"/>
      <c r="N20" s="2335"/>
      <c r="O20" s="2335"/>
      <c r="P20" s="2335"/>
      <c r="Q20" s="2335"/>
      <c r="R20" s="2335"/>
      <c r="S20" s="2336"/>
      <c r="T20" s="2327">
        <f>SUM(T13:X19)</f>
        <v>0</v>
      </c>
      <c r="U20" s="2328"/>
      <c r="V20" s="2328"/>
      <c r="W20" s="2328"/>
      <c r="X20" s="2328"/>
      <c r="Y20" s="2327">
        <f>SUM(Y13:AC19)</f>
        <v>0</v>
      </c>
      <c r="Z20" s="2328"/>
      <c r="AA20" s="2328"/>
      <c r="AB20" s="2328"/>
      <c r="AC20" s="2328"/>
      <c r="AD20" s="2329">
        <f>SUM(AD13:AH19)</f>
        <v>0</v>
      </c>
      <c r="AE20" s="2330"/>
      <c r="AF20" s="2330"/>
      <c r="AG20" s="2330"/>
      <c r="AH20" s="2327"/>
      <c r="AI20" s="2329">
        <f>SUM(AI13:AM19)</f>
        <v>0</v>
      </c>
      <c r="AJ20" s="2330"/>
      <c r="AK20" s="2330"/>
      <c r="AL20" s="2330"/>
      <c r="AM20" s="2327"/>
    </row>
    <row r="21" spans="1:40" ht="13" customHeight="1">
      <c r="B21" s="2334" t="s">
        <v>1261</v>
      </c>
      <c r="C21" s="2335"/>
      <c r="D21" s="2335"/>
      <c r="E21" s="2335"/>
      <c r="F21" s="2335"/>
      <c r="G21" s="2335"/>
      <c r="H21" s="2335"/>
      <c r="I21" s="2335"/>
      <c r="J21" s="2335"/>
      <c r="K21" s="2335"/>
      <c r="L21" s="2335"/>
      <c r="M21" s="2335"/>
      <c r="N21" s="2335"/>
      <c r="O21" s="2335"/>
      <c r="P21" s="2335"/>
      <c r="Q21" s="2335"/>
      <c r="R21" s="2335"/>
      <c r="S21" s="2336"/>
      <c r="T21" s="2325"/>
      <c r="U21" s="2326"/>
      <c r="V21" s="2326"/>
      <c r="W21" s="2326"/>
      <c r="X21" s="2326"/>
      <c r="Y21" s="2325"/>
      <c r="Z21" s="2326"/>
      <c r="AA21" s="2326"/>
      <c r="AB21" s="2326"/>
      <c r="AC21" s="2326"/>
      <c r="AD21" s="2322"/>
      <c r="AE21" s="2323"/>
      <c r="AF21" s="2323"/>
      <c r="AG21" s="2323"/>
      <c r="AH21" s="2324"/>
      <c r="AI21" s="2322"/>
      <c r="AJ21" s="2323"/>
      <c r="AK21" s="2323"/>
      <c r="AL21" s="2323"/>
      <c r="AM21" s="2324"/>
    </row>
    <row r="22" spans="1:40" ht="13" customHeight="1">
      <c r="B22" s="2334" t="s">
        <v>502</v>
      </c>
      <c r="C22" s="2335"/>
      <c r="D22" s="2335"/>
      <c r="E22" s="2335"/>
      <c r="F22" s="2335"/>
      <c r="G22" s="2335"/>
      <c r="H22" s="2335"/>
      <c r="I22" s="2335"/>
      <c r="J22" s="2335"/>
      <c r="K22" s="2335"/>
      <c r="L22" s="2335"/>
      <c r="M22" s="2335"/>
      <c r="N22" s="2335"/>
      <c r="O22" s="2335"/>
      <c r="P22" s="2335"/>
      <c r="Q22" s="2335"/>
      <c r="R22" s="2335"/>
      <c r="S22" s="2336"/>
      <c r="T22" s="2360">
        <f>(ABS(T20)+ABS(T21))*-1</f>
        <v>0</v>
      </c>
      <c r="U22" s="2361"/>
      <c r="V22" s="2361"/>
      <c r="W22" s="2361"/>
      <c r="X22" s="2361"/>
      <c r="Y22" s="2360">
        <f>(Y20+Y21)*-1</f>
        <v>0</v>
      </c>
      <c r="Z22" s="2361"/>
      <c r="AA22" s="2361"/>
      <c r="AB22" s="2361"/>
      <c r="AC22" s="2361"/>
      <c r="AD22" s="2362">
        <f>(AD20)*-1</f>
        <v>0</v>
      </c>
      <c r="AE22" s="2363"/>
      <c r="AF22" s="2363"/>
      <c r="AG22" s="2363"/>
      <c r="AH22" s="2360"/>
      <c r="AI22" s="2362">
        <f>(AI20)*-1</f>
        <v>0</v>
      </c>
      <c r="AJ22" s="2363"/>
      <c r="AK22" s="2363"/>
      <c r="AL22" s="2363"/>
      <c r="AM22" s="2360"/>
    </row>
    <row r="23" spans="1:40" ht="13" customHeight="1">
      <c r="B23" s="2334" t="s">
        <v>503</v>
      </c>
      <c r="C23" s="2335"/>
      <c r="D23" s="2335"/>
      <c r="E23" s="2335"/>
      <c r="F23" s="2335"/>
      <c r="G23" s="2335"/>
      <c r="H23" s="2335"/>
      <c r="I23" s="2335"/>
      <c r="J23" s="2335"/>
      <c r="K23" s="2335"/>
      <c r="L23" s="2335"/>
      <c r="M23" s="2335"/>
      <c r="N23" s="2335"/>
      <c r="O23" s="2335"/>
      <c r="P23" s="2335"/>
      <c r="Q23" s="2335"/>
      <c r="R23" s="2335"/>
      <c r="S23" s="2336"/>
      <c r="T23" s="2327">
        <f>T11+T22</f>
        <v>66330762</v>
      </c>
      <c r="U23" s="2328"/>
      <c r="V23" s="2328"/>
      <c r="W23" s="2328"/>
      <c r="X23" s="2328"/>
      <c r="Y23" s="2327">
        <f>Y11+Y22</f>
        <v>0</v>
      </c>
      <c r="Z23" s="2328"/>
      <c r="AA23" s="2328"/>
      <c r="AB23" s="2328"/>
      <c r="AC23" s="2328"/>
      <c r="AD23" s="2327">
        <f>AD11+AD22</f>
        <v>0</v>
      </c>
      <c r="AE23" s="2328"/>
      <c r="AF23" s="2328"/>
      <c r="AG23" s="2328"/>
      <c r="AH23" s="2328"/>
      <c r="AI23" s="2327">
        <f>AI11+AI22</f>
        <v>0</v>
      </c>
      <c r="AJ23" s="2328"/>
      <c r="AK23" s="2328"/>
      <c r="AL23" s="2328"/>
      <c r="AM23" s="2328"/>
    </row>
    <row r="24" spans="1:40" ht="13" customHeight="1">
      <c r="B24" s="2334" t="s">
        <v>960</v>
      </c>
      <c r="C24" s="2335"/>
      <c r="D24" s="2335"/>
      <c r="E24" s="2335"/>
      <c r="F24" s="2335"/>
      <c r="G24" s="2335"/>
      <c r="H24" s="2335"/>
      <c r="I24" s="2335"/>
      <c r="J24" s="2335"/>
      <c r="K24" s="2335"/>
      <c r="L24" s="2335"/>
      <c r="M24" s="2335"/>
      <c r="N24" s="2335"/>
      <c r="O24" s="2335"/>
      <c r="P24" s="2335"/>
      <c r="Q24" s="2335"/>
      <c r="R24" s="2335"/>
      <c r="S24" s="2336"/>
      <c r="T24" s="2329">
        <f>Application!AJ1062</f>
        <v>156227104.44</v>
      </c>
      <c r="U24" s="2330"/>
      <c r="V24" s="2330"/>
      <c r="W24" s="2330"/>
      <c r="X24" s="2330"/>
      <c r="Y24" s="2330"/>
      <c r="Z24" s="2330"/>
      <c r="AA24" s="2330"/>
      <c r="AB24" s="2330"/>
      <c r="AC24" s="2330"/>
      <c r="AD24" s="2330"/>
      <c r="AE24" s="2330"/>
      <c r="AF24" s="2330"/>
      <c r="AG24" s="2330"/>
      <c r="AH24" s="2330"/>
      <c r="AI24" s="2330"/>
      <c r="AJ24" s="2330"/>
      <c r="AK24" s="2330"/>
      <c r="AL24" s="2330"/>
      <c r="AM24" s="2327"/>
    </row>
    <row r="25" spans="1:40" ht="13" customHeight="1">
      <c r="B25" s="2338" t="s">
        <v>1262</v>
      </c>
      <c r="C25" s="2339"/>
      <c r="D25" s="2339"/>
      <c r="E25" s="2339"/>
      <c r="F25" s="2339"/>
      <c r="G25" s="2339"/>
      <c r="H25" s="2339"/>
      <c r="I25" s="2339"/>
      <c r="J25" s="2339"/>
      <c r="K25" s="2339"/>
      <c r="L25" s="2339"/>
      <c r="M25" s="2339"/>
      <c r="N25" s="2339"/>
      <c r="O25" s="2339"/>
      <c r="P25" s="2339"/>
      <c r="Q25" s="2339"/>
      <c r="R25" s="2339"/>
      <c r="S25" s="2340"/>
      <c r="T25" s="2364">
        <f>IF(OR(Application!T196="yes",Application!T195="yes"),1.3,1)</f>
        <v>1.3</v>
      </c>
      <c r="U25" s="2365"/>
      <c r="V25" s="2365"/>
      <c r="W25" s="2365"/>
      <c r="X25" s="2365"/>
      <c r="Y25" s="2364">
        <v>1</v>
      </c>
      <c r="Z25" s="2365"/>
      <c r="AA25" s="2365"/>
      <c r="AB25" s="2365"/>
      <c r="AC25" s="2365"/>
      <c r="AD25" s="2364">
        <v>1</v>
      </c>
      <c r="AE25" s="2365"/>
      <c r="AF25" s="2365"/>
      <c r="AG25" s="2365"/>
      <c r="AH25" s="2366"/>
      <c r="AI25" s="2364">
        <v>1</v>
      </c>
      <c r="AJ25" s="2365"/>
      <c r="AK25" s="2365"/>
      <c r="AL25" s="2365"/>
      <c r="AM25" s="2366"/>
    </row>
    <row r="26" spans="1:40" ht="13" customHeight="1">
      <c r="B26" s="2334" t="s">
        <v>504</v>
      </c>
      <c r="C26" s="2335"/>
      <c r="D26" s="2335"/>
      <c r="E26" s="2335"/>
      <c r="F26" s="2335"/>
      <c r="G26" s="2335"/>
      <c r="H26" s="2335"/>
      <c r="I26" s="2335"/>
      <c r="J26" s="2335"/>
      <c r="K26" s="2335"/>
      <c r="L26" s="2335"/>
      <c r="M26" s="2335"/>
      <c r="N26" s="2335"/>
      <c r="O26" s="2335"/>
      <c r="P26" s="2335"/>
      <c r="Q26" s="2335"/>
      <c r="R26" s="2335"/>
      <c r="S26" s="2336"/>
      <c r="T26" s="2327">
        <f>T23*T25</f>
        <v>86229990.600000009</v>
      </c>
      <c r="U26" s="2328"/>
      <c r="V26" s="2328"/>
      <c r="W26" s="2328"/>
      <c r="X26" s="2328"/>
      <c r="Y26" s="2327">
        <f>Y23*Y25</f>
        <v>0</v>
      </c>
      <c r="Z26" s="2328"/>
      <c r="AA26" s="2328"/>
      <c r="AB26" s="2328"/>
      <c r="AC26" s="2328"/>
      <c r="AD26" s="2327">
        <f>AD23*AD25</f>
        <v>0</v>
      </c>
      <c r="AE26" s="2328"/>
      <c r="AF26" s="2328"/>
      <c r="AG26" s="2328"/>
      <c r="AH26" s="2328"/>
      <c r="AI26" s="2327">
        <f>AI23*AI25</f>
        <v>0</v>
      </c>
      <c r="AJ26" s="2328"/>
      <c r="AK26" s="2328"/>
      <c r="AL26" s="2328"/>
      <c r="AM26" s="2328"/>
    </row>
    <row r="27" spans="1:40" ht="13" customHeight="1">
      <c r="A27" s="410"/>
      <c r="B27" s="2341" t="s">
        <v>425</v>
      </c>
      <c r="C27" s="2342"/>
      <c r="D27" s="2342"/>
      <c r="E27" s="2342"/>
      <c r="F27" s="2342"/>
      <c r="G27" s="2342"/>
      <c r="H27" s="2342"/>
      <c r="I27" s="2342"/>
      <c r="J27" s="2342"/>
      <c r="K27" s="2342"/>
      <c r="L27" s="2342"/>
      <c r="M27" s="2342"/>
      <c r="N27" s="2342"/>
      <c r="O27" s="2342"/>
      <c r="P27" s="2342"/>
      <c r="Q27" s="2342"/>
      <c r="R27" s="2342"/>
      <c r="S27" s="2343"/>
      <c r="T27" s="2347">
        <f>Application!$AG$454</f>
        <v>1</v>
      </c>
      <c r="U27" s="2348"/>
      <c r="V27" s="2348"/>
      <c r="W27" s="2348"/>
      <c r="X27" s="2348"/>
      <c r="Y27" s="2347">
        <f>Application!$AG$454</f>
        <v>1</v>
      </c>
      <c r="Z27" s="2348"/>
      <c r="AA27" s="2348"/>
      <c r="AB27" s="2348"/>
      <c r="AC27" s="2348"/>
      <c r="AD27" s="2347">
        <f>Application!$AG$454</f>
        <v>1</v>
      </c>
      <c r="AE27" s="2348"/>
      <c r="AF27" s="2348"/>
      <c r="AG27" s="2348"/>
      <c r="AH27" s="2348"/>
      <c r="AI27" s="2347">
        <f>Application!$AG$454</f>
        <v>1</v>
      </c>
      <c r="AJ27" s="2348"/>
      <c r="AK27" s="2348"/>
      <c r="AL27" s="2348"/>
      <c r="AM27" s="2348"/>
    </row>
    <row r="28" spans="1:40" ht="13" customHeight="1">
      <c r="A28" s="404"/>
      <c r="B28" s="2334" t="s">
        <v>505</v>
      </c>
      <c r="C28" s="2335"/>
      <c r="D28" s="2335"/>
      <c r="E28" s="2335"/>
      <c r="F28" s="2335"/>
      <c r="G28" s="2335"/>
      <c r="H28" s="2335"/>
      <c r="I28" s="2335"/>
      <c r="J28" s="2335"/>
      <c r="K28" s="2335"/>
      <c r="L28" s="2335"/>
      <c r="M28" s="2335"/>
      <c r="N28" s="2335"/>
      <c r="O28" s="2335"/>
      <c r="P28" s="2335"/>
      <c r="Q28" s="2335"/>
      <c r="R28" s="2335"/>
      <c r="S28" s="2336"/>
      <c r="T28" s="2327">
        <f>IF(ISERROR((T26*T27)),0,(T26*T27))</f>
        <v>86229990.600000009</v>
      </c>
      <c r="U28" s="2328"/>
      <c r="V28" s="2328"/>
      <c r="W28" s="2328"/>
      <c r="X28" s="2328"/>
      <c r="Y28" s="2327">
        <f>IF(ISERROR((Y26*Y27)),0,(Y26*Y27))</f>
        <v>0</v>
      </c>
      <c r="Z28" s="2328"/>
      <c r="AA28" s="2328"/>
      <c r="AB28" s="2328"/>
      <c r="AC28" s="2328"/>
      <c r="AD28" s="2327">
        <f>IF(ISERROR((AD26*AD27)),0,(AD26*AD27))</f>
        <v>0</v>
      </c>
      <c r="AE28" s="2328"/>
      <c r="AF28" s="2328"/>
      <c r="AG28" s="2328"/>
      <c r="AH28" s="2328"/>
      <c r="AI28" s="2327">
        <f>IF(ISERROR((AI26*AI27)),0,(AI26*AI27))</f>
        <v>0</v>
      </c>
      <c r="AJ28" s="2328"/>
      <c r="AK28" s="2328"/>
      <c r="AL28" s="2328"/>
      <c r="AM28" s="2328"/>
    </row>
    <row r="29" spans="1:40" ht="13" customHeight="1">
      <c r="B29" s="2334" t="s">
        <v>522</v>
      </c>
      <c r="C29" s="2335"/>
      <c r="D29" s="2335"/>
      <c r="E29" s="2335"/>
      <c r="F29" s="2335"/>
      <c r="G29" s="2335"/>
      <c r="H29" s="2335"/>
      <c r="I29" s="2335"/>
      <c r="J29" s="2335"/>
      <c r="K29" s="2335"/>
      <c r="L29" s="2335"/>
      <c r="M29" s="2335"/>
      <c r="N29" s="2335"/>
      <c r="O29" s="2335"/>
      <c r="P29" s="2335"/>
      <c r="Q29" s="2335"/>
      <c r="R29" s="2335"/>
      <c r="S29" s="2336"/>
      <c r="T29" s="2329">
        <f>T28+Y28+AD28+AI28</f>
        <v>86229990.600000009</v>
      </c>
      <c r="U29" s="2330"/>
      <c r="V29" s="2330"/>
      <c r="W29" s="2330"/>
      <c r="X29" s="2330"/>
      <c r="Y29" s="2330"/>
      <c r="Z29" s="2330"/>
      <c r="AA29" s="2330"/>
      <c r="AB29" s="2330"/>
      <c r="AC29" s="2330"/>
      <c r="AD29" s="2330"/>
      <c r="AE29" s="2330"/>
      <c r="AF29" s="2330"/>
      <c r="AG29" s="2330"/>
      <c r="AH29" s="2330"/>
      <c r="AI29" s="2330"/>
      <c r="AJ29" s="2330"/>
      <c r="AK29" s="2330"/>
      <c r="AL29" s="2330"/>
      <c r="AM29" s="2327"/>
    </row>
    <row r="30" spans="1:40" ht="13" customHeight="1">
      <c r="B30" s="2337" t="s">
        <v>1264</v>
      </c>
      <c r="C30" s="2337"/>
      <c r="D30" s="2337"/>
      <c r="E30" s="2337"/>
      <c r="F30" s="2337"/>
      <c r="G30" s="2337"/>
      <c r="H30" s="2337"/>
      <c r="I30" s="2337"/>
      <c r="J30" s="2337"/>
      <c r="K30" s="2337"/>
      <c r="L30" s="2337"/>
      <c r="M30" s="2337"/>
      <c r="N30" s="2337"/>
      <c r="O30" s="2337"/>
      <c r="P30" s="2337"/>
      <c r="Q30" s="2337"/>
      <c r="R30" s="2337"/>
      <c r="S30" s="2337"/>
      <c r="T30" s="2337"/>
      <c r="U30" s="2337"/>
      <c r="V30" s="2337"/>
      <c r="W30" s="2337"/>
      <c r="X30" s="2337"/>
      <c r="Y30" s="2337"/>
      <c r="Z30" s="2337"/>
      <c r="AA30" s="2337"/>
      <c r="AB30" s="2337"/>
      <c r="AC30" s="2337"/>
      <c r="AD30" s="2337"/>
      <c r="AE30" s="2337"/>
      <c r="AF30" s="2337"/>
      <c r="AG30" s="2337"/>
      <c r="AH30" s="2337"/>
      <c r="AI30" s="2337"/>
      <c r="AJ30" s="2337"/>
      <c r="AK30" s="2337"/>
      <c r="AL30" s="2337"/>
      <c r="AM30" s="2337"/>
    </row>
    <row r="31" spans="1:40" ht="13" customHeight="1">
      <c r="B31" s="2337" t="s">
        <v>1263</v>
      </c>
      <c r="C31" s="2337"/>
      <c r="D31" s="2337"/>
      <c r="E31" s="2337"/>
      <c r="F31" s="2337"/>
      <c r="G31" s="2337"/>
      <c r="H31" s="2337"/>
      <c r="I31" s="2337"/>
      <c r="J31" s="2337"/>
      <c r="K31" s="2337"/>
      <c r="L31" s="2337"/>
      <c r="M31" s="2337"/>
      <c r="N31" s="2337"/>
      <c r="O31" s="2337"/>
      <c r="P31" s="2337"/>
      <c r="Q31" s="2337"/>
      <c r="R31" s="2337"/>
      <c r="S31" s="2337"/>
      <c r="T31" s="2337"/>
      <c r="U31" s="2337"/>
      <c r="V31" s="2337"/>
      <c r="W31" s="2337"/>
      <c r="X31" s="2337"/>
      <c r="Y31" s="2337"/>
      <c r="Z31" s="2337"/>
      <c r="AA31" s="2337"/>
      <c r="AB31" s="2337"/>
      <c r="AC31" s="2337"/>
      <c r="AD31" s="2337"/>
      <c r="AE31" s="2337"/>
      <c r="AF31" s="2337"/>
      <c r="AG31" s="2337"/>
      <c r="AH31" s="2337"/>
      <c r="AI31" s="2337"/>
      <c r="AJ31" s="2337"/>
      <c r="AK31" s="2337"/>
      <c r="AL31" s="2337"/>
      <c r="AM31" s="2337"/>
      <c r="AN31" s="518"/>
    </row>
    <row r="32" spans="1:40" ht="13"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3" customHeight="1"/>
    <row r="34" spans="1:76" ht="13" customHeight="1">
      <c r="A34" s="404" t="s">
        <v>575</v>
      </c>
      <c r="C34" s="404" t="s">
        <v>567</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5" t="s">
        <v>1152</v>
      </c>
      <c r="Z35" s="2355"/>
      <c r="AA35" s="2355"/>
      <c r="AB35" s="2355"/>
      <c r="AC35" s="2355"/>
      <c r="AD35" s="2375" t="s">
        <v>368</v>
      </c>
      <c r="AE35" s="2375"/>
      <c r="AF35" s="2375"/>
      <c r="AG35" s="2375"/>
      <c r="AH35" s="2375"/>
    </row>
    <row r="36" spans="1:76" ht="13" customHeight="1">
      <c r="B36" s="407"/>
      <c r="X36" s="412"/>
      <c r="Y36" s="2355"/>
      <c r="Z36" s="2355"/>
      <c r="AA36" s="2355"/>
      <c r="AB36" s="2355"/>
      <c r="AC36" s="2355"/>
      <c r="AD36" s="2375"/>
      <c r="AE36" s="2375"/>
      <c r="AF36" s="2375"/>
      <c r="AG36" s="2375"/>
      <c r="AH36" s="2375"/>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5"/>
      <c r="Z37" s="2355"/>
      <c r="AA37" s="2355"/>
      <c r="AB37" s="2355"/>
      <c r="AC37" s="2355"/>
      <c r="AD37" s="2375"/>
      <c r="AE37" s="2375"/>
      <c r="AF37" s="2375"/>
      <c r="AG37" s="2375"/>
      <c r="AH37" s="2375"/>
    </row>
    <row r="38" spans="1:76" ht="13" customHeight="1">
      <c r="A38" s="404"/>
      <c r="B38" s="2334" t="s">
        <v>505</v>
      </c>
      <c r="C38" s="2335"/>
      <c r="D38" s="2335"/>
      <c r="E38" s="2335"/>
      <c r="F38" s="2335"/>
      <c r="G38" s="2335"/>
      <c r="H38" s="2335"/>
      <c r="I38" s="2335"/>
      <c r="J38" s="2335"/>
      <c r="K38" s="2335"/>
      <c r="L38" s="2335"/>
      <c r="M38" s="2335"/>
      <c r="N38" s="2335"/>
      <c r="O38" s="2335"/>
      <c r="P38" s="2335"/>
      <c r="Q38" s="2335"/>
      <c r="R38" s="2335"/>
      <c r="S38" s="2335"/>
      <c r="T38" s="2335"/>
      <c r="U38" s="2335"/>
      <c r="V38" s="2335"/>
      <c r="W38" s="2335"/>
      <c r="X38" s="2336"/>
      <c r="Y38" s="2328">
        <f>IF(T24&gt;=(T23+Y23+AD23+AI23),T28+Y28,0)</f>
        <v>86229990.600000009</v>
      </c>
      <c r="Z38" s="2328"/>
      <c r="AA38" s="2328"/>
      <c r="AB38" s="2328"/>
      <c r="AC38" s="2328"/>
      <c r="AD38" s="2328">
        <f>IF(T24&gt;=(T23+Y23+AD23+AI23),AD28+AI28,0)</f>
        <v>0</v>
      </c>
      <c r="AE38" s="2328"/>
      <c r="AF38" s="2328"/>
      <c r="AG38" s="2328"/>
      <c r="AH38" s="2328"/>
    </row>
    <row r="39" spans="1:76" ht="13" customHeight="1">
      <c r="B39" s="2334" t="s">
        <v>1678</v>
      </c>
      <c r="C39" s="2335"/>
      <c r="D39" s="2335"/>
      <c r="E39" s="2335"/>
      <c r="F39" s="2335"/>
      <c r="G39" s="2335"/>
      <c r="H39" s="2335"/>
      <c r="I39" s="2335"/>
      <c r="J39" s="2335"/>
      <c r="K39" s="2335"/>
      <c r="L39" s="2335"/>
      <c r="M39" s="2335"/>
      <c r="N39" s="2335"/>
      <c r="O39" s="2335"/>
      <c r="P39" s="2335"/>
      <c r="Q39" s="2335"/>
      <c r="R39" s="2335"/>
      <c r="S39" s="2335"/>
      <c r="T39" s="2335"/>
      <c r="U39" s="2335"/>
      <c r="V39" s="2335"/>
      <c r="W39" s="2335"/>
      <c r="X39" s="2336"/>
      <c r="Y39" s="2376">
        <v>0.04</v>
      </c>
      <c r="Z39" s="2376"/>
      <c r="AA39" s="2376"/>
      <c r="AB39" s="2376"/>
      <c r="AC39" s="2376"/>
      <c r="AD39" s="2376">
        <v>0.04</v>
      </c>
      <c r="AE39" s="2376"/>
      <c r="AF39" s="2376"/>
      <c r="AG39" s="2376"/>
      <c r="AH39" s="2376"/>
    </row>
    <row r="40" spans="1:76" ht="13" customHeight="1">
      <c r="A40" s="404"/>
      <c r="B40" s="2334" t="s">
        <v>641</v>
      </c>
      <c r="C40" s="2335"/>
      <c r="D40" s="2335"/>
      <c r="E40" s="2335"/>
      <c r="F40" s="2335"/>
      <c r="G40" s="2335"/>
      <c r="H40" s="2335"/>
      <c r="I40" s="2335"/>
      <c r="J40" s="2335"/>
      <c r="K40" s="2335"/>
      <c r="L40" s="2335"/>
      <c r="M40" s="2335"/>
      <c r="N40" s="2335"/>
      <c r="O40" s="2335"/>
      <c r="P40" s="2335"/>
      <c r="Q40" s="2335"/>
      <c r="R40" s="2335"/>
      <c r="S40" s="2335"/>
      <c r="T40" s="2335"/>
      <c r="U40" s="2335"/>
      <c r="V40" s="2335"/>
      <c r="W40" s="2335"/>
      <c r="X40" s="2336"/>
      <c r="Y40" s="2328">
        <f>ROUND(Y38*Y39,0)</f>
        <v>3449200</v>
      </c>
      <c r="Z40" s="2328"/>
      <c r="AA40" s="2328"/>
      <c r="AB40" s="2328"/>
      <c r="AC40" s="2328"/>
      <c r="AD40" s="2327">
        <f>ROUND(AD38*AD39,0)</f>
        <v>0</v>
      </c>
      <c r="AE40" s="2328"/>
      <c r="AF40" s="2328"/>
      <c r="AG40" s="2328"/>
      <c r="AH40" s="2328"/>
    </row>
    <row r="41" spans="1:76" ht="13" customHeight="1">
      <c r="B41" s="2334" t="s">
        <v>642</v>
      </c>
      <c r="C41" s="2335"/>
      <c r="D41" s="2335"/>
      <c r="E41" s="2335"/>
      <c r="F41" s="2335"/>
      <c r="G41" s="2335"/>
      <c r="H41" s="2335"/>
      <c r="I41" s="2335"/>
      <c r="J41" s="2335"/>
      <c r="K41" s="2335"/>
      <c r="L41" s="2335"/>
      <c r="M41" s="2335"/>
      <c r="N41" s="2335"/>
      <c r="O41" s="2335"/>
      <c r="P41" s="2335"/>
      <c r="Q41" s="2335"/>
      <c r="R41" s="2335"/>
      <c r="S41" s="2335"/>
      <c r="T41" s="2335"/>
      <c r="U41" s="2335"/>
      <c r="V41" s="2335"/>
      <c r="W41" s="2335"/>
      <c r="X41" s="2336"/>
      <c r="Y41" s="2329">
        <f>Y40+AD40</f>
        <v>3449200</v>
      </c>
      <c r="Z41" s="2330"/>
      <c r="AA41" s="2330"/>
      <c r="AB41" s="2330"/>
      <c r="AC41" s="2330"/>
      <c r="AD41" s="2330"/>
      <c r="AE41" s="2330"/>
      <c r="AF41" s="2330"/>
      <c r="AG41" s="2330"/>
      <c r="AH41" s="2327"/>
    </row>
    <row r="42" spans="1:76" ht="13"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32" t="s">
        <v>1274</v>
      </c>
      <c r="B44" s="2332"/>
      <c r="C44" s="2332"/>
      <c r="D44" s="2332"/>
      <c r="E44" s="2332"/>
      <c r="F44" s="2332"/>
      <c r="G44" s="2332"/>
      <c r="H44" s="2332"/>
      <c r="I44" s="2332"/>
      <c r="J44" s="2332"/>
      <c r="K44" s="2332"/>
      <c r="L44" s="2332"/>
      <c r="M44" s="2332"/>
      <c r="N44" s="2332"/>
      <c r="O44" s="2332"/>
      <c r="P44" s="2332"/>
      <c r="Q44" s="2332"/>
      <c r="R44" s="2332"/>
      <c r="S44" s="2332"/>
      <c r="T44" s="2332"/>
      <c r="U44" s="2332"/>
      <c r="V44" s="2332"/>
      <c r="W44" s="2332"/>
      <c r="X44" s="2332"/>
      <c r="Y44" s="2332"/>
      <c r="Z44" s="2332"/>
      <c r="AA44" s="2332"/>
      <c r="AB44" s="2332"/>
      <c r="AC44" s="2332"/>
      <c r="AD44" s="2332"/>
      <c r="AE44" s="2332"/>
      <c r="AF44" s="2332"/>
      <c r="AG44" s="2332"/>
      <c r="AH44" s="2332"/>
      <c r="AI44" s="2332"/>
      <c r="AJ44" s="2332"/>
      <c r="AK44" s="2332"/>
      <c r="AL44" s="2332"/>
      <c r="AM44" s="2332"/>
      <c r="AN44" s="2332"/>
      <c r="AO44" s="2332"/>
      <c r="AP44" s="2332"/>
      <c r="AQ44" s="2332"/>
      <c r="AR44" s="2332"/>
      <c r="AS44" s="2332"/>
      <c r="AT44" s="2332"/>
      <c r="AU44" s="2332"/>
      <c r="AV44" s="2332"/>
      <c r="AW44" s="2332"/>
      <c r="AX44" s="2332"/>
      <c r="AY44" s="2332"/>
      <c r="AZ44" s="2332"/>
      <c r="BA44" s="2332"/>
      <c r="BB44" s="2332"/>
      <c r="BC44" s="2332"/>
      <c r="BD44" s="2332"/>
      <c r="BE44" s="2332"/>
      <c r="BF44" s="2332"/>
      <c r="BG44" s="2332"/>
      <c r="BH44" s="2332"/>
      <c r="BI44" s="2332"/>
      <c r="BJ44" s="2332"/>
      <c r="BK44" s="2332"/>
      <c r="BL44" s="2332"/>
      <c r="BM44" s="2332"/>
      <c r="BN44" s="2332"/>
      <c r="BO44" s="2332"/>
      <c r="BP44" s="2332"/>
      <c r="BQ44" s="2332"/>
      <c r="BR44" s="2332"/>
      <c r="BS44" s="2332"/>
      <c r="BT44" s="2332"/>
      <c r="BU44" s="2332"/>
      <c r="BV44" s="2332"/>
      <c r="BW44" s="2332"/>
      <c r="BX44" s="2332"/>
    </row>
    <row r="45" spans="1:76" s="204" customFormat="1" ht="13" customHeight="1" thickTop="1"/>
    <row r="46" spans="1:76" ht="13" customHeight="1">
      <c r="A46" s="404" t="s">
        <v>585</v>
      </c>
      <c r="C46" s="404" t="s">
        <v>281</v>
      </c>
    </row>
    <row r="47" spans="1:76" ht="13" customHeight="1">
      <c r="D47" s="404" t="s">
        <v>282</v>
      </c>
      <c r="AB47" s="2344">
        <f>'Sources and Uses Budget'!B105-MAX(IF('Sources and Uses Budget'!B15="",0,'Sources and Uses Budget'!B15),IF(Application!AG403="",0,Application!AG403))</f>
        <v>67459439</v>
      </c>
      <c r="AC47" s="2345"/>
      <c r="AD47" s="2345"/>
      <c r="AE47" s="2345"/>
      <c r="AF47" s="2346"/>
    </row>
    <row r="48" spans="1:76" ht="13" customHeight="1">
      <c r="D48" s="404" t="s">
        <v>21</v>
      </c>
      <c r="AB48" s="2344">
        <f>Application!AO647-MAX(IF('Sources and Uses Budget'!B15="",0,'Sources and Uses Budget'!B15),IF(Application!AG403="",0,Application!AG403))</f>
        <v>34405127</v>
      </c>
      <c r="AC48" s="2345"/>
      <c r="AD48" s="2345"/>
      <c r="AE48" s="2345"/>
      <c r="AF48" s="2346"/>
    </row>
    <row r="49" spans="1:76" ht="13" customHeight="1">
      <c r="D49" s="404" t="s">
        <v>91</v>
      </c>
      <c r="AB49" s="2344">
        <f>AB47-AB48</f>
        <v>33054312</v>
      </c>
      <c r="AC49" s="2345"/>
      <c r="AD49" s="2345"/>
      <c r="AE49" s="2345"/>
      <c r="AF49" s="2346"/>
    </row>
    <row r="50" spans="1:76" ht="13" customHeight="1">
      <c r="D50" s="404" t="s">
        <v>680</v>
      </c>
      <c r="AA50" s="415"/>
      <c r="AB50" s="2371">
        <v>0.8</v>
      </c>
      <c r="AC50" s="2372"/>
      <c r="AD50" s="2372"/>
      <c r="AE50" s="2372"/>
      <c r="AF50" s="2373"/>
    </row>
    <row r="51" spans="1:76" s="417" customFormat="1" ht="13" customHeight="1">
      <c r="A51" s="402"/>
      <c r="B51" s="402"/>
      <c r="C51" s="402"/>
      <c r="D51" s="402"/>
      <c r="E51" s="2374" t="s">
        <v>2534</v>
      </c>
      <c r="F51" s="2374"/>
      <c r="G51" s="2374"/>
      <c r="H51" s="2374"/>
      <c r="I51" s="2374"/>
      <c r="J51" s="2374"/>
      <c r="K51" s="2374"/>
      <c r="L51" s="2374"/>
      <c r="M51" s="2374"/>
      <c r="N51" s="2374"/>
      <c r="O51" s="2374"/>
      <c r="P51" s="2374"/>
      <c r="Q51" s="2374"/>
      <c r="R51" s="2374"/>
      <c r="S51" s="2374"/>
      <c r="T51" s="2374"/>
      <c r="U51" s="2374"/>
      <c r="V51" s="2374"/>
      <c r="W51" s="2374"/>
      <c r="X51" s="2374"/>
      <c r="Y51" s="2374"/>
      <c r="Z51" s="2374"/>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74"/>
      <c r="F52" s="2374"/>
      <c r="G52" s="2374"/>
      <c r="H52" s="2374"/>
      <c r="I52" s="2374"/>
      <c r="J52" s="2374"/>
      <c r="K52" s="2374"/>
      <c r="L52" s="2374"/>
      <c r="M52" s="2374"/>
      <c r="N52" s="2374"/>
      <c r="O52" s="2374"/>
      <c r="P52" s="2374"/>
      <c r="Q52" s="2374"/>
      <c r="R52" s="2374"/>
      <c r="S52" s="2374"/>
      <c r="T52" s="2374"/>
      <c r="U52" s="2374"/>
      <c r="V52" s="2374"/>
      <c r="W52" s="2374"/>
      <c r="X52" s="2374"/>
      <c r="Y52" s="2374"/>
      <c r="Z52" s="2374"/>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331</v>
      </c>
      <c r="AB54" s="2344">
        <f>ROUND(IF(ISERROR((AB49/AB50)),0,(AB49/AB50)),0)</f>
        <v>41317890</v>
      </c>
      <c r="AC54" s="2345"/>
      <c r="AD54" s="2345"/>
      <c r="AE54" s="2345"/>
      <c r="AF54" s="2346"/>
    </row>
    <row r="55" spans="1:76" ht="13" customHeight="1">
      <c r="D55" s="404" t="s">
        <v>332</v>
      </c>
      <c r="AB55" s="2344">
        <f>(AB54/10)</f>
        <v>4131789</v>
      </c>
      <c r="AC55" s="2345"/>
      <c r="AD55" s="2345"/>
      <c r="AE55" s="2345"/>
      <c r="AF55" s="2346"/>
    </row>
    <row r="56" spans="1:76" ht="13" customHeight="1">
      <c r="D56" s="404" t="s">
        <v>755</v>
      </c>
      <c r="AB56" s="2344">
        <f>ROUND((IF((Y41&lt;AB55),Y41,AB55)),0)</f>
        <v>3449200</v>
      </c>
      <c r="AC56" s="2345"/>
      <c r="AD56" s="2345"/>
      <c r="AE56" s="2345"/>
      <c r="AF56" s="2346"/>
    </row>
    <row r="57" spans="1:76" ht="13" customHeight="1">
      <c r="D57" s="404" t="s">
        <v>754</v>
      </c>
      <c r="AB57" s="2344">
        <f>ROUND((10*AB56*AB50),0)</f>
        <v>27593600</v>
      </c>
      <c r="AC57" s="2345"/>
      <c r="AD57" s="2345"/>
      <c r="AE57" s="2345"/>
      <c r="AF57" s="2346"/>
    </row>
    <row r="58" spans="1:76" ht="13" customHeight="1">
      <c r="D58" s="404"/>
      <c r="AB58" s="423"/>
      <c r="AC58" s="423"/>
      <c r="AD58" s="423"/>
      <c r="AE58" s="423"/>
      <c r="AF58" s="423"/>
    </row>
    <row r="59" spans="1:76" ht="13" customHeight="1">
      <c r="D59" s="404" t="s">
        <v>753</v>
      </c>
      <c r="AB59" s="2367">
        <f>AB49-AB57</f>
        <v>5460712</v>
      </c>
      <c r="AC59" s="2367"/>
      <c r="AD59" s="2367"/>
      <c r="AE59" s="2367"/>
      <c r="AF59" s="2367"/>
    </row>
    <row r="60" spans="1:76" ht="13" customHeight="1">
      <c r="D60" s="404"/>
      <c r="AB60" s="423"/>
      <c r="AC60" s="423"/>
      <c r="AD60" s="423"/>
      <c r="AE60" s="423"/>
      <c r="AF60" s="423"/>
    </row>
    <row r="61" spans="1:76" s="204" customFormat="1" ht="13" customHeight="1" thickBot="1">
      <c r="A61" s="2332" t="str">
        <f>IF(Application!AP205="yes","Farmworker State Credit", "State Credit" )</f>
        <v>State Credit</v>
      </c>
      <c r="B61" s="2332"/>
      <c r="C61" s="2332"/>
      <c r="D61" s="2332"/>
      <c r="E61" s="2332"/>
      <c r="F61" s="2332"/>
      <c r="G61" s="2332"/>
      <c r="H61" s="2332"/>
      <c r="I61" s="2332"/>
      <c r="J61" s="2332"/>
      <c r="K61" s="2332"/>
      <c r="L61" s="2332"/>
      <c r="M61" s="2332"/>
      <c r="N61" s="2332"/>
      <c r="O61" s="2332"/>
      <c r="P61" s="2332"/>
      <c r="Q61" s="2332"/>
      <c r="R61" s="2332"/>
      <c r="S61" s="2332"/>
      <c r="T61" s="2332"/>
      <c r="U61" s="2332"/>
      <c r="V61" s="2332"/>
      <c r="W61" s="2332"/>
      <c r="X61" s="2332"/>
      <c r="Y61" s="2332"/>
      <c r="Z61" s="2332"/>
      <c r="AA61" s="2332"/>
      <c r="AB61" s="2332"/>
      <c r="AC61" s="2332"/>
      <c r="AD61" s="2332"/>
      <c r="AE61" s="2332"/>
      <c r="AF61" s="2332"/>
      <c r="AG61" s="2332"/>
      <c r="AH61" s="2332"/>
      <c r="AI61" s="2332"/>
      <c r="AJ61" s="2332"/>
      <c r="AK61" s="2332"/>
      <c r="AL61" s="2332"/>
      <c r="AM61" s="2332"/>
      <c r="AN61" s="2332"/>
      <c r="AO61" s="2332"/>
      <c r="AP61" s="2332"/>
      <c r="AQ61" s="2332"/>
      <c r="AR61" s="2332"/>
      <c r="AS61" s="2332"/>
      <c r="AT61" s="2332"/>
      <c r="AU61" s="2332"/>
      <c r="AV61" s="2332"/>
      <c r="AW61" s="2332"/>
      <c r="AX61" s="2332"/>
      <c r="AY61" s="2332"/>
      <c r="AZ61" s="2332"/>
      <c r="BA61" s="2332"/>
      <c r="BB61" s="2332"/>
      <c r="BC61" s="2332"/>
      <c r="BD61" s="2332"/>
      <c r="BE61" s="2332"/>
      <c r="BF61" s="2332"/>
      <c r="BG61" s="2332"/>
      <c r="BH61" s="2332"/>
      <c r="BI61" s="2332"/>
      <c r="BJ61" s="2332"/>
      <c r="BK61" s="2332"/>
      <c r="BL61" s="2332"/>
      <c r="BM61" s="2332"/>
      <c r="BN61" s="2332"/>
      <c r="BO61" s="2332"/>
      <c r="BP61" s="2332"/>
      <c r="BQ61" s="2332"/>
      <c r="BR61" s="2332"/>
      <c r="BS61" s="2332"/>
      <c r="BT61" s="2332"/>
      <c r="BU61" s="2332"/>
      <c r="BV61" s="2332"/>
      <c r="BW61" s="2332"/>
      <c r="BX61" s="2332"/>
    </row>
    <row r="62" spans="1:76" s="204" customFormat="1" ht="13" customHeight="1" thickTop="1"/>
    <row r="63" spans="1:76" ht="13" customHeight="1">
      <c r="A63" s="404" t="s">
        <v>588</v>
      </c>
      <c r="C63" s="205" t="s">
        <v>1246</v>
      </c>
      <c r="Y63" s="2368" t="s">
        <v>982</v>
      </c>
      <c r="Z63" s="2368"/>
      <c r="AA63" s="2368"/>
      <c r="AB63" s="2368"/>
      <c r="AC63" s="2368"/>
      <c r="AD63" s="2368" t="s">
        <v>368</v>
      </c>
      <c r="AE63" s="2368"/>
      <c r="AF63" s="2368"/>
      <c r="AG63" s="2368"/>
      <c r="AH63" s="2368"/>
    </row>
    <row r="64" spans="1:76" ht="13" customHeight="1">
      <c r="C64" s="404"/>
      <c r="D64" s="377" t="s">
        <v>1247</v>
      </c>
      <c r="E64" s="420"/>
      <c r="F64" s="420"/>
      <c r="G64" s="420"/>
      <c r="H64" s="420"/>
      <c r="I64" s="420"/>
      <c r="J64" s="420"/>
      <c r="K64" s="420"/>
      <c r="L64" s="420"/>
      <c r="M64" s="420"/>
      <c r="N64" s="420"/>
      <c r="O64" s="420"/>
      <c r="P64" s="420"/>
      <c r="Q64" s="420"/>
      <c r="R64" s="420"/>
      <c r="S64" s="420"/>
      <c r="T64" s="420"/>
      <c r="U64" s="420"/>
      <c r="V64" s="420"/>
      <c r="W64" s="420"/>
      <c r="X64" s="420"/>
      <c r="Y64" s="2329">
        <f>IF(Application!$Z$205="(select)",0,((T23*T27)+Y28))</f>
        <v>66330762</v>
      </c>
      <c r="Z64" s="2369"/>
      <c r="AA64" s="2369"/>
      <c r="AB64" s="2369"/>
      <c r="AC64" s="2370"/>
      <c r="AD64" s="2329">
        <f>IF(AND(OR(Application!D211="At-Risk",Application!D211="At-Risk and Special Needs"),Application!M367="yes"),AD28+AI28,0)</f>
        <v>0</v>
      </c>
      <c r="AE64" s="2369"/>
      <c r="AF64" s="2369"/>
      <c r="AG64" s="2369"/>
      <c r="AH64" s="2370"/>
    </row>
    <row r="65" spans="1:37" ht="13" customHeight="1">
      <c r="C65" s="404"/>
      <c r="E65" s="1012" t="s">
        <v>1823</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1824</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3"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82">
        <f>IF(OR(Application!Z205="State Farmworker Credit",Application!Z205="$500M (Farmworker Housing)"),0.75,IF(Application!Z205="15% set-aside",0.13,IF(Application!Z205="15% set-aside with qualifying low value rehab",0.95,IF(Application!Z205="$500M",0.3,0))))</f>
        <v>0.3</v>
      </c>
      <c r="Z67" s="2382"/>
      <c r="AA67" s="2382"/>
      <c r="AB67" s="2382"/>
      <c r="AC67" s="2382"/>
      <c r="AD67" s="2382">
        <f>IF(Application!Z205="15% set-aside with qualifying low value rehab", 0.95,IF(OR(Application!D211="At-Risk",'Points System'!B26="Yes"),0.13,0))</f>
        <v>0</v>
      </c>
      <c r="AE67" s="2382"/>
      <c r="AF67" s="2382"/>
      <c r="AG67" s="2382"/>
      <c r="AH67" s="2382"/>
    </row>
    <row r="68" spans="1:37" ht="13" customHeight="1">
      <c r="C68" s="404"/>
      <c r="D68" s="205" t="s">
        <v>2177</v>
      </c>
      <c r="Y68" s="2328">
        <f>IF(AND(T25=1.3,OR(Y67=0.13,Y67=0.95),NOT(Application!T212&gt;=50%)),0,ROUND(Y64*Y67,0))</f>
        <v>19899229</v>
      </c>
      <c r="Z68" s="2383"/>
      <c r="AA68" s="2383"/>
      <c r="AB68" s="2383"/>
      <c r="AC68" s="2383"/>
      <c r="AD68" s="2328">
        <f>IF(AND(T25=1.3,AD67&gt;0,NOT(Application!T212&gt;=50%)),0,ROUND(AD64*AD67,0))</f>
        <v>0</v>
      </c>
      <c r="AE68" s="2383"/>
      <c r="AF68" s="2383"/>
      <c r="AG68" s="2383"/>
      <c r="AH68" s="2383"/>
      <c r="AK68" s="1192"/>
    </row>
    <row r="69" spans="1:37" ht="13" customHeight="1">
      <c r="C69" s="404"/>
      <c r="D69" s="205" t="s">
        <v>2178</v>
      </c>
      <c r="Y69" s="2328">
        <f>IF(OR(Application!Z205="State Farmworker Credit",Application!Z205="$500M (Farmworker Housing)"),Y68+AD68,MIN(Y68+AD68,200000*(Application!G761+Application!O785)))</f>
        <v>19899229</v>
      </c>
      <c r="Z69" s="2328"/>
      <c r="AA69" s="2328"/>
      <c r="AB69" s="2328"/>
      <c r="AC69" s="2328"/>
      <c r="AD69" s="2328"/>
      <c r="AE69" s="2328"/>
      <c r="AF69" s="2328"/>
      <c r="AG69" s="2328"/>
      <c r="AH69" s="2328"/>
    </row>
    <row r="70" spans="1:37" ht="13" customHeight="1">
      <c r="C70" s="404"/>
      <c r="E70" s="404"/>
      <c r="AB70" s="422"/>
      <c r="AC70" s="422"/>
      <c r="AD70" s="422"/>
      <c r="AE70" s="422"/>
      <c r="AF70" s="422"/>
    </row>
    <row r="71" spans="1:37" ht="13" customHeight="1">
      <c r="A71" s="404" t="s">
        <v>589</v>
      </c>
      <c r="C71" s="205" t="s">
        <v>283</v>
      </c>
    </row>
    <row r="72" spans="1:37" ht="13" customHeight="1">
      <c r="A72" s="404"/>
      <c r="C72" s="404"/>
      <c r="D72" s="205" t="s">
        <v>1248</v>
      </c>
      <c r="AB72" s="2371">
        <v>0.88953433400000004</v>
      </c>
      <c r="AC72" s="2372"/>
      <c r="AD72" s="2372"/>
      <c r="AE72" s="2372"/>
      <c r="AF72" s="2373"/>
    </row>
    <row r="73" spans="1:37" ht="13" customHeight="1">
      <c r="A73" s="404"/>
      <c r="C73" s="404"/>
      <c r="D73" s="404"/>
      <c r="E73" s="2384" t="s">
        <v>1249</v>
      </c>
      <c r="F73" s="2384"/>
      <c r="G73" s="2384"/>
      <c r="H73" s="2384"/>
      <c r="I73" s="2384"/>
      <c r="J73" s="2384"/>
      <c r="K73" s="2384"/>
      <c r="L73" s="2384"/>
      <c r="M73" s="2384"/>
      <c r="N73" s="2384"/>
      <c r="O73" s="2384"/>
      <c r="P73" s="2384"/>
      <c r="Q73" s="2384"/>
      <c r="R73" s="2384"/>
      <c r="S73" s="2384"/>
      <c r="T73" s="2384"/>
      <c r="U73" s="2384"/>
      <c r="V73" s="2384"/>
      <c r="W73" s="2384"/>
      <c r="X73" s="2384"/>
      <c r="Y73" s="2384"/>
      <c r="Z73" s="2384"/>
      <c r="AA73" s="2384"/>
      <c r="AB73" s="438"/>
      <c r="AC73" s="438"/>
    </row>
    <row r="74" spans="1:37" ht="13" customHeight="1">
      <c r="A74" s="404"/>
      <c r="C74" s="404"/>
      <c r="D74" s="404"/>
      <c r="E74" s="2384"/>
      <c r="F74" s="2384"/>
      <c r="G74" s="2384"/>
      <c r="H74" s="2384"/>
      <c r="I74" s="2384"/>
      <c r="J74" s="2384"/>
      <c r="K74" s="2384"/>
      <c r="L74" s="2384"/>
      <c r="M74" s="2384"/>
      <c r="N74" s="2384"/>
      <c r="O74" s="2384"/>
      <c r="P74" s="2384"/>
      <c r="Q74" s="2384"/>
      <c r="R74" s="2384"/>
      <c r="S74" s="2384"/>
      <c r="T74" s="2384"/>
      <c r="U74" s="2384"/>
      <c r="V74" s="2384"/>
      <c r="W74" s="2384"/>
      <c r="X74" s="2384"/>
      <c r="Y74" s="2384"/>
      <c r="Z74" s="2384"/>
      <c r="AA74" s="2384"/>
      <c r="AB74" s="438"/>
      <c r="AC74" s="438"/>
    </row>
    <row r="75" spans="1:37" ht="13" customHeight="1">
      <c r="A75" s="404"/>
      <c r="C75" s="404"/>
      <c r="D75" s="404"/>
      <c r="E75" s="2384"/>
      <c r="F75" s="2384"/>
      <c r="G75" s="2384"/>
      <c r="H75" s="2384"/>
      <c r="I75" s="2384"/>
      <c r="J75" s="2384"/>
      <c r="K75" s="2384"/>
      <c r="L75" s="2384"/>
      <c r="M75" s="2384"/>
      <c r="N75" s="2384"/>
      <c r="O75" s="2384"/>
      <c r="P75" s="2384"/>
      <c r="Q75" s="2384"/>
      <c r="R75" s="2384"/>
      <c r="S75" s="2384"/>
      <c r="T75" s="2384"/>
      <c r="U75" s="2384"/>
      <c r="V75" s="2384"/>
      <c r="W75" s="2384"/>
      <c r="X75" s="2384"/>
      <c r="Y75" s="2384"/>
      <c r="Z75" s="2384"/>
      <c r="AA75" s="2384"/>
      <c r="AB75" s="438"/>
      <c r="AC75" s="438"/>
    </row>
    <row r="76" spans="1:37"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3" customHeight="1">
      <c r="C77" s="404"/>
      <c r="D77" s="205" t="s">
        <v>1250</v>
      </c>
      <c r="AB77" s="2377">
        <f>ROUND(IF(ISERROR((AB59/AB72)),0,(AB59/AB72)),0)</f>
        <v>6138843</v>
      </c>
      <c r="AC77" s="2377"/>
      <c r="AD77" s="2377"/>
      <c r="AE77" s="2377"/>
      <c r="AF77" s="2377"/>
    </row>
    <row r="78" spans="1:37" ht="13" customHeight="1">
      <c r="C78" s="404"/>
      <c r="D78" s="205" t="s">
        <v>1251</v>
      </c>
      <c r="AB78" s="2378">
        <f>ROUNDUP(MIN(Y69,AB77),0)</f>
        <v>6138843</v>
      </c>
      <c r="AC78" s="2379"/>
      <c r="AD78" s="2379"/>
      <c r="AE78" s="2379"/>
      <c r="AF78" s="2380"/>
    </row>
    <row r="79" spans="1:37" ht="13" customHeight="1">
      <c r="C79" s="404"/>
      <c r="D79" s="205" t="s">
        <v>1252</v>
      </c>
      <c r="AB79" s="2381">
        <f>AB78*AB72</f>
        <v>5460711.6195355626</v>
      </c>
      <c r="AC79" s="2381"/>
      <c r="AD79" s="2381"/>
      <c r="AE79" s="2381"/>
      <c r="AF79" s="2381"/>
    </row>
    <row r="80" spans="1:37" ht="13" customHeight="1">
      <c r="C80" s="404"/>
      <c r="D80" s="404"/>
      <c r="AB80" s="425"/>
      <c r="AC80" s="425"/>
      <c r="AD80" s="425"/>
      <c r="AE80" s="425"/>
      <c r="AF80" s="425"/>
    </row>
    <row r="81" spans="1:78" ht="13" customHeight="1">
      <c r="D81" s="404" t="s">
        <v>753</v>
      </c>
      <c r="AB81" s="2367">
        <f>AB49-(AB57+AB79)</f>
        <v>0.38046443834900856</v>
      </c>
      <c r="AC81" s="2367"/>
      <c r="AD81" s="2367"/>
      <c r="AE81" s="2367"/>
      <c r="AF81" s="2367"/>
    </row>
    <row r="82" spans="1:78" ht="13" customHeight="1">
      <c r="F82" s="522"/>
      <c r="J82" s="522" t="str">
        <f>IF(AB81&gt;0,"FUNDING GAP MUST NOT EXCEED ZERO","")</f>
        <v>FUNDING GAP MUST NOT EXCEED ZERO</v>
      </c>
    </row>
    <row r="83" spans="1:78" ht="13" customHeight="1">
      <c r="D83" s="523"/>
    </row>
    <row r="84" spans="1:78" ht="13" customHeight="1" thickBot="1">
      <c r="A84" s="2332"/>
      <c r="B84" s="2332"/>
      <c r="C84" s="2332"/>
      <c r="D84" s="2332"/>
      <c r="E84" s="2332"/>
      <c r="F84" s="2332"/>
      <c r="G84" s="2332"/>
      <c r="H84" s="2332"/>
      <c r="I84" s="2332"/>
      <c r="J84" s="2332"/>
      <c r="K84" s="2332"/>
      <c r="L84" s="2332"/>
      <c r="M84" s="2332"/>
      <c r="N84" s="2332"/>
      <c r="O84" s="2332"/>
      <c r="P84" s="2332"/>
      <c r="Q84" s="2332"/>
      <c r="R84" s="2332"/>
      <c r="S84" s="2332"/>
      <c r="T84" s="2332"/>
      <c r="U84" s="2332"/>
      <c r="V84" s="2332"/>
      <c r="W84" s="2332"/>
      <c r="X84" s="2332"/>
      <c r="Y84" s="2332"/>
      <c r="Z84" s="2332"/>
      <c r="AA84" s="2332"/>
      <c r="AB84" s="2332"/>
      <c r="AC84" s="2332"/>
      <c r="AD84" s="2332"/>
      <c r="AE84" s="2332"/>
      <c r="AF84" s="2332"/>
      <c r="AG84" s="2332"/>
      <c r="AH84" s="2332"/>
      <c r="AI84" s="2332"/>
      <c r="AJ84" s="2332"/>
      <c r="AK84" s="2332"/>
      <c r="AL84" s="2332"/>
      <c r="AM84" s="2332"/>
      <c r="AN84" s="2332"/>
      <c r="AO84" s="2332"/>
      <c r="AP84" s="2332"/>
      <c r="AQ84" s="2332"/>
      <c r="AR84" s="2332"/>
      <c r="AS84" s="2332"/>
      <c r="AT84" s="2332"/>
      <c r="AU84" s="2332"/>
      <c r="AV84" s="2332"/>
      <c r="AW84" s="2332"/>
      <c r="AX84" s="2332"/>
      <c r="AY84" s="2332"/>
      <c r="AZ84" s="2332"/>
      <c r="BA84" s="2332"/>
      <c r="BB84" s="2332"/>
      <c r="BC84" s="2332"/>
      <c r="BD84" s="2332"/>
      <c r="BE84" s="2332"/>
      <c r="BF84" s="2332"/>
      <c r="BG84" s="2332"/>
      <c r="BH84" s="2332"/>
      <c r="BI84" s="2332"/>
      <c r="BJ84" s="2332"/>
      <c r="BK84" s="2332"/>
      <c r="BL84" s="2332"/>
      <c r="BM84" s="2332"/>
      <c r="BN84" s="2332"/>
      <c r="BO84" s="2332"/>
      <c r="BP84" s="2332"/>
      <c r="BQ84" s="2332"/>
      <c r="BR84" s="2332"/>
      <c r="BS84" s="2332"/>
      <c r="BT84" s="2332"/>
      <c r="BU84" s="2332"/>
      <c r="BV84" s="2332"/>
      <c r="BW84" s="2332"/>
      <c r="BX84" s="2332"/>
    </row>
    <row r="85" spans="1:78" ht="13" customHeight="1" thickTop="1"/>
    <row r="86" spans="1:78" ht="13" hidden="1" customHeight="1">
      <c r="A86" s="404"/>
      <c r="C86" s="205"/>
    </row>
    <row r="87" spans="1:78" ht="13" hidden="1" customHeight="1">
      <c r="D87" s="205"/>
      <c r="AB87" s="2333"/>
      <c r="AC87" s="2333"/>
      <c r="AD87" s="2333"/>
      <c r="AE87" s="2333"/>
      <c r="AF87" s="2333"/>
    </row>
    <row r="88" spans="1:78" ht="13" hidden="1" customHeight="1" thickBot="1">
      <c r="D88" s="205"/>
      <c r="AB88" s="2331"/>
      <c r="AC88" s="2331"/>
      <c r="AD88" s="2331"/>
      <c r="AE88" s="2331"/>
      <c r="AF88" s="2331"/>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798" workbookViewId="0">
      <selection activeCell="AM158" sqref="AM158"/>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4"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1" ht="15.75" customHeight="1">
      <c r="A1" s="2616" t="s">
        <v>1297</v>
      </c>
      <c r="B1" s="2616"/>
      <c r="C1" s="2616"/>
      <c r="D1" s="2616"/>
      <c r="E1" s="2616"/>
      <c r="F1" s="2616"/>
      <c r="G1" s="2616"/>
      <c r="H1" s="2616"/>
      <c r="I1" s="2616"/>
      <c r="J1" s="2616"/>
      <c r="K1" s="2616"/>
      <c r="L1" s="2616"/>
      <c r="M1" s="2616"/>
      <c r="N1" s="2616"/>
      <c r="O1" s="2616"/>
      <c r="P1" s="2616"/>
      <c r="Q1" s="2616"/>
      <c r="R1" s="2616"/>
      <c r="S1" s="2616"/>
      <c r="T1" s="2616"/>
      <c r="U1" s="2616"/>
      <c r="V1" s="2616"/>
      <c r="W1" s="2616"/>
      <c r="X1" s="2616"/>
      <c r="Y1" s="2616"/>
      <c r="Z1" s="2616"/>
      <c r="AA1" s="2616"/>
      <c r="AB1" s="2616"/>
      <c r="AC1" s="2616"/>
      <c r="AD1" s="2616"/>
      <c r="AE1" s="2616"/>
      <c r="AF1" s="2616"/>
      <c r="AG1" s="2616"/>
      <c r="AH1" s="2616"/>
      <c r="AI1" s="2616"/>
      <c r="AJ1" s="2616"/>
      <c r="AK1" s="2616"/>
      <c r="AL1" s="2616"/>
      <c r="AM1" s="2616"/>
    </row>
    <row r="2" spans="1:41" s="536" customFormat="1" ht="12.75" customHeight="1" thickBot="1">
      <c r="A2" s="2617"/>
      <c r="B2" s="2617"/>
      <c r="C2" s="2617"/>
      <c r="D2" s="2617"/>
      <c r="E2" s="2617"/>
      <c r="F2" s="2617"/>
      <c r="G2" s="2617"/>
      <c r="H2" s="2617"/>
      <c r="I2" s="2617"/>
      <c r="J2" s="2617"/>
      <c r="K2" s="2617"/>
      <c r="L2" s="2617"/>
      <c r="M2" s="2617"/>
      <c r="N2" s="2617"/>
      <c r="O2" s="2617"/>
      <c r="P2" s="2617"/>
      <c r="Q2" s="2617"/>
      <c r="R2" s="2617"/>
      <c r="S2" s="2617"/>
      <c r="T2" s="2617"/>
      <c r="U2" s="2617"/>
      <c r="V2" s="2617"/>
      <c r="W2" s="2617"/>
      <c r="X2" s="2617"/>
      <c r="Y2" s="2617"/>
      <c r="Z2" s="2617"/>
      <c r="AA2" s="2617"/>
      <c r="AB2" s="2617"/>
      <c r="AC2" s="2617"/>
      <c r="AD2" s="2617"/>
      <c r="AE2" s="2617"/>
      <c r="AF2" s="2617"/>
      <c r="AG2" s="2617"/>
      <c r="AH2" s="2617"/>
      <c r="AI2" s="2617"/>
      <c r="AJ2" s="2617"/>
      <c r="AK2" s="2617"/>
      <c r="AL2" s="2617"/>
      <c r="AM2" s="2617"/>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1298</v>
      </c>
      <c r="B4" s="539" t="s">
        <v>1299</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1300</v>
      </c>
      <c r="B7" s="539" t="s">
        <v>2547</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45" t="s">
        <v>1301</v>
      </c>
      <c r="AF7" s="2445"/>
      <c r="AG7" s="2445"/>
      <c r="AH7" s="2445"/>
      <c r="AI7" s="2445"/>
      <c r="AJ7" s="2445"/>
      <c r="AK7" s="2445"/>
      <c r="AL7" s="540"/>
      <c r="AM7" s="540"/>
      <c r="AN7" s="535"/>
    </row>
    <row r="8" spans="1:41" s="536" customFormat="1" ht="12.75" customHeight="1">
      <c r="A8" s="538"/>
      <c r="B8" s="539" t="s">
        <v>1716</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2550</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87" t="s">
        <v>590</v>
      </c>
      <c r="C12" s="2587"/>
      <c r="D12" s="540"/>
      <c r="E12" s="2448" t="s">
        <v>2548</v>
      </c>
      <c r="F12" s="2449"/>
      <c r="G12" s="2449"/>
      <c r="H12" s="2449"/>
      <c r="I12" s="2449"/>
      <c r="J12" s="2449"/>
      <c r="K12" s="2449"/>
      <c r="L12" s="2449"/>
      <c r="M12" s="2449"/>
      <c r="N12" s="2449"/>
      <c r="O12" s="2449"/>
      <c r="P12" s="2449"/>
      <c r="Q12" s="2449"/>
      <c r="R12" s="2449"/>
      <c r="S12" s="2449"/>
      <c r="T12" s="2449"/>
      <c r="U12" s="2449"/>
      <c r="V12" s="2449"/>
      <c r="W12" s="2449"/>
      <c r="X12" s="2449"/>
      <c r="Y12" s="2449"/>
      <c r="Z12" s="2449"/>
      <c r="AA12" s="2449"/>
      <c r="AB12" s="2449"/>
      <c r="AC12" s="2449"/>
      <c r="AD12" s="2449"/>
      <c r="AE12" s="2449"/>
      <c r="AF12" s="2449"/>
      <c r="AG12" s="2449"/>
      <c r="AH12" s="2449"/>
      <c r="AI12" s="2449"/>
      <c r="AJ12" s="2450"/>
      <c r="AK12" s="540"/>
      <c r="AL12" s="540"/>
      <c r="AM12" s="540"/>
      <c r="AN12" s="535"/>
      <c r="AO12" s="557"/>
    </row>
    <row r="13" spans="1:41" s="536" customFormat="1" ht="12.75" customHeight="1">
      <c r="A13" s="540"/>
      <c r="D13" s="546"/>
      <c r="E13" s="2451"/>
      <c r="F13" s="2452"/>
      <c r="G13" s="2452"/>
      <c r="H13" s="2452"/>
      <c r="I13" s="2452"/>
      <c r="J13" s="2452"/>
      <c r="K13" s="2452"/>
      <c r="L13" s="2452"/>
      <c r="M13" s="2452"/>
      <c r="N13" s="2452"/>
      <c r="O13" s="2452"/>
      <c r="P13" s="2452"/>
      <c r="Q13" s="2452"/>
      <c r="R13" s="2452"/>
      <c r="S13" s="2452"/>
      <c r="T13" s="2452"/>
      <c r="U13" s="2452"/>
      <c r="V13" s="2452"/>
      <c r="W13" s="2452"/>
      <c r="X13" s="2452"/>
      <c r="Y13" s="2452"/>
      <c r="Z13" s="2452"/>
      <c r="AA13" s="2452"/>
      <c r="AB13" s="2452"/>
      <c r="AC13" s="2452"/>
      <c r="AD13" s="2452"/>
      <c r="AE13" s="2452"/>
      <c r="AF13" s="2452"/>
      <c r="AG13" s="2452"/>
      <c r="AH13" s="2452"/>
      <c r="AI13" s="2452"/>
      <c r="AJ13" s="2453"/>
      <c r="AK13" s="540"/>
      <c r="AL13" s="540"/>
      <c r="AM13" s="540"/>
      <c r="AN13" s="535"/>
      <c r="AO13" s="557"/>
    </row>
    <row r="14" spans="1:41" s="536" customFormat="1" ht="12.75" customHeight="1">
      <c r="A14" s="540"/>
      <c r="D14" s="540"/>
      <c r="E14" s="2604"/>
      <c r="F14" s="2605"/>
      <c r="G14" s="2605"/>
      <c r="H14" s="2605"/>
      <c r="I14" s="2605"/>
      <c r="J14" s="2605"/>
      <c r="K14" s="2605"/>
      <c r="L14" s="2605"/>
      <c r="M14" s="2605"/>
      <c r="N14" s="2605"/>
      <c r="O14" s="2605"/>
      <c r="P14" s="2605"/>
      <c r="Q14" s="2605"/>
      <c r="R14" s="2605"/>
      <c r="S14" s="2605"/>
      <c r="T14" s="2605"/>
      <c r="U14" s="2605"/>
      <c r="V14" s="2605"/>
      <c r="W14" s="2605"/>
      <c r="X14" s="2605"/>
      <c r="Y14" s="2605"/>
      <c r="Z14" s="2605"/>
      <c r="AA14" s="2605"/>
      <c r="AB14" s="2605"/>
      <c r="AC14" s="2605"/>
      <c r="AD14" s="2605"/>
      <c r="AE14" s="2605"/>
      <c r="AF14" s="2605"/>
      <c r="AG14" s="2605"/>
      <c r="AH14" s="2605"/>
      <c r="AI14" s="2605"/>
      <c r="AJ14" s="2606"/>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87" t="s">
        <v>590</v>
      </c>
      <c r="C16" s="2587"/>
      <c r="D16" s="540"/>
      <c r="E16" s="2448" t="s">
        <v>2549</v>
      </c>
      <c r="F16" s="2449"/>
      <c r="G16" s="2449"/>
      <c r="H16" s="2449"/>
      <c r="I16" s="2449"/>
      <c r="J16" s="2449"/>
      <c r="K16" s="2449"/>
      <c r="L16" s="2449"/>
      <c r="M16" s="2449"/>
      <c r="N16" s="2449"/>
      <c r="O16" s="2449"/>
      <c r="P16" s="2449"/>
      <c r="Q16" s="2449"/>
      <c r="R16" s="2449"/>
      <c r="S16" s="2449"/>
      <c r="T16" s="2449"/>
      <c r="U16" s="2449"/>
      <c r="V16" s="2449"/>
      <c r="W16" s="2449"/>
      <c r="X16" s="2449"/>
      <c r="Y16" s="2449"/>
      <c r="Z16" s="2449"/>
      <c r="AA16" s="2449"/>
      <c r="AB16" s="2449"/>
      <c r="AC16" s="2449"/>
      <c r="AD16" s="2449"/>
      <c r="AE16" s="2449"/>
      <c r="AF16" s="2449"/>
      <c r="AG16" s="2449"/>
      <c r="AH16" s="2449"/>
      <c r="AI16" s="2449"/>
      <c r="AJ16" s="2450"/>
      <c r="AK16" s="540"/>
      <c r="AL16" s="540"/>
      <c r="AM16" s="540"/>
      <c r="AN16" s="535"/>
    </row>
    <row r="17" spans="1:50" s="536" customFormat="1" ht="12.75" customHeight="1">
      <c r="A17" s="540"/>
      <c r="B17" s="540"/>
      <c r="C17" s="540"/>
      <c r="D17" s="540"/>
      <c r="E17" s="2451"/>
      <c r="F17" s="2452"/>
      <c r="G17" s="2452"/>
      <c r="H17" s="2452"/>
      <c r="I17" s="2452"/>
      <c r="J17" s="2452"/>
      <c r="K17" s="2452"/>
      <c r="L17" s="2452"/>
      <c r="M17" s="2452"/>
      <c r="N17" s="2452"/>
      <c r="O17" s="2452"/>
      <c r="P17" s="2452"/>
      <c r="Q17" s="2452"/>
      <c r="R17" s="2452"/>
      <c r="S17" s="2452"/>
      <c r="T17" s="2452"/>
      <c r="U17" s="2452"/>
      <c r="V17" s="2452"/>
      <c r="W17" s="2452"/>
      <c r="X17" s="2452"/>
      <c r="Y17" s="2452"/>
      <c r="Z17" s="2452"/>
      <c r="AA17" s="2452"/>
      <c r="AB17" s="2452"/>
      <c r="AC17" s="2452"/>
      <c r="AD17" s="2452"/>
      <c r="AE17" s="2452"/>
      <c r="AF17" s="2452"/>
      <c r="AG17" s="2452"/>
      <c r="AH17" s="2452"/>
      <c r="AI17" s="2452"/>
      <c r="AJ17" s="2453"/>
      <c r="AK17" s="540"/>
      <c r="AL17" s="540"/>
      <c r="AM17" s="540"/>
      <c r="AN17" s="535"/>
    </row>
    <row r="18" spans="1:50" s="536" customFormat="1" ht="12.75" customHeight="1">
      <c r="A18" s="540"/>
      <c r="B18" s="540"/>
      <c r="C18" s="1135"/>
      <c r="D18" s="540"/>
      <c r="E18" s="2604"/>
      <c r="F18" s="2605"/>
      <c r="G18" s="2605"/>
      <c r="H18" s="2605"/>
      <c r="I18" s="2605"/>
      <c r="J18" s="2605"/>
      <c r="K18" s="2605"/>
      <c r="L18" s="2605"/>
      <c r="M18" s="2605"/>
      <c r="N18" s="2605"/>
      <c r="O18" s="2605"/>
      <c r="P18" s="2605"/>
      <c r="Q18" s="2605"/>
      <c r="R18" s="2605"/>
      <c r="S18" s="2605"/>
      <c r="T18" s="2605"/>
      <c r="U18" s="2605"/>
      <c r="V18" s="2605"/>
      <c r="W18" s="2605"/>
      <c r="X18" s="2605"/>
      <c r="Y18" s="2605"/>
      <c r="Z18" s="2605"/>
      <c r="AA18" s="2605"/>
      <c r="AB18" s="2605"/>
      <c r="AC18" s="2605"/>
      <c r="AD18" s="2605"/>
      <c r="AE18" s="2605"/>
      <c r="AF18" s="2605"/>
      <c r="AG18" s="2605"/>
      <c r="AH18" s="2605"/>
      <c r="AI18" s="2605"/>
      <c r="AJ18" s="2606"/>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87" t="s">
        <v>590</v>
      </c>
      <c r="C20" s="2587"/>
      <c r="D20" s="540"/>
      <c r="E20" s="2448" t="s">
        <v>1978</v>
      </c>
      <c r="F20" s="2449"/>
      <c r="G20" s="2449"/>
      <c r="H20" s="2449"/>
      <c r="I20" s="2449"/>
      <c r="J20" s="2449"/>
      <c r="K20" s="2449"/>
      <c r="L20" s="2449"/>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50"/>
      <c r="AK20" s="540"/>
      <c r="AL20" s="540"/>
      <c r="AM20" s="540"/>
      <c r="AN20" s="535"/>
    </row>
    <row r="21" spans="1:50" s="536" customFormat="1" ht="12.75" customHeight="1">
      <c r="A21" s="540"/>
      <c r="B21" s="546"/>
      <c r="C21" s="546"/>
      <c r="D21" s="546"/>
      <c r="E21" s="2604"/>
      <c r="F21" s="2605"/>
      <c r="G21" s="2605"/>
      <c r="H21" s="2605"/>
      <c r="I21" s="2605"/>
      <c r="J21" s="2605"/>
      <c r="K21" s="2605"/>
      <c r="L21" s="2605"/>
      <c r="M21" s="2605"/>
      <c r="N21" s="2605"/>
      <c r="O21" s="2605"/>
      <c r="P21" s="2605"/>
      <c r="Q21" s="2605"/>
      <c r="R21" s="2605"/>
      <c r="S21" s="2605"/>
      <c r="T21" s="2605"/>
      <c r="U21" s="2605"/>
      <c r="V21" s="2605"/>
      <c r="W21" s="2605"/>
      <c r="X21" s="2605"/>
      <c r="Y21" s="2605"/>
      <c r="Z21" s="2605"/>
      <c r="AA21" s="2605"/>
      <c r="AB21" s="2605"/>
      <c r="AC21" s="2605"/>
      <c r="AD21" s="2605"/>
      <c r="AE21" s="2605"/>
      <c r="AF21" s="2605"/>
      <c r="AG21" s="2605"/>
      <c r="AH21" s="2605"/>
      <c r="AI21" s="2605"/>
      <c r="AJ21" s="2606"/>
      <c r="AK21" s="540"/>
      <c r="AL21" s="540"/>
      <c r="AM21" s="540"/>
      <c r="AN21" s="535"/>
      <c r="AO21" s="536">
        <f>IF(AND(B12="Yes",B16="Yes",B20="Yes"),10,0)</f>
        <v>0</v>
      </c>
      <c r="AP21" s="536" t="s">
        <v>1303</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2551</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2552</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87" t="s">
        <v>590</v>
      </c>
      <c r="C26" s="2587"/>
      <c r="D26" s="546"/>
      <c r="E26" s="547" t="s">
        <v>1302</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18"/>
      <c r="AH26" s="2618"/>
      <c r="AI26" s="2618"/>
      <c r="AJ26" s="2619"/>
      <c r="AK26" s="540"/>
      <c r="AL26" s="540"/>
      <c r="AM26" s="540"/>
      <c r="AN26" s="535"/>
      <c r="AO26" s="536">
        <f>IF($B26="yes",20,0)</f>
        <v>0</v>
      </c>
      <c r="AP26" s="14" t="s">
        <v>1303</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2553</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87" t="s">
        <v>590</v>
      </c>
      <c r="C30" s="2587"/>
      <c r="D30" s="546"/>
      <c r="E30" s="2620" t="s">
        <v>2556</v>
      </c>
      <c r="F30" s="2621"/>
      <c r="G30" s="2621"/>
      <c r="H30" s="2621"/>
      <c r="I30" s="2621"/>
      <c r="J30" s="2621"/>
      <c r="K30" s="2621"/>
      <c r="L30" s="2621"/>
      <c r="M30" s="2621"/>
      <c r="N30" s="2621"/>
      <c r="O30" s="2621"/>
      <c r="P30" s="2621"/>
      <c r="Q30" s="2621"/>
      <c r="R30" s="2621"/>
      <c r="S30" s="2621"/>
      <c r="T30" s="2621"/>
      <c r="U30" s="2621"/>
      <c r="V30" s="2621"/>
      <c r="W30" s="2621"/>
      <c r="X30" s="2621"/>
      <c r="Y30" s="2621"/>
      <c r="Z30" s="2621"/>
      <c r="AA30" s="2621"/>
      <c r="AB30" s="2621"/>
      <c r="AC30" s="2621"/>
      <c r="AD30" s="2621"/>
      <c r="AE30" s="2621"/>
      <c r="AF30" s="2621"/>
      <c r="AG30" s="2621"/>
      <c r="AH30" s="2621"/>
      <c r="AI30" s="2621"/>
      <c r="AJ30" s="2622"/>
      <c r="AK30" s="540"/>
      <c r="AL30" s="540"/>
      <c r="AM30" s="540"/>
      <c r="AN30" s="535"/>
      <c r="AO30" s="549">
        <f>IF($B30="yes",9,0)</f>
        <v>0</v>
      </c>
    </row>
    <row r="31" spans="1:50" s="536" customFormat="1" ht="12.75" customHeight="1">
      <c r="A31" s="540"/>
      <c r="B31" s="540"/>
      <c r="C31" s="540"/>
      <c r="E31" s="2626"/>
      <c r="F31" s="2627"/>
      <c r="G31" s="2627"/>
      <c r="H31" s="2627"/>
      <c r="I31" s="2627"/>
      <c r="J31" s="2627"/>
      <c r="K31" s="2627"/>
      <c r="L31" s="2627"/>
      <c r="M31" s="2627"/>
      <c r="N31" s="2627"/>
      <c r="O31" s="2627"/>
      <c r="P31" s="2627"/>
      <c r="Q31" s="2627"/>
      <c r="R31" s="2627"/>
      <c r="S31" s="2627"/>
      <c r="T31" s="2627"/>
      <c r="U31" s="2627"/>
      <c r="V31" s="2627"/>
      <c r="W31" s="2627"/>
      <c r="X31" s="2627"/>
      <c r="Y31" s="2627"/>
      <c r="Z31" s="2627"/>
      <c r="AA31" s="2627"/>
      <c r="AB31" s="2627"/>
      <c r="AC31" s="2627"/>
      <c r="AD31" s="2627"/>
      <c r="AE31" s="2627"/>
      <c r="AF31" s="2627"/>
      <c r="AG31" s="2627"/>
      <c r="AH31" s="2627"/>
      <c r="AI31" s="2627"/>
      <c r="AJ31" s="2628"/>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87" t="s">
        <v>590</v>
      </c>
      <c r="C33" s="2587"/>
      <c r="D33" s="546"/>
      <c r="E33" s="2620" t="s">
        <v>2557</v>
      </c>
      <c r="F33" s="2621"/>
      <c r="G33" s="2621"/>
      <c r="H33" s="2621"/>
      <c r="I33" s="2621"/>
      <c r="J33" s="2621"/>
      <c r="K33" s="2621"/>
      <c r="L33" s="2621"/>
      <c r="M33" s="2621"/>
      <c r="N33" s="2621"/>
      <c r="O33" s="2621"/>
      <c r="P33" s="2621"/>
      <c r="Q33" s="2621"/>
      <c r="R33" s="2621"/>
      <c r="S33" s="2621"/>
      <c r="T33" s="2621"/>
      <c r="U33" s="2621"/>
      <c r="V33" s="2621"/>
      <c r="W33" s="2621"/>
      <c r="X33" s="2621"/>
      <c r="Y33" s="2621"/>
      <c r="Z33" s="2621"/>
      <c r="AA33" s="2621"/>
      <c r="AB33" s="2621"/>
      <c r="AC33" s="2621"/>
      <c r="AD33" s="2621"/>
      <c r="AE33" s="2621"/>
      <c r="AF33" s="2621"/>
      <c r="AG33" s="2621"/>
      <c r="AH33" s="2621"/>
      <c r="AI33" s="2621"/>
      <c r="AJ33" s="2622"/>
      <c r="AK33" s="540"/>
      <c r="AL33" s="540"/>
      <c r="AM33" s="540"/>
      <c r="AN33" s="535"/>
      <c r="AO33" s="549">
        <f>IF($B39="yes",9,0)</f>
        <v>0</v>
      </c>
    </row>
    <row r="34" spans="1:43" s="536" customFormat="1" ht="12.75" customHeight="1">
      <c r="A34" s="540"/>
      <c r="B34" s="540"/>
      <c r="C34" s="540"/>
      <c r="D34" s="546"/>
      <c r="E34" s="2623"/>
      <c r="F34" s="2624"/>
      <c r="G34" s="2624"/>
      <c r="H34" s="2624"/>
      <c r="I34" s="2624"/>
      <c r="J34" s="2624"/>
      <c r="K34" s="2624"/>
      <c r="L34" s="2624"/>
      <c r="M34" s="2624"/>
      <c r="N34" s="2624"/>
      <c r="O34" s="2624"/>
      <c r="P34" s="2624"/>
      <c r="Q34" s="2624"/>
      <c r="R34" s="2624"/>
      <c r="S34" s="2624"/>
      <c r="T34" s="2624"/>
      <c r="U34" s="2624"/>
      <c r="V34" s="2624"/>
      <c r="W34" s="2624"/>
      <c r="X34" s="2624"/>
      <c r="Y34" s="2624"/>
      <c r="Z34" s="2624"/>
      <c r="AA34" s="2624"/>
      <c r="AB34" s="2624"/>
      <c r="AC34" s="2624"/>
      <c r="AD34" s="2624"/>
      <c r="AE34" s="2624"/>
      <c r="AF34" s="2624"/>
      <c r="AG34" s="2624"/>
      <c r="AH34" s="2624"/>
      <c r="AI34" s="2624"/>
      <c r="AJ34" s="2625"/>
      <c r="AK34" s="540"/>
      <c r="AL34" s="540"/>
      <c r="AM34" s="540"/>
      <c r="AN34" s="535"/>
      <c r="AO34" s="536">
        <f>MAX(AO30,AO31,AO32,AO33)</f>
        <v>0</v>
      </c>
      <c r="AP34" s="536" t="s">
        <v>1303</v>
      </c>
    </row>
    <row r="35" spans="1:43" s="536" customFormat="1" ht="12.75" customHeight="1">
      <c r="A35" s="540"/>
      <c r="B35" s="540"/>
      <c r="C35" s="540"/>
      <c r="E35" s="2626"/>
      <c r="F35" s="2627"/>
      <c r="G35" s="2627"/>
      <c r="H35" s="2627"/>
      <c r="I35" s="2627"/>
      <c r="J35" s="2627"/>
      <c r="K35" s="2627"/>
      <c r="L35" s="2627"/>
      <c r="M35" s="2627"/>
      <c r="N35" s="2627"/>
      <c r="O35" s="2627"/>
      <c r="P35" s="2627"/>
      <c r="Q35" s="2627"/>
      <c r="R35" s="2627"/>
      <c r="S35" s="2627"/>
      <c r="T35" s="2627"/>
      <c r="U35" s="2627"/>
      <c r="V35" s="2627"/>
      <c r="W35" s="2627"/>
      <c r="X35" s="2627"/>
      <c r="Y35" s="2627"/>
      <c r="Z35" s="2627"/>
      <c r="AA35" s="2627"/>
      <c r="AB35" s="2627"/>
      <c r="AC35" s="2627"/>
      <c r="AD35" s="2627"/>
      <c r="AE35" s="2627"/>
      <c r="AF35" s="2627"/>
      <c r="AG35" s="2627"/>
      <c r="AH35" s="2627"/>
      <c r="AI35" s="2627"/>
      <c r="AJ35" s="2628"/>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87" t="s">
        <v>590</v>
      </c>
      <c r="C37" s="2587"/>
      <c r="D37" s="1136"/>
      <c r="E37" s="2613" t="s">
        <v>2561</v>
      </c>
      <c r="F37" s="2614"/>
      <c r="G37" s="2614"/>
      <c r="H37" s="2614"/>
      <c r="I37" s="2614"/>
      <c r="J37" s="2614"/>
      <c r="K37" s="2614"/>
      <c r="L37" s="2614"/>
      <c r="M37" s="2614"/>
      <c r="N37" s="2614"/>
      <c r="O37" s="2614"/>
      <c r="P37" s="2614"/>
      <c r="Q37" s="2614"/>
      <c r="R37" s="2614"/>
      <c r="S37" s="2614"/>
      <c r="T37" s="2614"/>
      <c r="U37" s="2614"/>
      <c r="V37" s="2614"/>
      <c r="W37" s="2614"/>
      <c r="X37" s="2614"/>
      <c r="Y37" s="2614"/>
      <c r="Z37" s="2614"/>
      <c r="AA37" s="2614"/>
      <c r="AB37" s="2614"/>
      <c r="AC37" s="2614"/>
      <c r="AD37" s="2614"/>
      <c r="AE37" s="2614"/>
      <c r="AF37" s="2614"/>
      <c r="AG37" s="2614"/>
      <c r="AH37" s="2614"/>
      <c r="AI37" s="2614"/>
      <c r="AJ37" s="2615"/>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87" t="s">
        <v>590</v>
      </c>
      <c r="C39" s="2587"/>
      <c r="D39" s="1136"/>
      <c r="E39" s="2613" t="s">
        <v>2558</v>
      </c>
      <c r="F39" s="2614"/>
      <c r="G39" s="2614"/>
      <c r="H39" s="2614"/>
      <c r="I39" s="2614"/>
      <c r="J39" s="2614"/>
      <c r="K39" s="2614"/>
      <c r="L39" s="2614"/>
      <c r="M39" s="2614"/>
      <c r="N39" s="2614"/>
      <c r="O39" s="2614"/>
      <c r="P39" s="2614"/>
      <c r="Q39" s="2614"/>
      <c r="R39" s="2614"/>
      <c r="S39" s="2614"/>
      <c r="T39" s="2614"/>
      <c r="U39" s="2614"/>
      <c r="V39" s="2614"/>
      <c r="W39" s="2614"/>
      <c r="X39" s="2614"/>
      <c r="Y39" s="2614"/>
      <c r="Z39" s="2614"/>
      <c r="AA39" s="2614"/>
      <c r="AB39" s="2614"/>
      <c r="AC39" s="2614"/>
      <c r="AD39" s="2614"/>
      <c r="AE39" s="2614"/>
      <c r="AF39" s="2614"/>
      <c r="AG39" s="2614"/>
      <c r="AH39" s="2614"/>
      <c r="AI39" s="2614"/>
      <c r="AJ39" s="2615"/>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2554</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87" t="s">
        <v>590</v>
      </c>
      <c r="C43" s="2587"/>
      <c r="D43" s="546"/>
      <c r="E43" s="2588" t="s">
        <v>2560</v>
      </c>
      <c r="F43" s="2589"/>
      <c r="G43" s="2589"/>
      <c r="H43" s="2589"/>
      <c r="I43" s="2589"/>
      <c r="J43" s="2589"/>
      <c r="K43" s="2589"/>
      <c r="L43" s="2589"/>
      <c r="M43" s="2589"/>
      <c r="N43" s="2589"/>
      <c r="O43" s="2589"/>
      <c r="P43" s="2589"/>
      <c r="Q43" s="2589"/>
      <c r="R43" s="2589"/>
      <c r="S43" s="2589"/>
      <c r="T43" s="2589"/>
      <c r="U43" s="2589"/>
      <c r="V43" s="2589"/>
      <c r="W43" s="2589"/>
      <c r="X43" s="2589"/>
      <c r="Y43" s="2589"/>
      <c r="Z43" s="2589"/>
      <c r="AA43" s="2589"/>
      <c r="AB43" s="2589"/>
      <c r="AC43" s="2589"/>
      <c r="AD43" s="2589"/>
      <c r="AE43" s="2589"/>
      <c r="AF43" s="2589"/>
      <c r="AG43" s="2589"/>
      <c r="AH43" s="2589"/>
      <c r="AI43" s="2589"/>
      <c r="AJ43" s="2590"/>
      <c r="AK43" s="540"/>
      <c r="AL43" s="540"/>
      <c r="AM43" s="540"/>
      <c r="AN43" s="535"/>
      <c r="AO43" s="549">
        <f>IF($B43="yes",8,0)</f>
        <v>0</v>
      </c>
      <c r="AP43" s="14"/>
    </row>
    <row r="44" spans="1:43" s="536" customFormat="1" ht="12.75" customHeight="1">
      <c r="A44" s="540"/>
      <c r="B44" s="540"/>
      <c r="C44" s="540"/>
      <c r="D44" s="550"/>
      <c r="E44" s="2629"/>
      <c r="F44" s="2630"/>
      <c r="G44" s="2630"/>
      <c r="H44" s="2630"/>
      <c r="I44" s="2630"/>
      <c r="J44" s="2630"/>
      <c r="K44" s="2630"/>
      <c r="L44" s="2630"/>
      <c r="M44" s="2630"/>
      <c r="N44" s="2630"/>
      <c r="O44" s="2630"/>
      <c r="P44" s="2630"/>
      <c r="Q44" s="2630"/>
      <c r="R44" s="2630"/>
      <c r="S44" s="2630"/>
      <c r="T44" s="2630"/>
      <c r="U44" s="2630"/>
      <c r="V44" s="2630"/>
      <c r="W44" s="2630"/>
      <c r="X44" s="2630"/>
      <c r="Y44" s="2630"/>
      <c r="Z44" s="2630"/>
      <c r="AA44" s="2630"/>
      <c r="AB44" s="2630"/>
      <c r="AC44" s="2630"/>
      <c r="AD44" s="2630"/>
      <c r="AE44" s="2630"/>
      <c r="AF44" s="2630"/>
      <c r="AG44" s="2630"/>
      <c r="AH44" s="2630"/>
      <c r="AI44" s="2630"/>
      <c r="AJ44" s="2631"/>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87" t="s">
        <v>590</v>
      </c>
      <c r="C46" s="2587"/>
      <c r="D46" s="546"/>
      <c r="E46" s="2620" t="s">
        <v>2559</v>
      </c>
      <c r="F46" s="2621"/>
      <c r="G46" s="2621"/>
      <c r="H46" s="2621"/>
      <c r="I46" s="2621"/>
      <c r="J46" s="2621"/>
      <c r="K46" s="2621"/>
      <c r="L46" s="2621"/>
      <c r="M46" s="2621"/>
      <c r="N46" s="2621"/>
      <c r="O46" s="2621"/>
      <c r="P46" s="2621"/>
      <c r="Q46" s="2621"/>
      <c r="R46" s="2621"/>
      <c r="S46" s="2621"/>
      <c r="T46" s="2621"/>
      <c r="U46" s="2621"/>
      <c r="V46" s="2621"/>
      <c r="W46" s="2621"/>
      <c r="X46" s="2621"/>
      <c r="Y46" s="2621"/>
      <c r="Z46" s="2621"/>
      <c r="AA46" s="2621"/>
      <c r="AB46" s="2621"/>
      <c r="AC46" s="2621"/>
      <c r="AD46" s="2621"/>
      <c r="AE46" s="2621"/>
      <c r="AF46" s="2621"/>
      <c r="AG46" s="2621"/>
      <c r="AH46" s="2621"/>
      <c r="AI46" s="2621"/>
      <c r="AJ46" s="2622"/>
      <c r="AK46" s="540"/>
      <c r="AL46" s="540"/>
      <c r="AM46" s="540"/>
      <c r="AN46" s="535"/>
      <c r="AO46" s="549">
        <f>IF($B52="yes",8,0)</f>
        <v>0</v>
      </c>
    </row>
    <row r="47" spans="1:43" s="536" customFormat="1" ht="12.75" customHeight="1">
      <c r="A47" s="540"/>
      <c r="B47" s="540"/>
      <c r="C47" s="540"/>
      <c r="D47" s="549"/>
      <c r="E47" s="2626"/>
      <c r="F47" s="2627"/>
      <c r="G47" s="2627"/>
      <c r="H47" s="2627"/>
      <c r="I47" s="2627"/>
      <c r="J47" s="2627"/>
      <c r="K47" s="2627"/>
      <c r="L47" s="2627"/>
      <c r="M47" s="2627"/>
      <c r="N47" s="2627"/>
      <c r="O47" s="2627"/>
      <c r="P47" s="2627"/>
      <c r="Q47" s="2627"/>
      <c r="R47" s="2627"/>
      <c r="S47" s="2627"/>
      <c r="T47" s="2627"/>
      <c r="U47" s="2627"/>
      <c r="V47" s="2627"/>
      <c r="W47" s="2627"/>
      <c r="X47" s="2627"/>
      <c r="Y47" s="2627"/>
      <c r="Z47" s="2627"/>
      <c r="AA47" s="2627"/>
      <c r="AB47" s="2627"/>
      <c r="AC47" s="2627"/>
      <c r="AD47" s="2627"/>
      <c r="AE47" s="2627"/>
      <c r="AF47" s="2627"/>
      <c r="AG47" s="2627"/>
      <c r="AH47" s="2627"/>
      <c r="AI47" s="2627"/>
      <c r="AJ47" s="2628"/>
      <c r="AK47" s="540"/>
      <c r="AL47" s="540"/>
      <c r="AM47" s="540"/>
      <c r="AN47" s="535"/>
      <c r="AO47" s="536">
        <f>MAX(AO43,AO44,AO45,AO46)</f>
        <v>0</v>
      </c>
      <c r="AP47" s="536" t="s">
        <v>1303</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87" t="s">
        <v>590</v>
      </c>
      <c r="C49" s="2587"/>
      <c r="D49" s="546"/>
      <c r="E49" s="2448" t="s">
        <v>2639</v>
      </c>
      <c r="F49" s="2449"/>
      <c r="G49" s="2449"/>
      <c r="H49" s="2449"/>
      <c r="I49" s="2449"/>
      <c r="J49" s="2449"/>
      <c r="K49" s="2449"/>
      <c r="L49" s="2449"/>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50"/>
      <c r="AK49" s="540"/>
      <c r="AL49" s="540"/>
      <c r="AM49" s="540"/>
      <c r="AN49" s="535"/>
      <c r="AO49" s="549"/>
    </row>
    <row r="50" spans="1:42" s="536" customFormat="1" ht="12.75" customHeight="1">
      <c r="A50" s="540"/>
      <c r="B50" s="540"/>
      <c r="C50" s="540"/>
      <c r="D50" s="549"/>
      <c r="E50" s="2604"/>
      <c r="F50" s="2605"/>
      <c r="G50" s="2605"/>
      <c r="H50" s="2605"/>
      <c r="I50" s="2605"/>
      <c r="J50" s="2605"/>
      <c r="K50" s="2605"/>
      <c r="L50" s="2605"/>
      <c r="M50" s="2605"/>
      <c r="N50" s="2605"/>
      <c r="O50" s="2605"/>
      <c r="P50" s="2605"/>
      <c r="Q50" s="2605"/>
      <c r="R50" s="2605"/>
      <c r="S50" s="2605"/>
      <c r="T50" s="2605"/>
      <c r="U50" s="2605"/>
      <c r="V50" s="2605"/>
      <c r="W50" s="2605"/>
      <c r="X50" s="2605"/>
      <c r="Y50" s="2605"/>
      <c r="Z50" s="2605"/>
      <c r="AA50" s="2605"/>
      <c r="AB50" s="2605"/>
      <c r="AC50" s="2605"/>
      <c r="AD50" s="2605"/>
      <c r="AE50" s="2605"/>
      <c r="AF50" s="2605"/>
      <c r="AG50" s="2605"/>
      <c r="AH50" s="2605"/>
      <c r="AI50" s="2605"/>
      <c r="AJ50" s="2606"/>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87" t="s">
        <v>590</v>
      </c>
      <c r="C52" s="2587"/>
      <c r="D52" s="546"/>
      <c r="E52" s="2613" t="s">
        <v>2640</v>
      </c>
      <c r="F52" s="2614"/>
      <c r="G52" s="2614"/>
      <c r="H52" s="2614"/>
      <c r="I52" s="2614"/>
      <c r="J52" s="2614"/>
      <c r="K52" s="2614"/>
      <c r="L52" s="2614"/>
      <c r="M52" s="2614"/>
      <c r="N52" s="2614"/>
      <c r="O52" s="2614"/>
      <c r="P52" s="2614"/>
      <c r="Q52" s="2614"/>
      <c r="R52" s="2614"/>
      <c r="S52" s="2614"/>
      <c r="T52" s="2614"/>
      <c r="U52" s="2614"/>
      <c r="V52" s="2614"/>
      <c r="W52" s="2614"/>
      <c r="X52" s="2614"/>
      <c r="Y52" s="2614"/>
      <c r="Z52" s="2614"/>
      <c r="AA52" s="2614"/>
      <c r="AB52" s="2614"/>
      <c r="AC52" s="2614"/>
      <c r="AD52" s="2614"/>
      <c r="AE52" s="2614"/>
      <c r="AF52" s="2614"/>
      <c r="AG52" s="2614"/>
      <c r="AH52" s="2614"/>
      <c r="AI52" s="2614"/>
      <c r="AJ52" s="2615"/>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2555</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87" t="s">
        <v>590</v>
      </c>
      <c r="C56" s="2587"/>
      <c r="D56" s="546"/>
      <c r="E56" s="2448" t="s">
        <v>2562</v>
      </c>
      <c r="F56" s="2449"/>
      <c r="G56" s="2449"/>
      <c r="H56" s="2449"/>
      <c r="I56" s="2449"/>
      <c r="J56" s="2449"/>
      <c r="K56" s="2449"/>
      <c r="L56" s="2449"/>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50"/>
      <c r="AK56" s="540"/>
      <c r="AL56" s="540"/>
      <c r="AM56" s="540"/>
      <c r="AN56" s="535"/>
      <c r="AO56" s="549">
        <f>IF($B59="yes",7,0)</f>
        <v>0</v>
      </c>
    </row>
    <row r="57" spans="1:42" s="536" customFormat="1" ht="12.75" customHeight="1">
      <c r="A57" s="540"/>
      <c r="B57" s="540"/>
      <c r="C57" s="540"/>
      <c r="D57" s="549"/>
      <c r="E57" s="2604"/>
      <c r="F57" s="2605"/>
      <c r="G57" s="2605"/>
      <c r="H57" s="2605"/>
      <c r="I57" s="2605"/>
      <c r="J57" s="2605"/>
      <c r="K57" s="2605"/>
      <c r="L57" s="2605"/>
      <c r="M57" s="2605"/>
      <c r="N57" s="2605"/>
      <c r="O57" s="2605"/>
      <c r="P57" s="2605"/>
      <c r="Q57" s="2605"/>
      <c r="R57" s="2605"/>
      <c r="S57" s="2605"/>
      <c r="T57" s="2605"/>
      <c r="U57" s="2605"/>
      <c r="V57" s="2605"/>
      <c r="W57" s="2605"/>
      <c r="X57" s="2605"/>
      <c r="Y57" s="2605"/>
      <c r="Z57" s="2605"/>
      <c r="AA57" s="2605"/>
      <c r="AB57" s="2605"/>
      <c r="AC57" s="2605"/>
      <c r="AD57" s="2605"/>
      <c r="AE57" s="2605"/>
      <c r="AF57" s="2605"/>
      <c r="AG57" s="2605"/>
      <c r="AH57" s="2605"/>
      <c r="AI57" s="2605"/>
      <c r="AJ57" s="2606"/>
      <c r="AK57" s="540"/>
      <c r="AL57" s="540"/>
      <c r="AM57" s="540"/>
      <c r="AN57" s="535"/>
      <c r="AO57" s="536">
        <f>MAX(AO55:AO56)</f>
        <v>0</v>
      </c>
      <c r="AP57" s="536" t="s">
        <v>1303</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87" t="s">
        <v>590</v>
      </c>
      <c r="C59" s="2587"/>
      <c r="D59" s="546"/>
      <c r="E59" s="2613" t="s">
        <v>2563</v>
      </c>
      <c r="F59" s="2614"/>
      <c r="G59" s="2614"/>
      <c r="H59" s="2614"/>
      <c r="I59" s="2614"/>
      <c r="J59" s="2614"/>
      <c r="K59" s="2614"/>
      <c r="L59" s="2614"/>
      <c r="M59" s="2614"/>
      <c r="N59" s="2614"/>
      <c r="O59" s="2614"/>
      <c r="P59" s="2614"/>
      <c r="Q59" s="2614"/>
      <c r="R59" s="2614"/>
      <c r="S59" s="2614"/>
      <c r="T59" s="2614"/>
      <c r="U59" s="2614"/>
      <c r="V59" s="2614"/>
      <c r="W59" s="2614"/>
      <c r="X59" s="2614"/>
      <c r="Y59" s="2614"/>
      <c r="Z59" s="2614"/>
      <c r="AA59" s="2614"/>
      <c r="AB59" s="2614"/>
      <c r="AC59" s="2614"/>
      <c r="AD59" s="2614"/>
      <c r="AE59" s="2614"/>
      <c r="AF59" s="2614"/>
      <c r="AG59" s="2614"/>
      <c r="AH59" s="2614"/>
      <c r="AI59" s="2614"/>
      <c r="AJ59" s="2615"/>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IF(AO26&gt;0,AO26,SUM(AO21,MAX(AO34,AO47,AO57)))</f>
        <v>0</v>
      </c>
      <c r="AP60" s="536" t="s">
        <v>1303</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2564</v>
      </c>
      <c r="AK61" s="2579">
        <f>AO60</f>
        <v>0</v>
      </c>
      <c r="AL61" s="2580"/>
      <c r="AM61" s="2581"/>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1304</v>
      </c>
      <c r="B64" s="539" t="s">
        <v>1305</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45" t="s">
        <v>1306</v>
      </c>
      <c r="AF64" s="2445"/>
      <c r="AG64" s="2445"/>
      <c r="AH64" s="2445"/>
      <c r="AI64" s="2445"/>
      <c r="AJ64" s="2445"/>
      <c r="AK64" s="2445"/>
      <c r="AL64" s="540"/>
      <c r="AM64" s="540"/>
      <c r="AN64" s="535"/>
    </row>
    <row r="65" spans="1:42" s="536" customFormat="1" ht="12.75" customHeight="1">
      <c r="A65" s="538"/>
      <c r="B65" s="539" t="s">
        <v>1715</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87" t="s">
        <v>544</v>
      </c>
      <c r="C67" s="2587"/>
      <c r="D67" s="546" t="s">
        <v>1307</v>
      </c>
      <c r="E67" s="2588" t="s">
        <v>1979</v>
      </c>
      <c r="F67" s="2589"/>
      <c r="G67" s="2589"/>
      <c r="H67" s="2589"/>
      <c r="I67" s="2589"/>
      <c r="J67" s="2589"/>
      <c r="K67" s="2589"/>
      <c r="L67" s="2589"/>
      <c r="M67" s="2589"/>
      <c r="N67" s="2589"/>
      <c r="O67" s="2589"/>
      <c r="P67" s="2589"/>
      <c r="Q67" s="2589"/>
      <c r="R67" s="2589"/>
      <c r="S67" s="2589"/>
      <c r="T67" s="2589"/>
      <c r="U67" s="2589"/>
      <c r="V67" s="2589"/>
      <c r="W67" s="2589"/>
      <c r="X67" s="2589"/>
      <c r="Y67" s="2589"/>
      <c r="Z67" s="2589"/>
      <c r="AA67" s="2589"/>
      <c r="AB67" s="2589"/>
      <c r="AC67" s="2589"/>
      <c r="AD67" s="2589"/>
      <c r="AE67" s="2589"/>
      <c r="AF67" s="2589"/>
      <c r="AG67" s="2589"/>
      <c r="AH67" s="2589"/>
      <c r="AI67" s="2589"/>
      <c r="AJ67" s="2590"/>
      <c r="AK67" s="543"/>
      <c r="AL67" s="540"/>
      <c r="AM67" s="540"/>
      <c r="AN67" s="535"/>
      <c r="AO67" s="549">
        <f>IF($B67="yes",10,0)</f>
        <v>10</v>
      </c>
    </row>
    <row r="68" spans="1:42" s="536" customFormat="1" ht="12.75" customHeight="1">
      <c r="A68" s="538"/>
      <c r="B68" s="540"/>
      <c r="C68" s="540"/>
      <c r="D68" s="550"/>
      <c r="E68" s="2591"/>
      <c r="F68" s="2592"/>
      <c r="G68" s="2592"/>
      <c r="H68" s="2592"/>
      <c r="I68" s="2592"/>
      <c r="J68" s="2592"/>
      <c r="K68" s="2592"/>
      <c r="L68" s="2592"/>
      <c r="M68" s="2592"/>
      <c r="N68" s="2592"/>
      <c r="O68" s="2592"/>
      <c r="P68" s="2592"/>
      <c r="Q68" s="2592"/>
      <c r="R68" s="2592"/>
      <c r="S68" s="2592"/>
      <c r="T68" s="2592"/>
      <c r="U68" s="2592"/>
      <c r="V68" s="2592"/>
      <c r="W68" s="2592"/>
      <c r="X68" s="2592"/>
      <c r="Y68" s="2592"/>
      <c r="Z68" s="2592"/>
      <c r="AA68" s="2592"/>
      <c r="AB68" s="2592"/>
      <c r="AC68" s="2592"/>
      <c r="AD68" s="2592"/>
      <c r="AE68" s="2592"/>
      <c r="AF68" s="2592"/>
      <c r="AG68" s="2592"/>
      <c r="AH68" s="2592"/>
      <c r="AI68" s="2592"/>
      <c r="AJ68" s="2593"/>
      <c r="AK68" s="543"/>
      <c r="AL68" s="540"/>
      <c r="AM68" s="540"/>
      <c r="AN68" s="535"/>
      <c r="AO68" s="549">
        <f>IF(AND($B73="yes",OR(E74="Yes",E75="Yes",E76="Yes")),10,0)</f>
        <v>0</v>
      </c>
    </row>
    <row r="69" spans="1:42" s="536" customFormat="1" ht="12.75" customHeight="1">
      <c r="A69" s="538"/>
      <c r="B69" s="540"/>
      <c r="C69" s="540"/>
      <c r="D69" s="550"/>
      <c r="E69" s="2591"/>
      <c r="F69" s="2592"/>
      <c r="G69" s="2592"/>
      <c r="H69" s="2592"/>
      <c r="I69" s="2592"/>
      <c r="J69" s="2592"/>
      <c r="K69" s="2592"/>
      <c r="L69" s="2592"/>
      <c r="M69" s="2592"/>
      <c r="N69" s="2592"/>
      <c r="O69" s="2592"/>
      <c r="P69" s="2592"/>
      <c r="Q69" s="2592"/>
      <c r="R69" s="2592"/>
      <c r="S69" s="2592"/>
      <c r="T69" s="2592"/>
      <c r="U69" s="2592"/>
      <c r="V69" s="2592"/>
      <c r="W69" s="2592"/>
      <c r="X69" s="2592"/>
      <c r="Y69" s="2592"/>
      <c r="Z69" s="2592"/>
      <c r="AA69" s="2592"/>
      <c r="AB69" s="2592"/>
      <c r="AC69" s="2592"/>
      <c r="AD69" s="2592"/>
      <c r="AE69" s="2592"/>
      <c r="AF69" s="2592"/>
      <c r="AG69" s="2592"/>
      <c r="AH69" s="2592"/>
      <c r="AI69" s="2592"/>
      <c r="AJ69" s="2593"/>
      <c r="AK69" s="543"/>
      <c r="AL69" s="540"/>
      <c r="AM69" s="540"/>
      <c r="AN69" s="535"/>
      <c r="AO69" s="549">
        <f>IF($B78="yes",10,0)</f>
        <v>0</v>
      </c>
    </row>
    <row r="70" spans="1:42" s="536" customFormat="1" ht="12.75" customHeight="1">
      <c r="A70" s="538"/>
      <c r="B70" s="540"/>
      <c r="C70" s="540"/>
      <c r="D70" s="550"/>
      <c r="E70" s="2591"/>
      <c r="F70" s="2592"/>
      <c r="G70" s="2592"/>
      <c r="H70" s="2592"/>
      <c r="I70" s="2592"/>
      <c r="J70" s="2592"/>
      <c r="K70" s="2592"/>
      <c r="L70" s="2592"/>
      <c r="M70" s="2592"/>
      <c r="N70" s="2592"/>
      <c r="O70" s="2592"/>
      <c r="P70" s="2592"/>
      <c r="Q70" s="2592"/>
      <c r="R70" s="2592"/>
      <c r="S70" s="2592"/>
      <c r="T70" s="2592"/>
      <c r="U70" s="2592"/>
      <c r="V70" s="2592"/>
      <c r="W70" s="2592"/>
      <c r="X70" s="2592"/>
      <c r="Y70" s="2592"/>
      <c r="Z70" s="2592"/>
      <c r="AA70" s="2592"/>
      <c r="AB70" s="2592"/>
      <c r="AC70" s="2592"/>
      <c r="AD70" s="2592"/>
      <c r="AE70" s="2592"/>
      <c r="AF70" s="2592"/>
      <c r="AG70" s="2592"/>
      <c r="AH70" s="2592"/>
      <c r="AI70" s="2592"/>
      <c r="AJ70" s="2593"/>
      <c r="AK70" s="543"/>
      <c r="AL70" s="540"/>
      <c r="AM70" s="540"/>
      <c r="AN70" s="535"/>
      <c r="AO70" s="549">
        <f>IF($B81="yes",10,0)</f>
        <v>0</v>
      </c>
    </row>
    <row r="71" spans="1:42" s="536" customFormat="1" ht="12.75" customHeight="1">
      <c r="A71" s="538"/>
      <c r="B71" s="540"/>
      <c r="C71" s="540"/>
      <c r="D71" s="550"/>
      <c r="E71" s="2629"/>
      <c r="F71" s="2630"/>
      <c r="G71" s="2630"/>
      <c r="H71" s="2630"/>
      <c r="I71" s="2630"/>
      <c r="J71" s="2630"/>
      <c r="K71" s="2630"/>
      <c r="L71" s="2630"/>
      <c r="M71" s="2630"/>
      <c r="N71" s="2630"/>
      <c r="O71" s="2630"/>
      <c r="P71" s="2630"/>
      <c r="Q71" s="2630"/>
      <c r="R71" s="2630"/>
      <c r="S71" s="2630"/>
      <c r="T71" s="2630"/>
      <c r="U71" s="2630"/>
      <c r="V71" s="2630"/>
      <c r="W71" s="2630"/>
      <c r="X71" s="2630"/>
      <c r="Y71" s="2630"/>
      <c r="Z71" s="2630"/>
      <c r="AA71" s="2630"/>
      <c r="AB71" s="2630"/>
      <c r="AC71" s="2630"/>
      <c r="AD71" s="2630"/>
      <c r="AE71" s="2630"/>
      <c r="AF71" s="2630"/>
      <c r="AG71" s="2630"/>
      <c r="AH71" s="2630"/>
      <c r="AI71" s="2630"/>
      <c r="AJ71" s="2631"/>
      <c r="AK71" s="543"/>
      <c r="AL71" s="540"/>
      <c r="AM71" s="540"/>
      <c r="AN71" s="535"/>
      <c r="AO71" s="536">
        <f>IF(SUM(AO67:AO69)&gt;10,10,(SUM(AO67:AO69)))</f>
        <v>10</v>
      </c>
      <c r="AP71" s="572" t="s">
        <v>1308</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87" t="s">
        <v>590</v>
      </c>
      <c r="C73" s="2587"/>
      <c r="D73" s="546" t="s">
        <v>1309</v>
      </c>
      <c r="E73" s="967" t="s">
        <v>1711</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35" t="s">
        <v>590</v>
      </c>
      <c r="F74" s="2587"/>
      <c r="G74" s="573"/>
      <c r="H74" s="556" t="s">
        <v>1310</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3" t="s">
        <v>590</v>
      </c>
      <c r="F75" s="2634"/>
      <c r="G75" s="573"/>
      <c r="H75" s="556" t="s">
        <v>1311</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3" t="s">
        <v>590</v>
      </c>
      <c r="F76" s="2634"/>
      <c r="G76" s="902"/>
      <c r="H76" s="1199" t="s">
        <v>1726</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87" t="s">
        <v>590</v>
      </c>
      <c r="C78" s="2587"/>
      <c r="D78" s="546" t="s">
        <v>1312</v>
      </c>
      <c r="E78" s="2448" t="s">
        <v>1727</v>
      </c>
      <c r="F78" s="2449"/>
      <c r="G78" s="2449"/>
      <c r="H78" s="2449"/>
      <c r="I78" s="2449"/>
      <c r="J78" s="2449"/>
      <c r="K78" s="2449"/>
      <c r="L78" s="2449"/>
      <c r="M78" s="2449"/>
      <c r="N78" s="2449"/>
      <c r="O78" s="2449"/>
      <c r="P78" s="2449"/>
      <c r="Q78" s="2449"/>
      <c r="R78" s="2449"/>
      <c r="S78" s="2449"/>
      <c r="T78" s="2449"/>
      <c r="U78" s="2449"/>
      <c r="V78" s="2449"/>
      <c r="W78" s="2449"/>
      <c r="X78" s="2449"/>
      <c r="Y78" s="2449"/>
      <c r="Z78" s="2449"/>
      <c r="AA78" s="2449"/>
      <c r="AB78" s="2449"/>
      <c r="AC78" s="2449"/>
      <c r="AD78" s="2449"/>
      <c r="AE78" s="2449"/>
      <c r="AF78" s="2449"/>
      <c r="AG78" s="2449"/>
      <c r="AH78" s="2449"/>
      <c r="AI78" s="2449"/>
      <c r="AJ78" s="2450"/>
      <c r="AK78" s="543"/>
      <c r="AL78" s="540"/>
      <c r="AM78" s="540"/>
      <c r="AN78" s="535"/>
    </row>
    <row r="79" spans="1:42" s="536" customFormat="1" ht="12.75" customHeight="1">
      <c r="A79" s="538"/>
      <c r="B79" s="540"/>
      <c r="C79" s="540"/>
      <c r="E79" s="2604"/>
      <c r="F79" s="2605"/>
      <c r="G79" s="2605"/>
      <c r="H79" s="2605"/>
      <c r="I79" s="2605"/>
      <c r="J79" s="2605"/>
      <c r="K79" s="2605"/>
      <c r="L79" s="2605"/>
      <c r="M79" s="2605"/>
      <c r="N79" s="2605"/>
      <c r="O79" s="2605"/>
      <c r="P79" s="2605"/>
      <c r="Q79" s="2605"/>
      <c r="R79" s="2605"/>
      <c r="S79" s="2605"/>
      <c r="T79" s="2605"/>
      <c r="U79" s="2605"/>
      <c r="V79" s="2605"/>
      <c r="W79" s="2605"/>
      <c r="X79" s="2605"/>
      <c r="Y79" s="2605"/>
      <c r="Z79" s="2605"/>
      <c r="AA79" s="2605"/>
      <c r="AB79" s="2605"/>
      <c r="AC79" s="2605"/>
      <c r="AD79" s="2605"/>
      <c r="AE79" s="2605"/>
      <c r="AF79" s="2605"/>
      <c r="AG79" s="2605"/>
      <c r="AH79" s="2605"/>
      <c r="AI79" s="2605"/>
      <c r="AJ79" s="2606"/>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87" t="s">
        <v>590</v>
      </c>
      <c r="C81" s="2587"/>
      <c r="D81" s="546" t="s">
        <v>1459</v>
      </c>
      <c r="E81" s="2613" t="s">
        <v>1725</v>
      </c>
      <c r="F81" s="2614"/>
      <c r="G81" s="2614"/>
      <c r="H81" s="2614"/>
      <c r="I81" s="2614"/>
      <c r="J81" s="2614"/>
      <c r="K81" s="2614"/>
      <c r="L81" s="2614"/>
      <c r="M81" s="2614"/>
      <c r="N81" s="2614"/>
      <c r="O81" s="2614"/>
      <c r="P81" s="2614"/>
      <c r="Q81" s="2614"/>
      <c r="R81" s="2614"/>
      <c r="S81" s="2614"/>
      <c r="T81" s="2614"/>
      <c r="U81" s="2614"/>
      <c r="V81" s="2614"/>
      <c r="W81" s="2614"/>
      <c r="X81" s="2614"/>
      <c r="Y81" s="2614"/>
      <c r="Z81" s="2614"/>
      <c r="AA81" s="2614"/>
      <c r="AB81" s="2614"/>
      <c r="AC81" s="2614"/>
      <c r="AD81" s="2614"/>
      <c r="AE81" s="2614"/>
      <c r="AF81" s="2614"/>
      <c r="AG81" s="2614"/>
      <c r="AH81" s="2614"/>
      <c r="AI81" s="2614"/>
      <c r="AJ81" s="2615"/>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1313</v>
      </c>
      <c r="AK83" s="2579">
        <f>IF(AK61&gt;0,0,AO71)</f>
        <v>10</v>
      </c>
      <c r="AL83" s="2580"/>
      <c r="AM83" s="2581"/>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1314</v>
      </c>
      <c r="B86" s="539" t="s">
        <v>1315</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45" t="s">
        <v>1301</v>
      </c>
      <c r="AF86" s="2445"/>
      <c r="AG86" s="2445"/>
      <c r="AH86" s="2445"/>
      <c r="AI86" s="2445"/>
      <c r="AJ86" s="2445"/>
      <c r="AK86" s="2445"/>
      <c r="AL86" s="540"/>
      <c r="AM86" s="540"/>
      <c r="AN86" s="535"/>
    </row>
    <row r="87" spans="1:43" s="536" customFormat="1" ht="12.75" customHeight="1">
      <c r="A87" s="538"/>
      <c r="B87" s="539" t="s">
        <v>1316</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87" t="s">
        <v>590</v>
      </c>
      <c r="C89" s="2587"/>
      <c r="D89" s="546" t="s">
        <v>1307</v>
      </c>
      <c r="E89" s="2588" t="s">
        <v>1317</v>
      </c>
      <c r="F89" s="2589"/>
      <c r="G89" s="2589"/>
      <c r="H89" s="2589"/>
      <c r="I89" s="2589"/>
      <c r="J89" s="2589"/>
      <c r="K89" s="2589"/>
      <c r="L89" s="2589"/>
      <c r="M89" s="2589"/>
      <c r="N89" s="2589"/>
      <c r="O89" s="2589"/>
      <c r="P89" s="2589"/>
      <c r="Q89" s="2589"/>
      <c r="R89" s="2589"/>
      <c r="S89" s="2589"/>
      <c r="T89" s="2589"/>
      <c r="U89" s="2589"/>
      <c r="V89" s="2589"/>
      <c r="W89" s="2589"/>
      <c r="X89" s="2589"/>
      <c r="Y89" s="2589"/>
      <c r="Z89" s="2589"/>
      <c r="AA89" s="2589"/>
      <c r="AB89" s="2589"/>
      <c r="AC89" s="2589"/>
      <c r="AD89" s="2589"/>
      <c r="AE89" s="2589"/>
      <c r="AF89" s="2589"/>
      <c r="AG89" s="2589"/>
      <c r="AH89" s="2589"/>
      <c r="AI89" s="2589"/>
      <c r="AJ89" s="2590"/>
      <c r="AK89" s="543"/>
      <c r="AL89" s="540"/>
      <c r="AM89" s="540"/>
      <c r="AN89" s="535"/>
    </row>
    <row r="90" spans="1:43" s="536" customFormat="1" ht="12.75" customHeight="1">
      <c r="A90" s="538"/>
      <c r="B90" s="539"/>
      <c r="C90" s="539"/>
      <c r="D90" s="539"/>
      <c r="E90" s="2591"/>
      <c r="F90" s="2592"/>
      <c r="G90" s="2592"/>
      <c r="H90" s="2592"/>
      <c r="I90" s="2592"/>
      <c r="J90" s="2592"/>
      <c r="K90" s="2592"/>
      <c r="L90" s="2592"/>
      <c r="M90" s="2592"/>
      <c r="N90" s="2592"/>
      <c r="O90" s="2592"/>
      <c r="P90" s="2592"/>
      <c r="Q90" s="2592"/>
      <c r="R90" s="2592"/>
      <c r="S90" s="2592"/>
      <c r="T90" s="2592"/>
      <c r="U90" s="2592"/>
      <c r="V90" s="2592"/>
      <c r="W90" s="2592"/>
      <c r="X90" s="2592"/>
      <c r="Y90" s="2592"/>
      <c r="Z90" s="2592"/>
      <c r="AA90" s="2592"/>
      <c r="AB90" s="2592"/>
      <c r="AC90" s="2592"/>
      <c r="AD90" s="2592"/>
      <c r="AE90" s="2592"/>
      <c r="AF90" s="2592"/>
      <c r="AG90" s="2592"/>
      <c r="AH90" s="2592"/>
      <c r="AI90" s="2592"/>
      <c r="AJ90" s="2593"/>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0">
        <f>Application!AC761</f>
        <v>0.596923076923077</v>
      </c>
      <c r="F92" s="2601"/>
      <c r="G92" s="2601"/>
      <c r="H92" s="2601"/>
      <c r="I92" s="575"/>
      <c r="J92" s="578" t="s">
        <v>1318</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2">
        <f>0.6-ROUNDUP(E92,2)</f>
        <v>0</v>
      </c>
      <c r="F93" s="2419"/>
      <c r="G93" s="2419"/>
      <c r="H93" s="2419"/>
      <c r="I93" s="575"/>
      <c r="J93" s="578" t="s">
        <v>1319</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1">
        <f>IF(E93*200&gt;20,20,E93*200)</f>
        <v>0</v>
      </c>
      <c r="F94" s="2612"/>
      <c r="G94" s="2612"/>
      <c r="H94" s="2612"/>
      <c r="I94" s="575"/>
      <c r="J94" s="578" t="s">
        <v>1320</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1303</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87" t="s">
        <v>544</v>
      </c>
      <c r="C97" s="2587"/>
      <c r="D97" s="546" t="s">
        <v>1309</v>
      </c>
      <c r="E97" s="2588" t="s">
        <v>1712</v>
      </c>
      <c r="F97" s="2589"/>
      <c r="G97" s="2589"/>
      <c r="H97" s="2589"/>
      <c r="I97" s="2589"/>
      <c r="J97" s="2589"/>
      <c r="K97" s="2589"/>
      <c r="L97" s="2589"/>
      <c r="M97" s="2589"/>
      <c r="N97" s="2589"/>
      <c r="O97" s="2589"/>
      <c r="P97" s="2589"/>
      <c r="Q97" s="2589"/>
      <c r="R97" s="2589"/>
      <c r="S97" s="2589"/>
      <c r="T97" s="2589"/>
      <c r="U97" s="2589"/>
      <c r="V97" s="2589"/>
      <c r="W97" s="2589"/>
      <c r="X97" s="2589"/>
      <c r="Y97" s="2589"/>
      <c r="Z97" s="2589"/>
      <c r="AA97" s="2589"/>
      <c r="AB97" s="2589"/>
      <c r="AC97" s="2589"/>
      <c r="AD97" s="2589"/>
      <c r="AE97" s="2589"/>
      <c r="AF97" s="2589"/>
      <c r="AG97" s="2589"/>
      <c r="AH97" s="2589"/>
      <c r="AI97" s="2589"/>
      <c r="AJ97" s="2590"/>
      <c r="AK97" s="543"/>
      <c r="AL97" s="540"/>
      <c r="AM97" s="540"/>
      <c r="AN97" s="535"/>
    </row>
    <row r="98" spans="1:47" s="536" customFormat="1" ht="12.75" customHeight="1">
      <c r="A98" s="538"/>
      <c r="B98" s="539"/>
      <c r="C98" s="539"/>
      <c r="D98" s="539"/>
      <c r="E98" s="2591"/>
      <c r="F98" s="2592"/>
      <c r="G98" s="2592"/>
      <c r="H98" s="2592"/>
      <c r="I98" s="2592"/>
      <c r="J98" s="2592"/>
      <c r="K98" s="2592"/>
      <c r="L98" s="2592"/>
      <c r="M98" s="2592"/>
      <c r="N98" s="2592"/>
      <c r="O98" s="2592"/>
      <c r="P98" s="2592"/>
      <c r="Q98" s="2592"/>
      <c r="R98" s="2592"/>
      <c r="S98" s="2592"/>
      <c r="T98" s="2592"/>
      <c r="U98" s="2592"/>
      <c r="V98" s="2592"/>
      <c r="W98" s="2592"/>
      <c r="X98" s="2592"/>
      <c r="Y98" s="2592"/>
      <c r="Z98" s="2592"/>
      <c r="AA98" s="2592"/>
      <c r="AB98" s="2592"/>
      <c r="AC98" s="2592"/>
      <c r="AD98" s="2592"/>
      <c r="AE98" s="2592"/>
      <c r="AF98" s="2592"/>
      <c r="AG98" s="2592"/>
      <c r="AH98" s="2592"/>
      <c r="AI98" s="2592"/>
      <c r="AJ98" s="2593"/>
      <c r="AK98" s="543"/>
      <c r="AL98" s="540"/>
      <c r="AM98" s="540"/>
      <c r="AN98" s="535"/>
    </row>
    <row r="99" spans="1:47" s="536" customFormat="1" ht="12.75" customHeight="1">
      <c r="A99" s="538"/>
      <c r="B99" s="539"/>
      <c r="C99" s="539"/>
      <c r="D99" s="539"/>
      <c r="E99" s="2591"/>
      <c r="F99" s="2592"/>
      <c r="G99" s="2592"/>
      <c r="H99" s="2592"/>
      <c r="I99" s="2592"/>
      <c r="J99" s="2592"/>
      <c r="K99" s="2592"/>
      <c r="L99" s="2592"/>
      <c r="M99" s="2592"/>
      <c r="N99" s="2592"/>
      <c r="O99" s="2592"/>
      <c r="P99" s="2592"/>
      <c r="Q99" s="2592"/>
      <c r="R99" s="2592"/>
      <c r="S99" s="2592"/>
      <c r="T99" s="2592"/>
      <c r="U99" s="2592"/>
      <c r="V99" s="2592"/>
      <c r="W99" s="2592"/>
      <c r="X99" s="2592"/>
      <c r="Y99" s="2592"/>
      <c r="Z99" s="2592"/>
      <c r="AA99" s="2592"/>
      <c r="AB99" s="2592"/>
      <c r="AC99" s="2592"/>
      <c r="AD99" s="2592"/>
      <c r="AE99" s="2592"/>
      <c r="AF99" s="2592"/>
      <c r="AG99" s="2592"/>
      <c r="AH99" s="2592"/>
      <c r="AI99" s="2592"/>
      <c r="AJ99" s="2593"/>
      <c r="AK99" s="543"/>
      <c r="AL99" s="540"/>
      <c r="AM99" s="540"/>
      <c r="AN99" s="535"/>
    </row>
    <row r="100" spans="1:47" s="536" customFormat="1" ht="12.75" customHeight="1">
      <c r="A100" s="538"/>
      <c r="B100" s="539"/>
      <c r="C100" s="539"/>
      <c r="D100" s="539"/>
      <c r="E100" s="2591"/>
      <c r="F100" s="2592"/>
      <c r="G100" s="2592"/>
      <c r="H100" s="2592"/>
      <c r="I100" s="2592"/>
      <c r="J100" s="2592"/>
      <c r="K100" s="2592"/>
      <c r="L100" s="2592"/>
      <c r="M100" s="2592"/>
      <c r="N100" s="2592"/>
      <c r="O100" s="2592"/>
      <c r="P100" s="2592"/>
      <c r="Q100" s="2592"/>
      <c r="R100" s="2592"/>
      <c r="S100" s="2592"/>
      <c r="T100" s="2592"/>
      <c r="U100" s="2592"/>
      <c r="V100" s="2592"/>
      <c r="W100" s="2592"/>
      <c r="X100" s="2592"/>
      <c r="Y100" s="2592"/>
      <c r="Z100" s="2592"/>
      <c r="AA100" s="2592"/>
      <c r="AB100" s="2592"/>
      <c r="AC100" s="2592"/>
      <c r="AD100" s="2592"/>
      <c r="AE100" s="2592"/>
      <c r="AF100" s="2592"/>
      <c r="AG100" s="2592"/>
      <c r="AH100" s="2592"/>
      <c r="AI100" s="2592"/>
      <c r="AJ100" s="2593"/>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0">
        <f>Application!AC761</f>
        <v>0.596923076923077</v>
      </c>
      <c r="F102" s="2601"/>
      <c r="G102" s="2601"/>
      <c r="H102" s="2601"/>
      <c r="I102" s="575"/>
      <c r="J102" s="578" t="s">
        <v>1318</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0">
        <f ca="1">SUMIF(Application!AC726:AG760,0.2,Application!G726:J760)/Application!G761+SUMIF(Application!AC726:AG760,0.25,Application!G726:J760)/Application!G761+SUMIF(Application!AC726:AG760,0.3,Application!G726:J760)/Application!G761</f>
        <v>0.17692307692307693</v>
      </c>
      <c r="F103" s="2601"/>
      <c r="G103" s="2601"/>
      <c r="H103" s="2601"/>
      <c r="I103" s="575"/>
      <c r="J103" s="578" t="s">
        <v>1321</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0">
        <f ca="1">SUMIF(Application!AC726:AG760,0.35,Application!G726:J760)/Application!G761+SUMIF(Application!AC726:AG760,0.4,Application!G726:J760)/Application!G761+SUMIF(Application!AC726:AG760,0.45,Application!G726:J760)/Application!G761+SUMIF(Application!AC726:AG760,0.5,Application!G726:J760)/Application!G761</f>
        <v>0.2076923076923077</v>
      </c>
      <c r="F104" s="2601"/>
      <c r="G104" s="2601"/>
      <c r="H104" s="2601"/>
      <c r="I104" s="575"/>
      <c r="J104" s="578" t="s">
        <v>1322</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598">
        <f ca="1">IF(AND(E102&lt;=0.6,OR(AND(E103&gt;=0.1,E104&gt;=0.1),AND(E103&gt;0.1,(E103+E104)&gt;=0.2))),20,0)</f>
        <v>20</v>
      </c>
      <c r="F105" s="2599"/>
      <c r="G105" s="2599"/>
      <c r="H105" s="2599"/>
      <c r="I105" s="551"/>
      <c r="J105" s="585" t="s">
        <v>1320</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1303</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1323</v>
      </c>
      <c r="AK108" s="2579">
        <f ca="1">MAX(AP94,AP105)</f>
        <v>20</v>
      </c>
      <c r="AL108" s="2580"/>
      <c r="AM108" s="2581"/>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1324</v>
      </c>
      <c r="B111" s="539" t="s">
        <v>1325</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45" t="s">
        <v>1306</v>
      </c>
      <c r="AF111" s="2445"/>
      <c r="AG111" s="2445"/>
      <c r="AH111" s="2445"/>
      <c r="AI111" s="2445"/>
      <c r="AJ111" s="2445"/>
      <c r="AK111" s="2445"/>
      <c r="AL111" s="540"/>
      <c r="AM111" s="540"/>
      <c r="AN111" s="535"/>
      <c r="AO111" s="536" t="str">
        <f>Application!B726</f>
        <v>1 Bedroom</v>
      </c>
      <c r="AQ111" s="536">
        <f>Application!O726</f>
        <v>859</v>
      </c>
    </row>
    <row r="112" spans="1:47" s="536" customFormat="1" ht="12.75" customHeight="1">
      <c r="A112" s="540"/>
      <c r="B112" s="539" t="s">
        <v>1316</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1458</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1758</v>
      </c>
    </row>
    <row r="114" spans="1:52" s="536" customFormat="1" ht="12.75" customHeight="1">
      <c r="A114" s="540"/>
      <c r="B114" s="2587" t="s">
        <v>544</v>
      </c>
      <c r="C114" s="2587"/>
      <c r="D114" s="546" t="s">
        <v>1307</v>
      </c>
      <c r="E114" s="2588" t="s">
        <v>2565</v>
      </c>
      <c r="F114" s="2589"/>
      <c r="G114" s="2589"/>
      <c r="H114" s="2589"/>
      <c r="I114" s="2589"/>
      <c r="J114" s="2589"/>
      <c r="K114" s="2589"/>
      <c r="L114" s="2589"/>
      <c r="M114" s="2589"/>
      <c r="N114" s="2589"/>
      <c r="O114" s="2589"/>
      <c r="P114" s="2589"/>
      <c r="Q114" s="2589"/>
      <c r="R114" s="2589"/>
      <c r="S114" s="2589"/>
      <c r="T114" s="2589"/>
      <c r="U114" s="2589"/>
      <c r="V114" s="2589"/>
      <c r="W114" s="2589"/>
      <c r="X114" s="2589"/>
      <c r="Y114" s="2589"/>
      <c r="Z114" s="2589"/>
      <c r="AA114" s="2589"/>
      <c r="AB114" s="2589"/>
      <c r="AC114" s="2589"/>
      <c r="AD114" s="2589"/>
      <c r="AE114" s="2589"/>
      <c r="AF114" s="2589"/>
      <c r="AG114" s="2589"/>
      <c r="AH114" s="2589"/>
      <c r="AI114" s="2589"/>
      <c r="AJ114" s="2590"/>
      <c r="AK114" s="540"/>
      <c r="AL114" s="540"/>
      <c r="AM114" s="540"/>
      <c r="AN114" s="535"/>
      <c r="AO114" s="536" t="str">
        <f>Application!B729</f>
        <v>1 Bedroom</v>
      </c>
      <c r="AQ114" s="536">
        <f>Application!O729</f>
        <v>2358</v>
      </c>
      <c r="AU114" s="536" t="s">
        <v>1815</v>
      </c>
      <c r="AV114" s="593" t="s">
        <v>1816</v>
      </c>
      <c r="AW114" s="536" t="s">
        <v>1817</v>
      </c>
    </row>
    <row r="115" spans="1:52" s="536" customFormat="1" ht="12.75" customHeight="1">
      <c r="A115" s="540"/>
      <c r="B115" s="539"/>
      <c r="C115" s="539"/>
      <c r="D115" s="539"/>
      <c r="E115" s="2591"/>
      <c r="F115" s="2592"/>
      <c r="G115" s="2592"/>
      <c r="H115" s="2592"/>
      <c r="I115" s="2592"/>
      <c r="J115" s="2592"/>
      <c r="K115" s="2592"/>
      <c r="L115" s="2592"/>
      <c r="M115" s="2592"/>
      <c r="N115" s="2592"/>
      <c r="O115" s="2592"/>
      <c r="P115" s="2592"/>
      <c r="Q115" s="2592"/>
      <c r="R115" s="2592"/>
      <c r="S115" s="2592"/>
      <c r="T115" s="2592"/>
      <c r="U115" s="2592"/>
      <c r="V115" s="2592"/>
      <c r="W115" s="2592"/>
      <c r="X115" s="2592"/>
      <c r="Y115" s="2592"/>
      <c r="Z115" s="2592"/>
      <c r="AA115" s="2592"/>
      <c r="AB115" s="2592"/>
      <c r="AC115" s="2592"/>
      <c r="AD115" s="2592"/>
      <c r="AE115" s="2592"/>
      <c r="AF115" s="2592"/>
      <c r="AG115" s="2592"/>
      <c r="AH115" s="2592"/>
      <c r="AI115" s="2592"/>
      <c r="AJ115" s="2593"/>
      <c r="AK115" s="540"/>
      <c r="AL115" s="540"/>
      <c r="AM115" s="540"/>
      <c r="AN115" s="535"/>
      <c r="AO115" s="536" t="str">
        <f>Application!B730</f>
        <v>2 Bedrooms</v>
      </c>
      <c r="AQ115" s="536">
        <f>Application!O730</f>
        <v>1043</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591"/>
      <c r="F116" s="2592"/>
      <c r="G116" s="2592"/>
      <c r="H116" s="2592"/>
      <c r="I116" s="2592"/>
      <c r="J116" s="2592"/>
      <c r="K116" s="2592"/>
      <c r="L116" s="2592"/>
      <c r="M116" s="2592"/>
      <c r="N116" s="2592"/>
      <c r="O116" s="2592"/>
      <c r="P116" s="2592"/>
      <c r="Q116" s="2592"/>
      <c r="R116" s="2592"/>
      <c r="S116" s="2592"/>
      <c r="T116" s="2592"/>
      <c r="U116" s="2592"/>
      <c r="V116" s="2592"/>
      <c r="W116" s="2592"/>
      <c r="X116" s="2592"/>
      <c r="Y116" s="2592"/>
      <c r="Z116" s="2592"/>
      <c r="AA116" s="2592"/>
      <c r="AB116" s="2592"/>
      <c r="AC116" s="2592"/>
      <c r="AD116" s="2592"/>
      <c r="AE116" s="2592"/>
      <c r="AF116" s="2592"/>
      <c r="AG116" s="2592"/>
      <c r="AH116" s="2592"/>
      <c r="AI116" s="2592"/>
      <c r="AJ116" s="2593"/>
      <c r="AK116" s="540"/>
      <c r="AL116" s="540"/>
      <c r="AM116" s="540"/>
      <c r="AN116" s="535"/>
      <c r="AO116" s="536" t="str">
        <f>Application!B731</f>
        <v>2 Bedrooms</v>
      </c>
      <c r="AQ116" s="536">
        <f>Application!O731</f>
        <v>1762</v>
      </c>
      <c r="AU116" s="852" t="str">
        <f>J123</f>
        <v>1-bedroom</v>
      </c>
      <c r="AV116" s="536">
        <f t="array" ref="AV116">SUM(IF(Application!B726:F760="1 Bedroom",Application!G726:J760))</f>
        <v>46</v>
      </c>
      <c r="AW116" s="1006">
        <f>AV116/AV121</f>
        <v>0.35384615384615387</v>
      </c>
    </row>
    <row r="117" spans="1:52" s="536" customFormat="1" ht="12.75" customHeight="1">
      <c r="A117" s="540"/>
      <c r="B117" s="539"/>
      <c r="C117" s="539"/>
      <c r="D117" s="539"/>
      <c r="E117" s="2591"/>
      <c r="F117" s="2592"/>
      <c r="G117" s="2592"/>
      <c r="H117" s="2592"/>
      <c r="I117" s="2592"/>
      <c r="J117" s="2592"/>
      <c r="K117" s="2592"/>
      <c r="L117" s="2592"/>
      <c r="M117" s="2592"/>
      <c r="N117" s="2592"/>
      <c r="O117" s="2592"/>
      <c r="P117" s="2592"/>
      <c r="Q117" s="2592"/>
      <c r="R117" s="2592"/>
      <c r="S117" s="2592"/>
      <c r="T117" s="2592"/>
      <c r="U117" s="2592"/>
      <c r="V117" s="2592"/>
      <c r="W117" s="2592"/>
      <c r="X117" s="2592"/>
      <c r="Y117" s="2592"/>
      <c r="Z117" s="2592"/>
      <c r="AA117" s="2592"/>
      <c r="AB117" s="2592"/>
      <c r="AC117" s="2592"/>
      <c r="AD117" s="2592"/>
      <c r="AE117" s="2592"/>
      <c r="AF117" s="2592"/>
      <c r="AG117" s="2592"/>
      <c r="AH117" s="2592"/>
      <c r="AI117" s="2592"/>
      <c r="AJ117" s="2593"/>
      <c r="AK117" s="540"/>
      <c r="AL117" s="540"/>
      <c r="AM117" s="540"/>
      <c r="AN117" s="535"/>
      <c r="AO117" s="536" t="str">
        <f>Application!B732</f>
        <v>2 Bedrooms</v>
      </c>
      <c r="AQ117" s="536">
        <f>Application!O732</f>
        <v>2122</v>
      </c>
      <c r="AU117" s="852" t="str">
        <f>O123</f>
        <v>2-bedroom</v>
      </c>
      <c r="AV117" s="536">
        <f t="array" ref="AV117">SUM(IF(Application!B726:F760="2 Bedrooms",Application!G726:J760))</f>
        <v>42</v>
      </c>
      <c r="AW117" s="1006">
        <f>AV117/AV121</f>
        <v>0.32307692307692309</v>
      </c>
    </row>
    <row r="118" spans="1:52" s="536" customFormat="1" ht="12.75" customHeight="1">
      <c r="A118" s="540"/>
      <c r="B118" s="539"/>
      <c r="C118" s="539"/>
      <c r="D118" s="539"/>
      <c r="E118" s="2591"/>
      <c r="F118" s="2592"/>
      <c r="G118" s="2592"/>
      <c r="H118" s="2592"/>
      <c r="I118" s="2592"/>
      <c r="J118" s="2592"/>
      <c r="K118" s="2592"/>
      <c r="L118" s="2592"/>
      <c r="M118" s="2592"/>
      <c r="N118" s="2592"/>
      <c r="O118" s="2592"/>
      <c r="P118" s="2592"/>
      <c r="Q118" s="2592"/>
      <c r="R118" s="2592"/>
      <c r="S118" s="2592"/>
      <c r="T118" s="2592"/>
      <c r="U118" s="2592"/>
      <c r="V118" s="2592"/>
      <c r="W118" s="2592"/>
      <c r="X118" s="2592"/>
      <c r="Y118" s="2592"/>
      <c r="Z118" s="2592"/>
      <c r="AA118" s="2592"/>
      <c r="AB118" s="2592"/>
      <c r="AC118" s="2592"/>
      <c r="AD118" s="2592"/>
      <c r="AE118" s="2592"/>
      <c r="AF118" s="2592"/>
      <c r="AG118" s="2592"/>
      <c r="AH118" s="2592"/>
      <c r="AI118" s="2592"/>
      <c r="AJ118" s="2593"/>
      <c r="AK118" s="540"/>
      <c r="AL118" s="540"/>
      <c r="AM118" s="540"/>
      <c r="AN118" s="535"/>
      <c r="AO118" s="536" t="str">
        <f>Application!B733</f>
        <v>2 Bedrooms</v>
      </c>
      <c r="AQ118" s="536">
        <f>Application!O733</f>
        <v>2619</v>
      </c>
      <c r="AU118" s="852" t="str">
        <f>T123</f>
        <v>3-bedroom</v>
      </c>
      <c r="AV118" s="536">
        <f t="array" ref="AV118">SUM(IF(Application!B726:F760="3 Bedrooms",Application!G726:J760))</f>
        <v>42</v>
      </c>
      <c r="AW118" s="1006">
        <f>AV118/AV121</f>
        <v>0.32307692307692309</v>
      </c>
    </row>
    <row r="119" spans="1:52" s="536" customFormat="1" ht="12.75" customHeight="1">
      <c r="A119" s="540"/>
      <c r="B119" s="539"/>
      <c r="C119" s="539"/>
      <c r="D119" s="539"/>
      <c r="E119" s="2591"/>
      <c r="F119" s="2592"/>
      <c r="G119" s="2592"/>
      <c r="H119" s="2592"/>
      <c r="I119" s="2592"/>
      <c r="J119" s="2592"/>
      <c r="K119" s="2592"/>
      <c r="L119" s="2592"/>
      <c r="M119" s="2592"/>
      <c r="N119" s="2592"/>
      <c r="O119" s="2592"/>
      <c r="P119" s="2592"/>
      <c r="Q119" s="2592"/>
      <c r="R119" s="2592"/>
      <c r="S119" s="2592"/>
      <c r="T119" s="2592"/>
      <c r="U119" s="2592"/>
      <c r="V119" s="2592"/>
      <c r="W119" s="2592"/>
      <c r="X119" s="2592"/>
      <c r="Y119" s="2592"/>
      <c r="Z119" s="2592"/>
      <c r="AA119" s="2592"/>
      <c r="AB119" s="2592"/>
      <c r="AC119" s="2592"/>
      <c r="AD119" s="2592"/>
      <c r="AE119" s="2592"/>
      <c r="AF119" s="2592"/>
      <c r="AG119" s="2592"/>
      <c r="AH119" s="2592"/>
      <c r="AI119" s="2592"/>
      <c r="AJ119" s="2593"/>
      <c r="AK119" s="540"/>
      <c r="AL119" s="540"/>
      <c r="AM119" s="540"/>
      <c r="AN119" s="535"/>
      <c r="AO119" s="536" t="str">
        <f>Application!B734</f>
        <v>3 Bedrooms</v>
      </c>
      <c r="AQ119" s="536">
        <f>Application!O734</f>
        <v>1202</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1"/>
      <c r="F120" s="2592"/>
      <c r="G120" s="2592"/>
      <c r="H120" s="2592"/>
      <c r="I120" s="2592"/>
      <c r="J120" s="2592"/>
      <c r="K120" s="2592"/>
      <c r="L120" s="2592"/>
      <c r="M120" s="2592"/>
      <c r="N120" s="2592"/>
      <c r="O120" s="2592"/>
      <c r="P120" s="2592"/>
      <c r="Q120" s="2592"/>
      <c r="R120" s="2592"/>
      <c r="S120" s="2592"/>
      <c r="T120" s="2592"/>
      <c r="U120" s="2592"/>
      <c r="V120" s="2592"/>
      <c r="W120" s="2592"/>
      <c r="X120" s="2592"/>
      <c r="Y120" s="2592"/>
      <c r="Z120" s="2592"/>
      <c r="AA120" s="2592"/>
      <c r="AB120" s="2592"/>
      <c r="AC120" s="2592"/>
      <c r="AD120" s="2592"/>
      <c r="AE120" s="2592"/>
      <c r="AF120" s="2592"/>
      <c r="AG120" s="2592"/>
      <c r="AH120" s="2592"/>
      <c r="AI120" s="2592"/>
      <c r="AJ120" s="2593"/>
      <c r="AK120" s="540"/>
      <c r="AL120" s="540"/>
      <c r="AM120" s="540"/>
      <c r="AN120" s="535"/>
      <c r="AO120" s="536" t="str">
        <f>Application!B735</f>
        <v>3 Bedrooms</v>
      </c>
      <c r="AQ120" s="536">
        <f>Application!O735</f>
        <v>2033</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1"/>
      <c r="F121" s="2592"/>
      <c r="G121" s="2592"/>
      <c r="H121" s="2592"/>
      <c r="I121" s="2592"/>
      <c r="J121" s="2592"/>
      <c r="K121" s="2592"/>
      <c r="L121" s="2592"/>
      <c r="M121" s="2592"/>
      <c r="N121" s="2592"/>
      <c r="O121" s="2592"/>
      <c r="P121" s="2592"/>
      <c r="Q121" s="2592"/>
      <c r="R121" s="2592"/>
      <c r="S121" s="2592"/>
      <c r="T121" s="2592"/>
      <c r="U121" s="2592"/>
      <c r="V121" s="2592"/>
      <c r="W121" s="2592"/>
      <c r="X121" s="2592"/>
      <c r="Y121" s="2592"/>
      <c r="Z121" s="2592"/>
      <c r="AA121" s="2592"/>
      <c r="AB121" s="2592"/>
      <c r="AC121" s="2592"/>
      <c r="AD121" s="2592"/>
      <c r="AE121" s="2592"/>
      <c r="AF121" s="2592"/>
      <c r="AG121" s="2592"/>
      <c r="AH121" s="2592"/>
      <c r="AI121" s="2592"/>
      <c r="AJ121" s="2593"/>
      <c r="AK121" s="540"/>
      <c r="AL121" s="540"/>
      <c r="AM121" s="540"/>
      <c r="AN121" s="535"/>
      <c r="AO121" s="536" t="str">
        <f>Application!B736</f>
        <v>3 Bedrooms</v>
      </c>
      <c r="AQ121" s="536">
        <f>Application!O736</f>
        <v>2449</v>
      </c>
      <c r="AV121" s="536">
        <f>SUM(AV115:AV120)</f>
        <v>130</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t="str">
        <f>Application!B737</f>
        <v>3 Bedrooms</v>
      </c>
      <c r="AQ122" s="536">
        <f>Application!O737</f>
        <v>3096</v>
      </c>
    </row>
    <row r="123" spans="1:52" s="536" customFormat="1" ht="12.75" customHeight="1">
      <c r="A123" s="540"/>
      <c r="B123" s="539"/>
      <c r="C123" s="540"/>
      <c r="D123" s="540"/>
      <c r="E123" s="2600" t="s">
        <v>1575</v>
      </c>
      <c r="F123" s="2601"/>
      <c r="G123" s="2601"/>
      <c r="H123" s="2601"/>
      <c r="I123" s="575"/>
      <c r="J123" s="2601" t="s">
        <v>1618</v>
      </c>
      <c r="K123" s="2601"/>
      <c r="L123" s="2601"/>
      <c r="M123" s="2601"/>
      <c r="N123" s="575"/>
      <c r="O123" s="2601" t="s">
        <v>1619</v>
      </c>
      <c r="P123" s="2601"/>
      <c r="Q123" s="2601"/>
      <c r="R123" s="2601"/>
      <c r="S123" s="575"/>
      <c r="T123" s="2601" t="s">
        <v>1326</v>
      </c>
      <c r="U123" s="2601"/>
      <c r="V123" s="2601"/>
      <c r="W123" s="2601"/>
      <c r="X123" s="575"/>
      <c r="Y123" s="2601" t="s">
        <v>1620</v>
      </c>
      <c r="Z123" s="2601"/>
      <c r="AA123" s="2601"/>
      <c r="AB123" s="2601"/>
      <c r="AC123" s="575"/>
      <c r="AD123" s="2601" t="s">
        <v>1621</v>
      </c>
      <c r="AE123" s="2601"/>
      <c r="AF123" s="2601"/>
      <c r="AG123" s="2601"/>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1622</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02"/>
      <c r="F126" s="2603"/>
      <c r="G126" s="2603"/>
      <c r="H126" s="2603"/>
      <c r="I126" s="860"/>
      <c r="J126" s="2603">
        <v>2832</v>
      </c>
      <c r="K126" s="2603"/>
      <c r="L126" s="2603"/>
      <c r="M126" s="2603"/>
      <c r="N126" s="860"/>
      <c r="O126" s="2603">
        <v>3016</v>
      </c>
      <c r="P126" s="2603"/>
      <c r="Q126" s="2603"/>
      <c r="R126" s="2603"/>
      <c r="S126" s="860"/>
      <c r="T126" s="2603">
        <v>3463</v>
      </c>
      <c r="U126" s="2603"/>
      <c r="V126" s="2603"/>
      <c r="W126" s="2603"/>
      <c r="X126" s="860"/>
      <c r="Y126" s="2603"/>
      <c r="Z126" s="2603"/>
      <c r="AA126" s="2603"/>
      <c r="AB126" s="2603"/>
      <c r="AC126" s="860"/>
      <c r="AD126" s="2603"/>
      <c r="AE126" s="2603"/>
      <c r="AF126" s="2603"/>
      <c r="AG126" s="2603"/>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1819</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36">
        <f>Application!DX678</f>
        <v>0</v>
      </c>
      <c r="F129" s="2610"/>
      <c r="G129" s="2610"/>
      <c r="H129" s="2610"/>
      <c r="I129" s="860"/>
      <c r="J129" s="2610">
        <f>Application!EC678</f>
        <v>1882.0217391304348</v>
      </c>
      <c r="K129" s="2610"/>
      <c r="L129" s="2610"/>
      <c r="M129" s="2610"/>
      <c r="N129" s="860"/>
      <c r="O129" s="2610">
        <f>Application!EH678</f>
        <v>2018.8571428571431</v>
      </c>
      <c r="P129" s="2610"/>
      <c r="Q129" s="2610"/>
      <c r="R129" s="2610"/>
      <c r="S129" s="864"/>
      <c r="T129" s="2610">
        <f>Application!EM678</f>
        <v>2208.2142857142858</v>
      </c>
      <c r="U129" s="2610"/>
      <c r="V129" s="2610"/>
      <c r="W129" s="2610"/>
      <c r="X129" s="864"/>
      <c r="Y129" s="2610">
        <f>Application!ER678</f>
        <v>0</v>
      </c>
      <c r="Z129" s="2610"/>
      <c r="AA129" s="2610"/>
      <c r="AB129" s="2610"/>
      <c r="AC129" s="864"/>
      <c r="AD129" s="2610">
        <f>Application!EW678</f>
        <v>0</v>
      </c>
      <c r="AE129" s="2610"/>
      <c r="AF129" s="2610"/>
      <c r="AG129" s="2610"/>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1820</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18" t="e">
        <f>(E126-E129)/E126</f>
        <v>#DIV/0!</v>
      </c>
      <c r="F132" s="2419"/>
      <c r="G132" s="2419"/>
      <c r="H132" s="2420"/>
      <c r="I132" s="575"/>
      <c r="J132" s="2418">
        <f>(J126-J129)/J126</f>
        <v>0.33544430115450752</v>
      </c>
      <c r="K132" s="2419"/>
      <c r="L132" s="2419"/>
      <c r="M132" s="2420"/>
      <c r="N132" s="575"/>
      <c r="O132" s="2418">
        <f>(O126-O129)/O126</f>
        <v>0.33061765820386502</v>
      </c>
      <c r="P132" s="2419"/>
      <c r="Q132" s="2419"/>
      <c r="R132" s="2420"/>
      <c r="S132" s="575"/>
      <c r="T132" s="2418">
        <f>(T126-T129)/T126</f>
        <v>0.36234066251392266</v>
      </c>
      <c r="U132" s="2419"/>
      <c r="V132" s="2419"/>
      <c r="W132" s="2420"/>
      <c r="X132" s="575"/>
      <c r="Y132" s="2418" t="e">
        <f>(Y126-Y129)/Y126</f>
        <v>#DIV/0!</v>
      </c>
      <c r="Z132" s="2419"/>
      <c r="AA132" s="2419"/>
      <c r="AB132" s="2420"/>
      <c r="AC132" s="575"/>
      <c r="AD132" s="2418" t="e">
        <f>(AD126-AD129)/AD126</f>
        <v>#DIV/0!</v>
      </c>
      <c r="AE132" s="2419"/>
      <c r="AF132" s="2419"/>
      <c r="AG132" s="2420"/>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1821</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07" t="e">
        <f>IF(((E132-0.1)*AW115)&gt;0,((E132-0.1)*AW115),0)</f>
        <v>#DIV/0!</v>
      </c>
      <c r="F135" s="2608"/>
      <c r="G135" s="2608"/>
      <c r="H135" s="2609"/>
      <c r="I135" s="575"/>
      <c r="J135" s="2607">
        <f>IF(((J132-0.1)*AW116)&gt;0,((J132-0.1)*AW116),0)</f>
        <v>8.3311060408518045E-2</v>
      </c>
      <c r="K135" s="2608"/>
      <c r="L135" s="2608"/>
      <c r="M135" s="2609"/>
      <c r="N135" s="575"/>
      <c r="O135" s="2607">
        <f>IF(((O132-0.1)*AW117)&gt;0,((O132-0.1)*AW117),0)</f>
        <v>7.450724341971024E-2</v>
      </c>
      <c r="P135" s="2608"/>
      <c r="Q135" s="2608"/>
      <c r="R135" s="2609"/>
      <c r="S135" s="575"/>
      <c r="T135" s="2607">
        <f>IF(((T132-0.1)*AW118)&gt;0,((T132-0.1)*AW118),0)</f>
        <v>8.4756214042959618E-2</v>
      </c>
      <c r="U135" s="2608"/>
      <c r="V135" s="2608"/>
      <c r="W135" s="2609"/>
      <c r="X135" s="575"/>
      <c r="Y135" s="2607" t="e">
        <f>IF(((Y132-0.1)*AW119)&gt;0,((Y132-0.1)*AW119),0)</f>
        <v>#DIV/0!</v>
      </c>
      <c r="Z135" s="2608"/>
      <c r="AA135" s="2608"/>
      <c r="AB135" s="2609"/>
      <c r="AC135" s="575"/>
      <c r="AD135" s="2607" t="e">
        <f>IF(((AD132-0.1)*AW120)&gt;0,((AD132-0.1)*AW120),0)</f>
        <v>#DIV/0!</v>
      </c>
      <c r="AE135" s="2608"/>
      <c r="AF135" s="2608"/>
      <c r="AG135" s="2609"/>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18">
        <f>ROUNDDOWN(SUMIF(E135:AG135,"&gt;0"),2)</f>
        <v>0.24</v>
      </c>
      <c r="F137" s="2419"/>
      <c r="G137" s="2419"/>
      <c r="H137" s="2420"/>
      <c r="I137" s="575"/>
      <c r="J137" s="578" t="s">
        <v>1822</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79">
        <f>IF((E137*100)&gt;10,10,E137*100)</f>
        <v>10</v>
      </c>
      <c r="F138" s="2580"/>
      <c r="G138" s="2580"/>
      <c r="H138" s="2581"/>
      <c r="I138" s="575"/>
      <c r="J138" s="578" t="s">
        <v>1320</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1327</v>
      </c>
      <c r="AK142" s="2579">
        <f>E138</f>
        <v>10</v>
      </c>
      <c r="AL142" s="2580"/>
      <c r="AM142" s="2581"/>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1328</v>
      </c>
      <c r="AE145" s="2445" t="s">
        <v>1306</v>
      </c>
      <c r="AF145" s="2445"/>
      <c r="AG145" s="2445"/>
      <c r="AH145" s="2445"/>
      <c r="AI145" s="2445"/>
      <c r="AJ145" s="2445"/>
      <c r="AK145" s="2445"/>
      <c r="AL145" s="589"/>
      <c r="AN145" s="590"/>
      <c r="AO145" s="536"/>
    </row>
    <row r="146" spans="1:42" s="539" customFormat="1" ht="13" customHeight="1">
      <c r="A146" s="538"/>
      <c r="AE146" s="589"/>
      <c r="AF146" s="589"/>
      <c r="AG146" s="589"/>
      <c r="AH146" s="589"/>
      <c r="AI146" s="589"/>
      <c r="AJ146" s="589"/>
      <c r="AK146" s="589"/>
      <c r="AL146" s="589"/>
      <c r="AN146" s="590"/>
    </row>
    <row r="147" spans="1:42" s="536" customFormat="1" ht="12.75" customHeight="1">
      <c r="A147" s="538"/>
      <c r="B147" s="538" t="s">
        <v>1329</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86" t="s">
        <v>1330</v>
      </c>
      <c r="AG147" s="2386"/>
      <c r="AH147" s="2386"/>
      <c r="AI147" s="2386"/>
      <c r="AJ147" s="2386"/>
      <c r="AK147" s="2386"/>
      <c r="AL147" s="2386"/>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3" t="s">
        <v>2644</v>
      </c>
      <c r="C149" s="2583"/>
      <c r="D149" s="2583"/>
      <c r="E149" s="2583"/>
      <c r="F149" s="2583"/>
      <c r="G149" s="2583"/>
      <c r="H149" s="2583"/>
      <c r="I149" s="2583"/>
      <c r="J149" s="2583"/>
      <c r="K149" s="2583"/>
      <c r="L149" s="2583"/>
      <c r="M149" s="2583"/>
      <c r="N149" s="2583"/>
      <c r="O149" s="2583"/>
      <c r="P149" s="2583"/>
      <c r="Q149" s="2583"/>
      <c r="R149" s="2583"/>
      <c r="S149" s="2583"/>
      <c r="T149" s="2583"/>
      <c r="U149" s="2583"/>
      <c r="V149" s="2583"/>
      <c r="W149" s="2583"/>
      <c r="X149" s="2583"/>
      <c r="Y149" s="2583"/>
      <c r="Z149" s="2583"/>
      <c r="AA149" s="2583"/>
      <c r="AB149" s="2583"/>
      <c r="AC149" s="2583"/>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306</v>
      </c>
      <c r="AP150" s="544"/>
    </row>
    <row r="151" spans="1:42" s="536" customFormat="1" ht="12.75" customHeight="1">
      <c r="A151" s="538"/>
      <c r="B151" s="539" t="s">
        <v>1331</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1332</v>
      </c>
      <c r="AP151" s="489">
        <v>5</v>
      </c>
    </row>
    <row r="152" spans="1:42" s="536" customFormat="1" ht="12.75" customHeight="1">
      <c r="A152" s="538"/>
      <c r="B152" s="2584" t="s">
        <v>2624</v>
      </c>
      <c r="C152" s="2584"/>
      <c r="D152" s="2584"/>
      <c r="E152" s="2584"/>
      <c r="F152" s="2584"/>
      <c r="G152" s="2584"/>
      <c r="H152" s="2584"/>
      <c r="I152" s="2584"/>
      <c r="J152" s="2584"/>
      <c r="K152" s="2584"/>
      <c r="L152" s="2584"/>
      <c r="M152" s="2584"/>
      <c r="N152" s="2584"/>
      <c r="O152" s="2584"/>
      <c r="P152" s="2584"/>
      <c r="Q152" s="2584"/>
      <c r="R152" s="2584"/>
      <c r="S152" s="2584"/>
      <c r="T152" s="2584"/>
      <c r="U152" s="2584"/>
      <c r="V152" s="2584"/>
      <c r="W152" s="2584"/>
      <c r="X152" s="2584"/>
      <c r="Y152" s="2584"/>
      <c r="Z152" s="2584"/>
      <c r="AA152" s="2584"/>
      <c r="AB152" s="2584"/>
      <c r="AC152" s="2584"/>
      <c r="AD152" s="2584"/>
      <c r="AE152" s="2584"/>
      <c r="AF152" s="2584"/>
      <c r="AG152" s="2584"/>
      <c r="AH152" s="2584"/>
      <c r="AI152" s="2584"/>
      <c r="AM152" s="539"/>
      <c r="AN152" s="535"/>
      <c r="AO152" s="476" t="s">
        <v>1333</v>
      </c>
      <c r="AP152" s="489">
        <v>7</v>
      </c>
    </row>
    <row r="153" spans="1:42" s="536" customFormat="1" ht="13"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2624</v>
      </c>
      <c r="AP153" s="489">
        <v>7</v>
      </c>
    </row>
    <row r="154" spans="1:42" s="536" customFormat="1" ht="12.75" customHeight="1">
      <c r="A154" s="538"/>
      <c r="B154" s="539" t="s">
        <v>1334</v>
      </c>
      <c r="AB154" s="2393" t="s">
        <v>590</v>
      </c>
      <c r="AC154" s="2393"/>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1335</v>
      </c>
      <c r="AP155" s="489"/>
    </row>
    <row r="156" spans="1:42" s="536" customFormat="1" ht="12.75" customHeight="1">
      <c r="A156" s="538"/>
      <c r="B156" s="538" t="s">
        <v>1336</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1337</v>
      </c>
      <c r="AP156" s="489">
        <v>5</v>
      </c>
    </row>
    <row r="157" spans="1:42" s="536" customFormat="1" ht="12.75" customHeight="1">
      <c r="A157" s="538"/>
      <c r="B157" s="2584" t="s">
        <v>1335</v>
      </c>
      <c r="C157" s="2584"/>
      <c r="D157" s="2584"/>
      <c r="E157" s="2584"/>
      <c r="F157" s="2584"/>
      <c r="G157" s="2584"/>
      <c r="H157" s="2584"/>
      <c r="I157" s="2584"/>
      <c r="J157" s="2584"/>
      <c r="K157" s="2584"/>
      <c r="L157" s="2584"/>
      <c r="M157" s="2584"/>
      <c r="N157" s="2584"/>
      <c r="O157" s="2584"/>
      <c r="P157" s="2584"/>
      <c r="Q157" s="2584"/>
      <c r="R157" s="2584"/>
      <c r="S157" s="2584"/>
      <c r="T157" s="2584"/>
      <c r="U157" s="2584"/>
      <c r="V157" s="2584"/>
      <c r="W157" s="2584"/>
      <c r="X157" s="2584"/>
      <c r="Y157" s="2584"/>
      <c r="Z157" s="2584"/>
      <c r="AA157" s="2584"/>
      <c r="AB157" s="2584"/>
      <c r="AC157" s="2584"/>
      <c r="AD157" s="2584"/>
      <c r="AE157" s="2584"/>
      <c r="AF157" s="2584"/>
      <c r="AG157" s="2584"/>
      <c r="AH157" s="2584"/>
      <c r="AI157" s="2584"/>
      <c r="AJ157" s="2584"/>
      <c r="AN157" s="535"/>
      <c r="AO157" s="476" t="s">
        <v>1338</v>
      </c>
      <c r="AP157" s="489">
        <v>7</v>
      </c>
    </row>
    <row r="158" spans="1:42" s="536" customFormat="1" ht="12.75" customHeight="1">
      <c r="B158" s="539" t="s">
        <v>1339</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0" t="s">
        <v>2404</v>
      </c>
      <c r="C160" s="2390"/>
      <c r="D160" s="2390"/>
      <c r="E160" s="2390"/>
      <c r="F160" s="2390"/>
      <c r="G160" s="2390"/>
      <c r="H160" s="2390"/>
      <c r="I160" s="2390"/>
      <c r="J160" s="2390"/>
      <c r="K160" s="2390"/>
      <c r="L160" s="2390"/>
      <c r="M160" s="2390"/>
      <c r="N160" s="2390"/>
      <c r="O160" s="2390"/>
      <c r="P160" s="2390"/>
      <c r="Q160" s="2390"/>
      <c r="R160" s="2390"/>
      <c r="S160" s="2390"/>
      <c r="T160" s="2390"/>
      <c r="U160" s="2390"/>
      <c r="V160" s="2390"/>
      <c r="W160" s="2390"/>
      <c r="X160" s="2390"/>
      <c r="Y160" s="2390"/>
      <c r="Z160" s="2390"/>
      <c r="AA160" s="2390"/>
      <c r="AB160" s="2390"/>
      <c r="AC160" s="2390"/>
      <c r="AD160" s="2390"/>
      <c r="AE160" s="2390"/>
      <c r="AF160" s="2390"/>
      <c r="AG160" s="2390"/>
      <c r="AH160" s="2390"/>
      <c r="AI160" s="2390"/>
      <c r="AJ160" s="2390"/>
      <c r="AK160" s="1173"/>
      <c r="AM160" s="539"/>
      <c r="AN160" s="535"/>
      <c r="AO160" s="476"/>
      <c r="AP160" s="489"/>
    </row>
    <row r="161" spans="1:42" s="536" customFormat="1" ht="12.75" customHeight="1">
      <c r="B161" s="2390"/>
      <c r="C161" s="2390"/>
      <c r="D161" s="2390"/>
      <c r="E161" s="2390"/>
      <c r="F161" s="2390"/>
      <c r="G161" s="2390"/>
      <c r="H161" s="2390"/>
      <c r="I161" s="2390"/>
      <c r="J161" s="2390"/>
      <c r="K161" s="2390"/>
      <c r="L161" s="2390"/>
      <c r="M161" s="2390"/>
      <c r="N161" s="2390"/>
      <c r="O161" s="2390"/>
      <c r="P161" s="2390"/>
      <c r="Q161" s="2390"/>
      <c r="R161" s="2390"/>
      <c r="S161" s="2390"/>
      <c r="T161" s="2390"/>
      <c r="U161" s="2390"/>
      <c r="V161" s="2390"/>
      <c r="W161" s="2390"/>
      <c r="X161" s="2390"/>
      <c r="Y161" s="2390"/>
      <c r="Z161" s="2390"/>
      <c r="AA161" s="2390"/>
      <c r="AB161" s="2390"/>
      <c r="AC161" s="2390"/>
      <c r="AD161" s="2390"/>
      <c r="AE161" s="2390"/>
      <c r="AF161" s="2390"/>
      <c r="AG161" s="2390"/>
      <c r="AH161" s="2390"/>
      <c r="AI161" s="2390"/>
      <c r="AJ161" s="2390"/>
      <c r="AK161" s="1173"/>
      <c r="AM161" s="539"/>
      <c r="AN161" s="535"/>
      <c r="AO161" s="476"/>
      <c r="AP161" s="489"/>
    </row>
    <row r="162" spans="1:42" s="536" customFormat="1" ht="12.75" customHeight="1">
      <c r="C162" s="2391" t="s">
        <v>2405</v>
      </c>
      <c r="D162" s="2391"/>
      <c r="E162" s="2391"/>
      <c r="F162" s="2391"/>
      <c r="G162" s="2391"/>
      <c r="H162" s="2391"/>
      <c r="I162" s="2391"/>
      <c r="J162" s="2391"/>
      <c r="K162" s="2391"/>
      <c r="L162" s="2391"/>
      <c r="M162" s="2391"/>
      <c r="N162" s="2391"/>
      <c r="O162" s="2391"/>
      <c r="P162" s="2391"/>
      <c r="Q162" s="2391"/>
      <c r="R162" s="2391"/>
      <c r="S162" s="2391"/>
      <c r="T162" s="2391"/>
      <c r="U162" s="2391"/>
      <c r="V162" s="2391"/>
      <c r="W162" s="2391"/>
      <c r="X162" s="2391"/>
      <c r="Y162" s="2391"/>
      <c r="Z162" s="2391"/>
      <c r="AA162" s="2391"/>
      <c r="AB162" s="2391"/>
      <c r="AC162" s="2391"/>
      <c r="AD162" s="2391"/>
      <c r="AE162" s="2391"/>
      <c r="AF162" s="2391"/>
      <c r="AG162" s="2391"/>
      <c r="AH162" s="2391"/>
      <c r="AI162" s="2391"/>
      <c r="AJ162" s="2391"/>
      <c r="AK162" s="1173"/>
      <c r="AM162" s="539"/>
      <c r="AN162" s="535"/>
      <c r="AO162" s="476"/>
      <c r="AP162" s="489"/>
    </row>
    <row r="163" spans="1:42" s="536" customFormat="1" ht="12.75" customHeight="1">
      <c r="B163" s="1173"/>
      <c r="C163" s="2392" t="s">
        <v>2403</v>
      </c>
      <c r="D163" s="2392"/>
      <c r="E163" s="2392"/>
      <c r="F163" s="2392"/>
      <c r="G163" s="2392"/>
      <c r="H163" s="2392"/>
      <c r="I163" s="2392"/>
      <c r="J163" s="2392"/>
      <c r="K163" s="2392"/>
      <c r="L163" s="2392"/>
      <c r="M163" s="2392"/>
      <c r="N163" s="2392"/>
      <c r="O163" s="2392"/>
      <c r="P163" s="2392"/>
      <c r="Q163" s="2392"/>
      <c r="R163" s="2392"/>
      <c r="S163" s="2392"/>
      <c r="T163" s="2392"/>
      <c r="U163" s="2392"/>
      <c r="V163" s="2392"/>
      <c r="W163" s="2392"/>
      <c r="X163" s="2392"/>
      <c r="Y163" s="2392"/>
      <c r="Z163" s="2392"/>
      <c r="AA163" s="1163"/>
      <c r="AB163" s="1163"/>
      <c r="AC163" s="1163"/>
      <c r="AD163" s="1163"/>
      <c r="AE163" s="1163"/>
      <c r="AF163" s="1163"/>
      <c r="AG163" s="1163"/>
      <c r="AH163" s="1163"/>
      <c r="AJ163" s="2393" t="s">
        <v>544</v>
      </c>
      <c r="AK163" s="2393"/>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1341</v>
      </c>
      <c r="AJ165" s="2485">
        <f>IF($AB$154="N/A",VLOOKUP($B$152,$AO$150:$AP$153,2,FALSE),VLOOKUP($B$157,$AO$155:$AP$157,2,FALSE))</f>
        <v>7</v>
      </c>
      <c r="AK165" s="2485"/>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1343</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86" t="s">
        <v>1344</v>
      </c>
      <c r="AG167" s="2386"/>
      <c r="AH167" s="2386"/>
      <c r="AI167" s="2386"/>
      <c r="AJ167" s="2386"/>
      <c r="AK167" s="2386"/>
      <c r="AL167" s="2386"/>
      <c r="AM167" s="601"/>
      <c r="AN167" s="596"/>
    </row>
    <row r="168" spans="1:42" s="549" customFormat="1" ht="12.75" customHeight="1">
      <c r="A168" s="536"/>
      <c r="B168" s="539" t="s">
        <v>1345</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84" t="s">
        <v>1342</v>
      </c>
      <c r="D169" s="2584"/>
      <c r="E169" s="2584"/>
      <c r="F169" s="2584"/>
      <c r="G169" s="2584"/>
      <c r="H169" s="2584"/>
      <c r="I169" s="2584"/>
      <c r="J169" s="2584"/>
      <c r="K169" s="2584"/>
      <c r="L169" s="2584"/>
      <c r="M169" s="2584"/>
      <c r="N169" s="2584"/>
      <c r="O169" s="2584"/>
      <c r="P169" s="2584"/>
      <c r="Q169" s="2584"/>
      <c r="R169" s="2584"/>
      <c r="S169" s="2584"/>
      <c r="T169" s="2584"/>
      <c r="U169" s="2584"/>
      <c r="V169" s="2584"/>
      <c r="W169" s="2584"/>
      <c r="X169" s="2584"/>
      <c r="Y169" s="2584"/>
      <c r="Z169" s="2584"/>
      <c r="AA169" s="2584"/>
      <c r="AB169" s="2584"/>
      <c r="AC169" s="2584"/>
      <c r="AD169" s="2584"/>
      <c r="AE169" s="2584"/>
      <c r="AF169" s="2584"/>
      <c r="AG169" s="2584"/>
      <c r="AH169" s="2584"/>
      <c r="AI169" s="2584"/>
      <c r="AJ169" s="536"/>
      <c r="AK169" s="536"/>
      <c r="AL169" s="536"/>
      <c r="AM169" s="601"/>
      <c r="AN169" s="595"/>
      <c r="AO169" s="476" t="s">
        <v>306</v>
      </c>
      <c r="AP169" s="476"/>
    </row>
    <row r="170" spans="1:42" s="549" customFormat="1" ht="13"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1340</v>
      </c>
      <c r="AP170" s="597">
        <v>2</v>
      </c>
    </row>
    <row r="171" spans="1:42" s="549" customFormat="1" ht="12.75" customHeight="1">
      <c r="A171" s="536"/>
      <c r="B171" s="536"/>
      <c r="C171" s="539" t="s">
        <v>1347</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3" t="s">
        <v>590</v>
      </c>
      <c r="AG171" s="2393"/>
      <c r="AH171" s="536"/>
      <c r="AI171" s="536"/>
      <c r="AJ171" s="536"/>
      <c r="AK171" s="536"/>
      <c r="AL171" s="536"/>
      <c r="AM171" s="601"/>
      <c r="AN171" s="595"/>
      <c r="AO171" s="476" t="s">
        <v>1342</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2121</v>
      </c>
      <c r="AP172" s="597">
        <v>3</v>
      </c>
    </row>
    <row r="173" spans="1:42" s="549" customFormat="1" ht="12.75" customHeight="1">
      <c r="A173" s="536"/>
      <c r="B173" s="536"/>
      <c r="C173" s="2584" t="s">
        <v>1335</v>
      </c>
      <c r="D173" s="2584"/>
      <c r="E173" s="2584"/>
      <c r="F173" s="2584"/>
      <c r="G173" s="2584"/>
      <c r="H173" s="2584"/>
      <c r="I173" s="2584"/>
      <c r="J173" s="2584"/>
      <c r="K173" s="2584"/>
      <c r="L173" s="2584"/>
      <c r="M173" s="2584"/>
      <c r="N173" s="2584"/>
      <c r="O173" s="2584"/>
      <c r="P173" s="2584"/>
      <c r="Q173" s="2584"/>
      <c r="R173" s="2584"/>
      <c r="S173" s="2584"/>
      <c r="T173" s="2584"/>
      <c r="U173" s="2584"/>
      <c r="V173" s="2584"/>
      <c r="W173" s="2584"/>
      <c r="X173" s="2584"/>
      <c r="Y173" s="2584"/>
      <c r="Z173" s="2584"/>
      <c r="AA173" s="2584"/>
      <c r="AB173" s="2584"/>
      <c r="AC173" s="2584"/>
      <c r="AD173" s="2584"/>
      <c r="AE173" s="536"/>
      <c r="AF173" s="536"/>
      <c r="AG173" s="536"/>
      <c r="AH173" s="536"/>
      <c r="AI173" s="536"/>
      <c r="AJ173" s="536"/>
      <c r="AK173" s="536"/>
      <c r="AL173" s="536"/>
      <c r="AM173" s="601"/>
      <c r="AN173" s="595"/>
      <c r="AO173" s="600"/>
      <c r="AP173" s="597"/>
    </row>
    <row r="174" spans="1:42" s="549" customFormat="1" ht="12.75" customHeight="1">
      <c r="A174" s="536"/>
      <c r="B174" s="536"/>
      <c r="C174" s="539" t="s">
        <v>1339</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1349</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1335</v>
      </c>
      <c r="AP176" s="476"/>
    </row>
    <row r="177" spans="1:73" s="549" customFormat="1" ht="12.75" customHeight="1">
      <c r="A177" s="536"/>
      <c r="B177" s="536"/>
      <c r="C177" s="2585" t="str">
        <f>Application!AA344</f>
        <v xml:space="preserve">CONAM Management Corporation </v>
      </c>
      <c r="D177" s="2585"/>
      <c r="E177" s="2585"/>
      <c r="F177" s="2585"/>
      <c r="G177" s="2585"/>
      <c r="H177" s="2585"/>
      <c r="I177" s="2585"/>
      <c r="J177" s="2585"/>
      <c r="K177" s="2585"/>
      <c r="L177" s="2585"/>
      <c r="M177" s="2585"/>
      <c r="N177" s="2585"/>
      <c r="O177" s="2585"/>
      <c r="P177" s="2585"/>
      <c r="Q177" s="2585"/>
      <c r="R177" s="2585"/>
      <c r="S177" s="2585"/>
      <c r="T177" s="2585"/>
      <c r="U177" s="2585"/>
      <c r="V177" s="2585"/>
      <c r="W177" s="2585"/>
      <c r="X177" s="2585"/>
      <c r="Y177" s="2585"/>
      <c r="Z177" s="2585"/>
      <c r="AA177" s="2585"/>
      <c r="AB177" s="2585"/>
      <c r="AC177" s="2585"/>
      <c r="AD177" s="2585"/>
      <c r="AE177" s="536"/>
      <c r="AF177" s="536"/>
      <c r="AG177" s="536"/>
      <c r="AH177" s="536"/>
      <c r="AI177" s="536"/>
      <c r="AJ177" s="536"/>
      <c r="AK177" s="536"/>
      <c r="AL177" s="536"/>
      <c r="AM177" s="601"/>
      <c r="AN177" s="595"/>
      <c r="AO177" s="476" t="s">
        <v>1346</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1348</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1350</v>
      </c>
      <c r="AJ179" s="2484">
        <f>IF($AF$171="N/A",VLOOKUP($C$169,$AO$169:$AP$172,2,FALSE),VLOOKUP($C$173,$AO$176:$AP$178,2,FALSE))</f>
        <v>3</v>
      </c>
      <c r="AK179" s="2484"/>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1351</v>
      </c>
      <c r="AK182" s="2579">
        <f>$AJ$165+$AJ$179</f>
        <v>10</v>
      </c>
      <c r="AL182" s="2580"/>
      <c r="AM182" s="2581"/>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1352</v>
      </c>
      <c r="AQ184" s="610">
        <v>0</v>
      </c>
    </row>
    <row r="185" spans="1:73" s="549" customFormat="1" ht="12.75" customHeight="1">
      <c r="A185" s="538" t="s">
        <v>1353</v>
      </c>
      <c r="B185" s="538" t="s">
        <v>1714</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45" t="s">
        <v>1306</v>
      </c>
      <c r="AF185" s="2445"/>
      <c r="AG185" s="2445"/>
      <c r="AH185" s="2445"/>
      <c r="AI185" s="2445"/>
      <c r="AJ185" s="2445"/>
      <c r="AK185" s="2445"/>
      <c r="AL185" s="589"/>
      <c r="AN185" s="595"/>
      <c r="AP185" s="549" t="s">
        <v>1039</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1354</v>
      </c>
      <c r="AQ186" s="549">
        <v>10</v>
      </c>
    </row>
    <row r="187" spans="1:73" s="549" customFormat="1" ht="12.75" customHeight="1">
      <c r="A187" s="536"/>
      <c r="B187" s="2582" t="s">
        <v>1039</v>
      </c>
      <c r="C187" s="2582"/>
      <c r="D187" s="2582"/>
      <c r="E187" s="2582"/>
      <c r="F187" s="2582"/>
      <c r="G187" s="2582"/>
      <c r="H187" s="2582"/>
      <c r="I187" s="2582"/>
      <c r="J187" s="2582"/>
      <c r="K187" s="2582"/>
      <c r="L187" s="2582"/>
      <c r="M187" s="2582"/>
      <c r="N187" s="2582"/>
      <c r="O187" s="2582"/>
      <c r="P187" s="2582"/>
      <c r="Q187" s="2582"/>
      <c r="R187" s="2582"/>
      <c r="S187" s="2582"/>
      <c r="T187" s="2582"/>
      <c r="U187" s="2582"/>
      <c r="V187" s="2582"/>
      <c r="W187" s="2582"/>
      <c r="X187" s="2582"/>
      <c r="Y187" s="2582"/>
      <c r="Z187" s="2582"/>
      <c r="AA187" s="2582"/>
      <c r="AB187" s="2582"/>
      <c r="AC187" s="2582"/>
      <c r="AD187" s="536"/>
      <c r="AE187" s="536"/>
      <c r="AF187" s="2386" t="s">
        <v>1355</v>
      </c>
      <c r="AG187" s="2386"/>
      <c r="AH187" s="2386"/>
      <c r="AI187" s="2386"/>
      <c r="AJ187" s="2386"/>
      <c r="AK187" s="2386"/>
      <c r="AL187" s="2386"/>
      <c r="AN187" s="595"/>
      <c r="AP187" s="549" t="s">
        <v>1041</v>
      </c>
      <c r="AQ187" s="549">
        <v>10</v>
      </c>
    </row>
    <row r="188" spans="1:73" s="549" customFormat="1" ht="12.75" customHeight="1">
      <c r="A188" s="536"/>
      <c r="B188" s="2392" t="s">
        <v>1713</v>
      </c>
      <c r="C188" s="2392"/>
      <c r="D188" s="2392"/>
      <c r="E188" s="2392"/>
      <c r="F188" s="2392"/>
      <c r="G188" s="2392"/>
      <c r="H188" s="2392"/>
      <c r="I188" s="2392"/>
      <c r="J188" s="2392"/>
      <c r="K188" s="2392"/>
      <c r="L188" s="2392"/>
      <c r="M188" s="2392"/>
      <c r="N188" s="2392"/>
      <c r="O188" s="2392"/>
      <c r="P188" s="2392"/>
      <c r="Q188" s="2392"/>
      <c r="R188" s="2392"/>
      <c r="S188" s="2392"/>
      <c r="T188" s="2583" t="s">
        <v>590</v>
      </c>
      <c r="U188" s="2583"/>
      <c r="V188" s="2583"/>
      <c r="W188" s="2583"/>
      <c r="X188" s="2583"/>
      <c r="Y188" s="2583"/>
      <c r="Z188" s="2583"/>
      <c r="AA188" s="2583"/>
      <c r="AB188" s="2583"/>
      <c r="AC188" s="2583"/>
      <c r="AD188" s="536"/>
      <c r="AE188" s="536"/>
      <c r="AF188" s="536"/>
      <c r="AG188" s="536"/>
      <c r="AH188" s="536"/>
      <c r="AI188" s="536"/>
      <c r="AJ188" s="543"/>
      <c r="AK188" s="593"/>
      <c r="AL188" s="593"/>
      <c r="AM188" s="593"/>
      <c r="AN188" s="595"/>
      <c r="AP188" s="549" t="s">
        <v>1356</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2625</v>
      </c>
      <c r="AQ189" s="549">
        <v>10</v>
      </c>
      <c r="AS189" s="549" t="s">
        <v>1357</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1358</v>
      </c>
      <c r="AK190" s="2388">
        <f>IF(AK83&gt;0,VLOOKUP($B$187,AP184:AQ190,2,FALSE),0)</f>
        <v>10</v>
      </c>
      <c r="AL190" s="2434"/>
      <c r="AM190" s="2389"/>
      <c r="AN190" s="535"/>
      <c r="AP190" s="549" t="s">
        <v>1360</v>
      </c>
      <c r="AQ190" s="549">
        <v>10</v>
      </c>
      <c r="AS190" s="549" t="s">
        <v>1359</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t="13" hidden="1">
      <c r="A193" s="538" t="s">
        <v>1361</v>
      </c>
      <c r="B193" s="538" t="s">
        <v>1362</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45" t="s">
        <v>1363</v>
      </c>
      <c r="AF193" s="2445"/>
      <c r="AG193" s="2445"/>
      <c r="AH193" s="2445"/>
      <c r="AI193" s="2445"/>
      <c r="AJ193" s="2445"/>
      <c r="AK193" s="2445"/>
    </row>
    <row r="194" spans="1:37" ht="13"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t="13" hidden="1">
      <c r="A195" s="538"/>
      <c r="B195" s="840" t="s">
        <v>1576</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1612</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3"/>
      <c r="C198" s="2553"/>
      <c r="D198" s="2553"/>
      <c r="E198" s="2553"/>
      <c r="F198" s="2553"/>
      <c r="G198" s="2553"/>
      <c r="H198" s="2553"/>
      <c r="I198" s="2553"/>
      <c r="J198" s="2553"/>
      <c r="K198" s="2553"/>
      <c r="L198" s="2553"/>
      <c r="M198" s="2553"/>
      <c r="N198" s="2553"/>
      <c r="O198" s="2553"/>
      <c r="P198" s="2553"/>
      <c r="Q198" s="2553"/>
      <c r="R198" s="2553"/>
      <c r="S198" s="2553"/>
      <c r="T198" s="2553"/>
      <c r="U198" s="2553"/>
      <c r="V198" s="2553"/>
      <c r="W198" s="2553"/>
      <c r="X198" s="2553"/>
      <c r="Y198" s="2553"/>
      <c r="Z198" s="2553"/>
      <c r="AA198" s="2553"/>
      <c r="AB198" s="2553"/>
      <c r="AC198" s="842"/>
      <c r="AD198" s="2569"/>
      <c r="AE198" s="2569"/>
      <c r="AF198" s="2569"/>
      <c r="AG198" s="2569"/>
      <c r="AH198" s="2569"/>
      <c r="AI198" s="2569"/>
      <c r="AJ198" s="2569"/>
      <c r="AK198" s="608"/>
    </row>
    <row r="199" spans="1:37" hidden="1">
      <c r="A199" s="603"/>
      <c r="B199" s="2553"/>
      <c r="C199" s="2553"/>
      <c r="D199" s="2553"/>
      <c r="E199" s="2553"/>
      <c r="F199" s="2553"/>
      <c r="G199" s="2553"/>
      <c r="H199" s="2553"/>
      <c r="I199" s="2553"/>
      <c r="J199" s="2553"/>
      <c r="K199" s="2553"/>
      <c r="L199" s="2553"/>
      <c r="M199" s="2553"/>
      <c r="N199" s="2553"/>
      <c r="O199" s="2553"/>
      <c r="P199" s="2553"/>
      <c r="Q199" s="2553"/>
      <c r="R199" s="2553"/>
      <c r="S199" s="2553"/>
      <c r="T199" s="2553"/>
      <c r="U199" s="2553"/>
      <c r="V199" s="2553"/>
      <c r="W199" s="2553"/>
      <c r="X199" s="2553"/>
      <c r="Y199" s="2553"/>
      <c r="Z199" s="2553"/>
      <c r="AA199" s="2553"/>
      <c r="AB199" s="2553"/>
      <c r="AC199" s="842"/>
      <c r="AD199" s="2569"/>
      <c r="AE199" s="2569"/>
      <c r="AF199" s="2569"/>
      <c r="AG199" s="2569"/>
      <c r="AH199" s="2569"/>
      <c r="AI199" s="2569"/>
      <c r="AJ199" s="2569"/>
      <c r="AK199" s="608"/>
    </row>
    <row r="200" spans="1:37" hidden="1">
      <c r="A200" s="603"/>
      <c r="B200" s="2553"/>
      <c r="C200" s="2553"/>
      <c r="D200" s="2553"/>
      <c r="E200" s="2553"/>
      <c r="F200" s="2553"/>
      <c r="G200" s="2553"/>
      <c r="H200" s="2553"/>
      <c r="I200" s="2553"/>
      <c r="J200" s="2553"/>
      <c r="K200" s="2553"/>
      <c r="L200" s="2553"/>
      <c r="M200" s="2553"/>
      <c r="N200" s="2553"/>
      <c r="O200" s="2553"/>
      <c r="P200" s="2553"/>
      <c r="Q200" s="2553"/>
      <c r="R200" s="2553"/>
      <c r="S200" s="2553"/>
      <c r="T200" s="2553"/>
      <c r="U200" s="2553"/>
      <c r="V200" s="2553"/>
      <c r="W200" s="2553"/>
      <c r="X200" s="2553"/>
      <c r="Y200" s="2553"/>
      <c r="Z200" s="2553"/>
      <c r="AA200" s="2553"/>
      <c r="AB200" s="2553"/>
      <c r="AC200" s="842"/>
      <c r="AD200" s="2569"/>
      <c r="AE200" s="2569"/>
      <c r="AF200" s="2569"/>
      <c r="AG200" s="2569"/>
      <c r="AH200" s="2569"/>
      <c r="AI200" s="2569"/>
      <c r="AJ200" s="2569"/>
      <c r="AK200" s="608"/>
    </row>
    <row r="201" spans="1:37" hidden="1">
      <c r="A201" s="603"/>
      <c r="B201" s="2553"/>
      <c r="C201" s="2553"/>
      <c r="D201" s="2553"/>
      <c r="E201" s="2553"/>
      <c r="F201" s="2553"/>
      <c r="G201" s="2553"/>
      <c r="H201" s="2553"/>
      <c r="I201" s="2553"/>
      <c r="J201" s="2553"/>
      <c r="K201" s="2553"/>
      <c r="L201" s="2553"/>
      <c r="M201" s="2553"/>
      <c r="N201" s="2553"/>
      <c r="O201" s="2553"/>
      <c r="P201" s="2553"/>
      <c r="Q201" s="2553"/>
      <c r="R201" s="2553"/>
      <c r="S201" s="2553"/>
      <c r="T201" s="2553"/>
      <c r="U201" s="2553"/>
      <c r="V201" s="2553"/>
      <c r="W201" s="2553"/>
      <c r="X201" s="2553"/>
      <c r="Y201" s="2553"/>
      <c r="Z201" s="2553"/>
      <c r="AA201" s="2553"/>
      <c r="AB201" s="2553"/>
      <c r="AC201" s="842"/>
      <c r="AD201" s="2569"/>
      <c r="AE201" s="2569"/>
      <c r="AF201" s="2569"/>
      <c r="AG201" s="2569"/>
      <c r="AH201" s="2569"/>
      <c r="AI201" s="2569"/>
      <c r="AJ201" s="2569"/>
      <c r="AK201" s="608"/>
    </row>
    <row r="202" spans="1:37" hidden="1">
      <c r="A202" s="603"/>
      <c r="B202" s="2553"/>
      <c r="C202" s="2553"/>
      <c r="D202" s="2553"/>
      <c r="E202" s="2553"/>
      <c r="F202" s="2553"/>
      <c r="G202" s="2553"/>
      <c r="H202" s="2553"/>
      <c r="I202" s="2553"/>
      <c r="J202" s="2553"/>
      <c r="K202" s="2553"/>
      <c r="L202" s="2553"/>
      <c r="M202" s="2553"/>
      <c r="N202" s="2553"/>
      <c r="O202" s="2553"/>
      <c r="P202" s="2553"/>
      <c r="Q202" s="2553"/>
      <c r="R202" s="2553"/>
      <c r="S202" s="2553"/>
      <c r="T202" s="2553"/>
      <c r="U202" s="2553"/>
      <c r="V202" s="2553"/>
      <c r="W202" s="2553"/>
      <c r="X202" s="2553"/>
      <c r="Y202" s="2553"/>
      <c r="Z202" s="2553"/>
      <c r="AA202" s="2553"/>
      <c r="AB202" s="2553"/>
      <c r="AC202" s="842"/>
      <c r="AD202" s="2569"/>
      <c r="AE202" s="2569"/>
      <c r="AF202" s="2569"/>
      <c r="AG202" s="2569"/>
      <c r="AH202" s="2569"/>
      <c r="AI202" s="2569"/>
      <c r="AJ202" s="2569"/>
      <c r="AK202" s="608"/>
    </row>
    <row r="203" spans="1:37" hidden="1">
      <c r="A203" s="603"/>
      <c r="B203" s="2553"/>
      <c r="C203" s="2553"/>
      <c r="D203" s="2553"/>
      <c r="E203" s="2553"/>
      <c r="F203" s="2553"/>
      <c r="G203" s="2553"/>
      <c r="H203" s="2553"/>
      <c r="I203" s="2553"/>
      <c r="J203" s="2553"/>
      <c r="K203" s="2553"/>
      <c r="L203" s="2553"/>
      <c r="M203" s="2553"/>
      <c r="N203" s="2553"/>
      <c r="O203" s="2553"/>
      <c r="P203" s="2553"/>
      <c r="Q203" s="2553"/>
      <c r="R203" s="2553"/>
      <c r="S203" s="2553"/>
      <c r="T203" s="2553"/>
      <c r="U203" s="2553"/>
      <c r="V203" s="2553"/>
      <c r="W203" s="2553"/>
      <c r="X203" s="2553"/>
      <c r="Y203" s="2553"/>
      <c r="Z203" s="2553"/>
      <c r="AA203" s="2553"/>
      <c r="AB203" s="2553"/>
      <c r="AC203" s="842"/>
      <c r="AD203" s="2569"/>
      <c r="AE203" s="2569"/>
      <c r="AF203" s="2569"/>
      <c r="AG203" s="2569"/>
      <c r="AH203" s="2569"/>
      <c r="AI203" s="2569"/>
      <c r="AJ203" s="2569"/>
      <c r="AK203" s="608"/>
    </row>
    <row r="204" spans="1:37" hidden="1">
      <c r="A204" s="603"/>
      <c r="B204" s="2553"/>
      <c r="C204" s="2553"/>
      <c r="D204" s="2553"/>
      <c r="E204" s="2553"/>
      <c r="F204" s="2553"/>
      <c r="G204" s="2553"/>
      <c r="H204" s="2553"/>
      <c r="I204" s="2553"/>
      <c r="J204" s="2553"/>
      <c r="K204" s="2553"/>
      <c r="L204" s="2553"/>
      <c r="M204" s="2553"/>
      <c r="N204" s="2553"/>
      <c r="O204" s="2553"/>
      <c r="P204" s="2553"/>
      <c r="Q204" s="2553"/>
      <c r="R204" s="2553"/>
      <c r="S204" s="2553"/>
      <c r="T204" s="2553"/>
      <c r="U204" s="2553"/>
      <c r="V204" s="2553"/>
      <c r="W204" s="2553"/>
      <c r="X204" s="2553"/>
      <c r="Y204" s="2553"/>
      <c r="Z204" s="2553"/>
      <c r="AA204" s="2553"/>
      <c r="AB204" s="2553"/>
      <c r="AC204" s="842"/>
      <c r="AD204" s="2569"/>
      <c r="AE204" s="2569"/>
      <c r="AF204" s="2569"/>
      <c r="AG204" s="2569"/>
      <c r="AH204" s="2569"/>
      <c r="AI204" s="2569"/>
      <c r="AJ204" s="2569"/>
      <c r="AK204" s="608"/>
    </row>
    <row r="205" spans="1:37" hidden="1">
      <c r="A205" s="603"/>
      <c r="B205" s="2553"/>
      <c r="C205" s="2553"/>
      <c r="D205" s="2553"/>
      <c r="E205" s="2553"/>
      <c r="F205" s="2553"/>
      <c r="G205" s="2553"/>
      <c r="H205" s="2553"/>
      <c r="I205" s="2553"/>
      <c r="J205" s="2553"/>
      <c r="K205" s="2553"/>
      <c r="L205" s="2553"/>
      <c r="M205" s="2553"/>
      <c r="N205" s="2553"/>
      <c r="O205" s="2553"/>
      <c r="P205" s="2553"/>
      <c r="Q205" s="2553"/>
      <c r="R205" s="2553"/>
      <c r="S205" s="2553"/>
      <c r="T205" s="2553"/>
      <c r="U205" s="2553"/>
      <c r="V205" s="2553"/>
      <c r="W205" s="2553"/>
      <c r="X205" s="2553"/>
      <c r="Y205" s="2553"/>
      <c r="Z205" s="2553"/>
      <c r="AA205" s="2553"/>
      <c r="AB205" s="2553"/>
      <c r="AC205" s="842"/>
      <c r="AD205" s="2569"/>
      <c r="AE205" s="2569"/>
      <c r="AF205" s="2569"/>
      <c r="AG205" s="2569"/>
      <c r="AH205" s="2569"/>
      <c r="AI205" s="2569"/>
      <c r="AJ205" s="2569"/>
      <c r="AK205" s="608"/>
    </row>
    <row r="206" spans="1:37" hidden="1">
      <c r="A206" s="603"/>
      <c r="B206" s="2553"/>
      <c r="C206" s="2553"/>
      <c r="D206" s="2553"/>
      <c r="E206" s="2553"/>
      <c r="F206" s="2553"/>
      <c r="G206" s="2553"/>
      <c r="H206" s="2553"/>
      <c r="I206" s="2553"/>
      <c r="J206" s="2553"/>
      <c r="K206" s="2553"/>
      <c r="L206" s="2553"/>
      <c r="M206" s="2553"/>
      <c r="N206" s="2553"/>
      <c r="O206" s="2553"/>
      <c r="P206" s="2553"/>
      <c r="Q206" s="2553"/>
      <c r="R206" s="2553"/>
      <c r="S206" s="2553"/>
      <c r="T206" s="2553"/>
      <c r="U206" s="2553"/>
      <c r="V206" s="2553"/>
      <c r="W206" s="2553"/>
      <c r="X206" s="2553"/>
      <c r="Y206" s="2553"/>
      <c r="Z206" s="2553"/>
      <c r="AA206" s="2553"/>
      <c r="AB206" s="2553"/>
      <c r="AC206" s="842"/>
      <c r="AD206" s="2569"/>
      <c r="AE206" s="2569"/>
      <c r="AF206" s="2569"/>
      <c r="AG206" s="2569"/>
      <c r="AH206" s="2569"/>
      <c r="AI206" s="2569"/>
      <c r="AJ206" s="2569"/>
      <c r="AK206" s="608"/>
    </row>
    <row r="207" spans="1:37" hidden="1">
      <c r="A207" s="603"/>
      <c r="B207" s="2553"/>
      <c r="C207" s="2553"/>
      <c r="D207" s="2553"/>
      <c r="E207" s="2553"/>
      <c r="F207" s="2553"/>
      <c r="G207" s="2553"/>
      <c r="H207" s="2553"/>
      <c r="I207" s="2553"/>
      <c r="J207" s="2553"/>
      <c r="K207" s="2553"/>
      <c r="L207" s="2553"/>
      <c r="M207" s="2553"/>
      <c r="N207" s="2553"/>
      <c r="O207" s="2553"/>
      <c r="P207" s="2553"/>
      <c r="Q207" s="2553"/>
      <c r="R207" s="2553"/>
      <c r="S207" s="2553"/>
      <c r="T207" s="2553"/>
      <c r="U207" s="2553"/>
      <c r="V207" s="2553"/>
      <c r="W207" s="2553"/>
      <c r="X207" s="2553"/>
      <c r="Y207" s="2553"/>
      <c r="Z207" s="2553"/>
      <c r="AA207" s="2553"/>
      <c r="AB207" s="2553"/>
      <c r="AC207" s="842"/>
      <c r="AD207" s="2569"/>
      <c r="AE207" s="2569"/>
      <c r="AF207" s="2569"/>
      <c r="AG207" s="2569"/>
      <c r="AH207" s="2569"/>
      <c r="AI207" s="2569"/>
      <c r="AJ207" s="2569"/>
      <c r="AK207" s="608"/>
    </row>
    <row r="208" spans="1:37" hidden="1">
      <c r="A208" s="603"/>
      <c r="B208" s="2562" t="s">
        <v>1614</v>
      </c>
      <c r="C208" s="2562"/>
      <c r="D208" s="2562"/>
      <c r="E208" s="2562"/>
      <c r="F208" s="2562"/>
      <c r="G208" s="2562"/>
      <c r="H208" s="2562"/>
      <c r="I208" s="2562"/>
      <c r="J208" s="2562"/>
      <c r="K208" s="2562"/>
      <c r="L208" s="2562"/>
      <c r="M208" s="2562"/>
      <c r="N208" s="2562"/>
      <c r="O208" s="2562"/>
      <c r="P208" s="2562"/>
      <c r="Q208" s="2562"/>
      <c r="R208" s="2562"/>
      <c r="S208" s="2562"/>
      <c r="T208" s="2562"/>
      <c r="U208" s="2562"/>
      <c r="V208" s="2562"/>
      <c r="W208" s="2562"/>
      <c r="X208" s="2562"/>
      <c r="Y208" s="2562"/>
      <c r="Z208" s="2562"/>
      <c r="AA208" s="2562"/>
      <c r="AB208" s="2562"/>
      <c r="AC208" s="536"/>
      <c r="AD208" s="2567">
        <f>AB259</f>
        <v>0</v>
      </c>
      <c r="AE208" s="2567"/>
      <c r="AF208" s="2567"/>
      <c r="AG208" s="2567"/>
      <c r="AH208" s="2567"/>
      <c r="AI208" s="2567"/>
      <c r="AJ208" s="2567"/>
      <c r="AK208" s="608"/>
    </row>
    <row r="209" spans="1:37" hidden="1">
      <c r="A209" s="603"/>
      <c r="B209" s="2408" t="s">
        <v>1577</v>
      </c>
      <c r="C209" s="2408"/>
      <c r="D209" s="2408"/>
      <c r="E209" s="2408"/>
      <c r="F209" s="2408"/>
      <c r="G209" s="2408"/>
      <c r="H209" s="2408"/>
      <c r="I209" s="2408"/>
      <c r="J209" s="2408"/>
      <c r="K209" s="2408"/>
      <c r="L209" s="2408"/>
      <c r="M209" s="2408"/>
      <c r="N209" s="2408"/>
      <c r="O209" s="2408"/>
      <c r="P209" s="2408"/>
      <c r="Q209" s="2408"/>
      <c r="R209" s="2408"/>
      <c r="S209" s="2408"/>
      <c r="T209" s="2408"/>
      <c r="U209" s="2408"/>
      <c r="V209" s="2408"/>
      <c r="W209" s="2408"/>
      <c r="X209" s="2408"/>
      <c r="Y209" s="2408"/>
      <c r="Z209" s="2408"/>
      <c r="AA209" s="2408"/>
      <c r="AB209" s="2408"/>
      <c r="AC209" s="842"/>
      <c r="AD209" s="2568">
        <f>'Sources and Uses Budget'!B15</f>
        <v>0</v>
      </c>
      <c r="AE209" s="2568"/>
      <c r="AF209" s="2568"/>
      <c r="AG209" s="2568"/>
      <c r="AH209" s="2568"/>
      <c r="AI209" s="2568"/>
      <c r="AJ209" s="2568"/>
      <c r="AK209" s="608"/>
    </row>
    <row r="210" spans="1:37" ht="13"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898</v>
      </c>
      <c r="AC210" s="536"/>
      <c r="AD210" s="2573">
        <f>SUM(AD198:AJ208)-AD209</f>
        <v>0</v>
      </c>
      <c r="AE210" s="2573"/>
      <c r="AF210" s="2573"/>
      <c r="AG210" s="2573"/>
      <c r="AH210" s="2573"/>
      <c r="AI210" s="2573"/>
      <c r="AJ210" s="2573"/>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t="13" hidden="1">
      <c r="A212" s="603"/>
      <c r="B212" s="498" t="s">
        <v>1582</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1613</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1584</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1585</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1984</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1586</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1587</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t="13" hidden="1">
      <c r="A219" s="850"/>
      <c r="B219" s="882" t="s">
        <v>1623</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596" t="s">
        <v>1594</v>
      </c>
      <c r="J221" s="2596"/>
      <c r="K221" s="2596"/>
      <c r="L221" s="536"/>
      <c r="M221" s="536"/>
      <c r="N221" s="536"/>
      <c r="O221" s="536"/>
      <c r="P221" s="536"/>
      <c r="Q221" s="536"/>
      <c r="R221" s="536"/>
      <c r="S221" s="536"/>
      <c r="T221" s="2422" t="s">
        <v>1588</v>
      </c>
      <c r="U221" s="2422"/>
      <c r="V221" s="2422"/>
      <c r="W221" s="2422"/>
      <c r="X221" s="2422"/>
      <c r="Y221" s="2422"/>
      <c r="Z221" s="845"/>
      <c r="AA221" s="489"/>
      <c r="AB221" s="2586" t="s">
        <v>1589</v>
      </c>
      <c r="AC221" s="2586"/>
      <c r="AD221" s="2586"/>
      <c r="AE221" s="2586"/>
      <c r="AF221" s="2586"/>
      <c r="AG221" s="2586"/>
      <c r="AH221" s="823"/>
      <c r="AI221" s="823"/>
      <c r="AJ221" s="823"/>
      <c r="AK221" s="608"/>
    </row>
    <row r="222" spans="1:37" hidden="1">
      <c r="A222" s="603"/>
      <c r="B222" s="2594" t="s">
        <v>1574</v>
      </c>
      <c r="C222" s="2594"/>
      <c r="D222" s="2594"/>
      <c r="E222" s="2594"/>
      <c r="F222" s="2594"/>
      <c r="G222" s="2594"/>
      <c r="I222" s="2595" t="s">
        <v>1595</v>
      </c>
      <c r="J222" s="2595"/>
      <c r="K222" s="2595"/>
      <c r="L222" s="1003"/>
      <c r="N222" s="2409" t="s">
        <v>1590</v>
      </c>
      <c r="O222" s="2409"/>
      <c r="P222" s="2409"/>
      <c r="Q222" s="2409"/>
      <c r="R222" s="2409"/>
      <c r="T222" s="2409" t="s">
        <v>1591</v>
      </c>
      <c r="U222" s="2409"/>
      <c r="V222" s="2409"/>
      <c r="W222" s="2409"/>
      <c r="X222" s="2409"/>
      <c r="Y222" s="2409"/>
      <c r="Z222" s="846"/>
      <c r="AA222" s="489"/>
      <c r="AB222" s="2465" t="s">
        <v>1592</v>
      </c>
      <c r="AC222" s="2465"/>
      <c r="AD222" s="2465"/>
      <c r="AE222" s="2465"/>
      <c r="AF222" s="2465"/>
      <c r="AG222" s="2465"/>
      <c r="AH222" s="823"/>
      <c r="AI222" s="823"/>
      <c r="AJ222" s="823"/>
      <c r="AK222" s="608"/>
    </row>
    <row r="223" spans="1:37" hidden="1">
      <c r="A223" s="603"/>
      <c r="B223" s="2466" t="s">
        <v>1182</v>
      </c>
      <c r="C223" s="2466"/>
      <c r="D223" s="2466"/>
      <c r="E223" s="2466"/>
      <c r="F223" s="2466"/>
      <c r="G223" s="2466"/>
      <c r="H223" s="848"/>
      <c r="I223" s="2425"/>
      <c r="J223" s="2425"/>
      <c r="K223" s="2425"/>
      <c r="L223" s="1003"/>
      <c r="N223" s="2423"/>
      <c r="O223" s="2423"/>
      <c r="P223" s="2423"/>
      <c r="Q223" s="2423"/>
      <c r="R223" s="2423"/>
      <c r="T223" s="2405"/>
      <c r="U223" s="2405"/>
      <c r="V223" s="2405"/>
      <c r="W223" s="2405"/>
      <c r="X223" s="2405"/>
      <c r="Y223" s="2405"/>
      <c r="Z223" s="847"/>
      <c r="AA223" s="847"/>
      <c r="AB223" s="2403">
        <f t="shared" ref="AB223:AB232" si="0">MAX(($T223-$N223)*$I223*12,0)</f>
        <v>0</v>
      </c>
      <c r="AC223" s="2403"/>
      <c r="AD223" s="2403"/>
      <c r="AE223" s="2403"/>
      <c r="AF223" s="2403"/>
      <c r="AG223" s="2403"/>
      <c r="AH223" s="823"/>
      <c r="AI223" s="823"/>
      <c r="AJ223" s="823"/>
      <c r="AK223" s="608"/>
    </row>
    <row r="224" spans="1:37" hidden="1">
      <c r="A224" s="603"/>
      <c r="B224" s="2466" t="s">
        <v>1182</v>
      </c>
      <c r="C224" s="2466"/>
      <c r="D224" s="2466"/>
      <c r="E224" s="2466"/>
      <c r="F224" s="2466"/>
      <c r="G224" s="2466"/>
      <c r="I224" s="2425"/>
      <c r="J224" s="2425"/>
      <c r="K224" s="2425"/>
      <c r="L224" s="1003"/>
      <c r="N224" s="2423"/>
      <c r="O224" s="2423"/>
      <c r="P224" s="2423"/>
      <c r="Q224" s="2423"/>
      <c r="R224" s="2423"/>
      <c r="T224" s="2405"/>
      <c r="U224" s="2405"/>
      <c r="V224" s="2405"/>
      <c r="W224" s="2405"/>
      <c r="X224" s="2405"/>
      <c r="Y224" s="2405"/>
      <c r="Z224" s="847"/>
      <c r="AA224" s="847"/>
      <c r="AB224" s="2403">
        <f t="shared" si="0"/>
        <v>0</v>
      </c>
      <c r="AC224" s="2403"/>
      <c r="AD224" s="2403"/>
      <c r="AE224" s="2403"/>
      <c r="AF224" s="2403"/>
      <c r="AG224" s="2403"/>
      <c r="AH224" s="823"/>
      <c r="AI224" s="823"/>
      <c r="AJ224" s="823"/>
      <c r="AK224" s="608"/>
    </row>
    <row r="225" spans="1:37" hidden="1">
      <c r="A225" s="603"/>
      <c r="B225" s="2466" t="s">
        <v>1182</v>
      </c>
      <c r="C225" s="2466"/>
      <c r="D225" s="2466"/>
      <c r="E225" s="2466"/>
      <c r="F225" s="2466"/>
      <c r="G225" s="2466"/>
      <c r="I225" s="2425"/>
      <c r="J225" s="2425"/>
      <c r="K225" s="2425"/>
      <c r="L225" s="1003"/>
      <c r="N225" s="2423"/>
      <c r="O225" s="2423"/>
      <c r="P225" s="2423"/>
      <c r="Q225" s="2423"/>
      <c r="R225" s="2423"/>
      <c r="T225" s="2405"/>
      <c r="U225" s="2405"/>
      <c r="V225" s="2405"/>
      <c r="W225" s="2405"/>
      <c r="X225" s="2405"/>
      <c r="Y225" s="2405"/>
      <c r="Z225" s="847"/>
      <c r="AA225" s="847"/>
      <c r="AB225" s="2403">
        <f t="shared" si="0"/>
        <v>0</v>
      </c>
      <c r="AC225" s="2403"/>
      <c r="AD225" s="2403"/>
      <c r="AE225" s="2403"/>
      <c r="AF225" s="2403"/>
      <c r="AG225" s="2403"/>
      <c r="AH225" s="823"/>
      <c r="AI225" s="823"/>
      <c r="AJ225" s="823"/>
      <c r="AK225" s="608"/>
    </row>
    <row r="226" spans="1:37" hidden="1">
      <c r="A226" s="603"/>
      <c r="B226" s="2466" t="s">
        <v>1182</v>
      </c>
      <c r="C226" s="2466"/>
      <c r="D226" s="2466"/>
      <c r="E226" s="2466"/>
      <c r="F226" s="2466"/>
      <c r="G226" s="2466"/>
      <c r="I226" s="2425"/>
      <c r="J226" s="2425"/>
      <c r="K226" s="2425"/>
      <c r="L226" s="1003"/>
      <c r="N226" s="2423"/>
      <c r="O226" s="2423"/>
      <c r="P226" s="2423"/>
      <c r="Q226" s="2423"/>
      <c r="R226" s="2423"/>
      <c r="T226" s="2405"/>
      <c r="U226" s="2405"/>
      <c r="V226" s="2405"/>
      <c r="W226" s="2405"/>
      <c r="X226" s="2405"/>
      <c r="Y226" s="2405"/>
      <c r="Z226" s="847"/>
      <c r="AA226" s="847"/>
      <c r="AB226" s="2403">
        <f t="shared" si="0"/>
        <v>0</v>
      </c>
      <c r="AC226" s="2403"/>
      <c r="AD226" s="2403"/>
      <c r="AE226" s="2403"/>
      <c r="AF226" s="2403"/>
      <c r="AG226" s="2403"/>
      <c r="AH226" s="823"/>
      <c r="AI226" s="823"/>
      <c r="AJ226" s="823"/>
      <c r="AK226" s="608"/>
    </row>
    <row r="227" spans="1:37" hidden="1">
      <c r="A227" s="603"/>
      <c r="B227" s="2466" t="s">
        <v>1182</v>
      </c>
      <c r="C227" s="2466"/>
      <c r="D227" s="2466"/>
      <c r="E227" s="2466"/>
      <c r="F227" s="2466"/>
      <c r="G227" s="2466"/>
      <c r="I227" s="2425"/>
      <c r="J227" s="2425"/>
      <c r="K227" s="2425"/>
      <c r="L227" s="1010"/>
      <c r="N227" s="2423"/>
      <c r="O227" s="2423"/>
      <c r="P227" s="2423"/>
      <c r="Q227" s="2423"/>
      <c r="R227" s="2423"/>
      <c r="T227" s="2405"/>
      <c r="U227" s="2405"/>
      <c r="V227" s="2405"/>
      <c r="W227" s="2405"/>
      <c r="X227" s="2405"/>
      <c r="Y227" s="2405"/>
      <c r="Z227" s="847"/>
      <c r="AA227" s="847"/>
      <c r="AB227" s="2403">
        <f t="shared" si="0"/>
        <v>0</v>
      </c>
      <c r="AC227" s="2403"/>
      <c r="AD227" s="2403"/>
      <c r="AE227" s="2403"/>
      <c r="AF227" s="2403"/>
      <c r="AG227" s="2403"/>
      <c r="AH227" s="823"/>
      <c r="AI227" s="823"/>
      <c r="AJ227" s="823"/>
      <c r="AK227" s="608"/>
    </row>
    <row r="228" spans="1:37" hidden="1">
      <c r="A228" s="603"/>
      <c r="B228" s="2466" t="s">
        <v>1182</v>
      </c>
      <c r="C228" s="2466"/>
      <c r="D228" s="2466"/>
      <c r="E228" s="2466"/>
      <c r="F228" s="2466"/>
      <c r="G228" s="2466"/>
      <c r="I228" s="2425"/>
      <c r="J228" s="2425"/>
      <c r="K228" s="2425"/>
      <c r="L228" s="1010"/>
      <c r="N228" s="2423"/>
      <c r="O228" s="2423"/>
      <c r="P228" s="2423"/>
      <c r="Q228" s="2423"/>
      <c r="R228" s="2423"/>
      <c r="T228" s="2405"/>
      <c r="U228" s="2405"/>
      <c r="V228" s="2405"/>
      <c r="W228" s="2405"/>
      <c r="X228" s="2405"/>
      <c r="Y228" s="2405"/>
      <c r="Z228" s="847"/>
      <c r="AA228" s="847"/>
      <c r="AB228" s="2403">
        <f t="shared" si="0"/>
        <v>0</v>
      </c>
      <c r="AC228" s="2403"/>
      <c r="AD228" s="2403"/>
      <c r="AE228" s="2403"/>
      <c r="AF228" s="2403"/>
      <c r="AG228" s="2403"/>
      <c r="AH228" s="823"/>
      <c r="AI228" s="823"/>
      <c r="AJ228" s="823"/>
      <c r="AK228" s="608"/>
    </row>
    <row r="229" spans="1:37" hidden="1">
      <c r="A229" s="603"/>
      <c r="B229" s="2466" t="s">
        <v>1182</v>
      </c>
      <c r="C229" s="2466"/>
      <c r="D229" s="2466"/>
      <c r="E229" s="2466"/>
      <c r="F229" s="2466"/>
      <c r="G229" s="2466"/>
      <c r="I229" s="2425"/>
      <c r="J229" s="2425"/>
      <c r="K229" s="2425"/>
      <c r="L229" s="1010"/>
      <c r="N229" s="2423"/>
      <c r="O229" s="2423"/>
      <c r="P229" s="2423"/>
      <c r="Q229" s="2423"/>
      <c r="R229" s="2423"/>
      <c r="T229" s="2405"/>
      <c r="U229" s="2405"/>
      <c r="V229" s="2405"/>
      <c r="W229" s="2405"/>
      <c r="X229" s="2405"/>
      <c r="Y229" s="2405"/>
      <c r="Z229" s="847"/>
      <c r="AA229" s="847"/>
      <c r="AB229" s="2403">
        <f t="shared" si="0"/>
        <v>0</v>
      </c>
      <c r="AC229" s="2403"/>
      <c r="AD229" s="2403"/>
      <c r="AE229" s="2403"/>
      <c r="AF229" s="2403"/>
      <c r="AG229" s="2403"/>
      <c r="AH229" s="823"/>
      <c r="AI229" s="823"/>
      <c r="AJ229" s="823"/>
      <c r="AK229" s="608"/>
    </row>
    <row r="230" spans="1:37" hidden="1">
      <c r="A230" s="603"/>
      <c r="B230" s="2466" t="s">
        <v>1182</v>
      </c>
      <c r="C230" s="2466"/>
      <c r="D230" s="2466"/>
      <c r="E230" s="2466"/>
      <c r="F230" s="2466"/>
      <c r="G230" s="2466"/>
      <c r="I230" s="2425"/>
      <c r="J230" s="2425"/>
      <c r="K230" s="2425"/>
      <c r="L230" s="1010"/>
      <c r="N230" s="2423"/>
      <c r="O230" s="2423"/>
      <c r="P230" s="2423"/>
      <c r="Q230" s="2423"/>
      <c r="R230" s="2423"/>
      <c r="T230" s="2405"/>
      <c r="U230" s="2405"/>
      <c r="V230" s="2405"/>
      <c r="W230" s="2405"/>
      <c r="X230" s="2405"/>
      <c r="Y230" s="2405"/>
      <c r="Z230" s="847"/>
      <c r="AA230" s="847"/>
      <c r="AB230" s="2403">
        <f t="shared" si="0"/>
        <v>0</v>
      </c>
      <c r="AC230" s="2403"/>
      <c r="AD230" s="2403"/>
      <c r="AE230" s="2403"/>
      <c r="AF230" s="2403"/>
      <c r="AG230" s="2403"/>
      <c r="AH230" s="823"/>
      <c r="AI230" s="823"/>
      <c r="AJ230" s="823"/>
      <c r="AK230" s="608"/>
    </row>
    <row r="231" spans="1:37" hidden="1">
      <c r="A231" s="603"/>
      <c r="B231" s="2466" t="s">
        <v>1182</v>
      </c>
      <c r="C231" s="2466"/>
      <c r="D231" s="2466"/>
      <c r="E231" s="2466"/>
      <c r="F231" s="2466"/>
      <c r="G231" s="2466"/>
      <c r="I231" s="2425"/>
      <c r="J231" s="2425"/>
      <c r="K231" s="2425"/>
      <c r="L231" s="1010"/>
      <c r="N231" s="2423"/>
      <c r="O231" s="2423"/>
      <c r="P231" s="2423"/>
      <c r="Q231" s="2423"/>
      <c r="R231" s="2423"/>
      <c r="T231" s="2405"/>
      <c r="U231" s="2405"/>
      <c r="V231" s="2405"/>
      <c r="W231" s="2405"/>
      <c r="X231" s="2405"/>
      <c r="Y231" s="2405"/>
      <c r="Z231" s="847"/>
      <c r="AA231" s="847"/>
      <c r="AB231" s="2403">
        <f t="shared" si="0"/>
        <v>0</v>
      </c>
      <c r="AC231" s="2403"/>
      <c r="AD231" s="2403"/>
      <c r="AE231" s="2403"/>
      <c r="AF231" s="2403"/>
      <c r="AG231" s="2403"/>
      <c r="AH231" s="823"/>
      <c r="AI231" s="823"/>
      <c r="AJ231" s="823"/>
      <c r="AK231" s="608"/>
    </row>
    <row r="232" spans="1:37" hidden="1">
      <c r="A232" s="603"/>
      <c r="B232" s="2466" t="s">
        <v>1182</v>
      </c>
      <c r="C232" s="2466"/>
      <c r="D232" s="2466"/>
      <c r="E232" s="2466"/>
      <c r="F232" s="2466"/>
      <c r="G232" s="2466"/>
      <c r="I232" s="2597"/>
      <c r="J232" s="2597"/>
      <c r="K232" s="2597"/>
      <c r="L232" s="1010"/>
      <c r="N232" s="2423"/>
      <c r="O232" s="2423"/>
      <c r="P232" s="2423"/>
      <c r="Q232" s="2423"/>
      <c r="R232" s="2423"/>
      <c r="T232" s="2405"/>
      <c r="U232" s="2405"/>
      <c r="V232" s="2405"/>
      <c r="W232" s="2405"/>
      <c r="X232" s="2405"/>
      <c r="Y232" s="2405"/>
      <c r="Z232" s="847"/>
      <c r="AA232" s="847"/>
      <c r="AB232" s="2404">
        <f t="shared" si="0"/>
        <v>0</v>
      </c>
      <c r="AC232" s="2404"/>
      <c r="AD232" s="2404"/>
      <c r="AE232" s="2404"/>
      <c r="AF232" s="2404"/>
      <c r="AG232" s="2404"/>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1593</v>
      </c>
      <c r="AA233" s="849"/>
      <c r="AB233" s="2403">
        <f>SUM(AB223:AB232)</f>
        <v>0</v>
      </c>
      <c r="AC233" s="2403"/>
      <c r="AD233" s="2403"/>
      <c r="AE233" s="2403"/>
      <c r="AF233" s="2403"/>
      <c r="AG233" s="2403"/>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t="13" hidden="1">
      <c r="A235" s="1130" t="s">
        <v>1583</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1611</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1609</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1603</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38"/>
      <c r="AC239" s="2438"/>
      <c r="AD239" s="2438"/>
      <c r="AE239" s="2438"/>
      <c r="AF239" s="2438"/>
      <c r="AG239" s="2438"/>
      <c r="AH239" s="608"/>
      <c r="AI239" s="608"/>
      <c r="AJ239" s="608"/>
      <c r="AK239" s="608"/>
    </row>
    <row r="240" spans="1:37" ht="13" hidden="1">
      <c r="A240" s="603"/>
      <c r="B240" s="833" t="s">
        <v>1608</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1610</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1604</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38"/>
      <c r="AC242" s="2438"/>
      <c r="AD242" s="2438"/>
      <c r="AE242" s="2438"/>
      <c r="AF242" s="2438"/>
      <c r="AG242" s="2438"/>
      <c r="AH242" s="608"/>
      <c r="AI242" s="608"/>
      <c r="AJ242" s="608"/>
      <c r="AK242" s="608"/>
    </row>
    <row r="243" spans="1:37" hidden="1">
      <c r="A243" s="603"/>
      <c r="B243" s="834" t="s">
        <v>1605</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1"/>
      <c r="AC243" s="2421"/>
      <c r="AD243" s="2421"/>
      <c r="AE243" s="2421"/>
      <c r="AF243" s="2421"/>
      <c r="AG243" s="2421"/>
      <c r="AH243" s="608"/>
      <c r="AI243" s="608"/>
      <c r="AJ243" s="608"/>
      <c r="AK243" s="608"/>
    </row>
    <row r="244" spans="1:37" hidden="1">
      <c r="A244" s="603"/>
      <c r="B244" s="834" t="s">
        <v>1606</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06">
        <f>IFERROR(AB242/AB243,0)</f>
        <v>0</v>
      </c>
      <c r="AC244" s="2406"/>
      <c r="AD244" s="2406"/>
      <c r="AE244" s="2406"/>
      <c r="AF244" s="2406"/>
      <c r="AG244" s="2406"/>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1607</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04">
        <f>MAX(AB239,AB244)</f>
        <v>0</v>
      </c>
      <c r="AC246" s="2404"/>
      <c r="AD246" s="2404"/>
      <c r="AE246" s="2404"/>
      <c r="AF246" s="2404"/>
      <c r="AG246" s="2404"/>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1596</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3">
        <f>AB233+AB246</f>
        <v>0</v>
      </c>
      <c r="AC249" s="2403"/>
      <c r="AD249" s="2403"/>
      <c r="AE249" s="2403"/>
      <c r="AF249" s="2403"/>
      <c r="AG249" s="2403"/>
      <c r="AH249" s="608"/>
      <c r="AI249" s="608"/>
      <c r="AJ249" s="608"/>
      <c r="AK249" s="608"/>
    </row>
    <row r="250" spans="1:37" hidden="1">
      <c r="A250" s="603"/>
      <c r="B250" s="476" t="s">
        <v>837</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77">
        <v>0.05</v>
      </c>
      <c r="AC250" s="2577"/>
      <c r="AD250" s="2577"/>
      <c r="AE250" s="2577"/>
      <c r="AF250" s="2577"/>
      <c r="AG250" s="2577"/>
      <c r="AH250" s="608"/>
      <c r="AI250" s="608"/>
      <c r="AJ250" s="608"/>
      <c r="AK250" s="608"/>
    </row>
    <row r="251" spans="1:37" hidden="1">
      <c r="A251" s="603"/>
      <c r="B251" s="476" t="s">
        <v>1597</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78">
        <f>AB249-(AB249*AB250)</f>
        <v>0</v>
      </c>
      <c r="AC251" s="2578"/>
      <c r="AD251" s="2578"/>
      <c r="AE251" s="2578"/>
      <c r="AF251" s="2578"/>
      <c r="AG251" s="2578"/>
      <c r="AH251" s="608"/>
      <c r="AI251" s="608"/>
      <c r="AJ251" s="608"/>
      <c r="AK251" s="608"/>
    </row>
    <row r="252" spans="1:37" hidden="1">
      <c r="A252" s="603"/>
      <c r="B252" s="476" t="s">
        <v>1598</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1599</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3">
        <f>AB251/AB257</f>
        <v>0</v>
      </c>
      <c r="AC253" s="2403"/>
      <c r="AD253" s="2403"/>
      <c r="AE253" s="2403"/>
      <c r="AF253" s="2403"/>
      <c r="AG253" s="2403"/>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1600</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86">
        <v>15</v>
      </c>
      <c r="AC255" s="2586"/>
      <c r="AD255" s="2586"/>
      <c r="AE255" s="2586"/>
      <c r="AF255" s="2586"/>
      <c r="AG255" s="2586"/>
      <c r="AH255" s="608"/>
      <c r="AI255" s="608"/>
      <c r="AJ255" s="608"/>
      <c r="AK255" s="608"/>
    </row>
    <row r="256" spans="1:37" hidden="1">
      <c r="A256" s="603"/>
      <c r="B256" s="476" t="s">
        <v>1601</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54">
        <v>0.04</v>
      </c>
      <c r="AC256" s="2554"/>
      <c r="AD256" s="2554"/>
      <c r="AE256" s="2554"/>
      <c r="AF256" s="2554"/>
      <c r="AG256" s="2554"/>
      <c r="AH256" s="608"/>
      <c r="AI256" s="608"/>
      <c r="AJ256" s="608"/>
      <c r="AK256" s="608"/>
    </row>
    <row r="257" spans="1:39" hidden="1">
      <c r="A257" s="603"/>
      <c r="B257" s="476" t="s">
        <v>849</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3">
        <v>1.1499999999999999</v>
      </c>
      <c r="AC257" s="2563"/>
      <c r="AD257" s="2563"/>
      <c r="AE257" s="2563"/>
      <c r="AF257" s="2563"/>
      <c r="AG257" s="2563"/>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t="13" hidden="1">
      <c r="A259" s="603"/>
      <c r="B259" s="840" t="s">
        <v>1602</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0">
        <f>PV(AB256/12,AB255*12,-AB253/12, ,0)</f>
        <v>0</v>
      </c>
      <c r="AC259" s="2571"/>
      <c r="AD259" s="2571"/>
      <c r="AE259" s="2571"/>
      <c r="AF259" s="2571"/>
      <c r="AG259" s="2572"/>
      <c r="AH259" s="608"/>
      <c r="AI259" s="608"/>
      <c r="AJ259" s="608"/>
      <c r="AK259" s="608"/>
    </row>
    <row r="260" spans="1:39" ht="13"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t="13"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t="13" hidden="1">
      <c r="A262" s="603"/>
      <c r="B262" s="843" t="s">
        <v>1578</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1581</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1580</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1579</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74">
        <f>IFERROR(('Sources and Uses Budget'!D105/'Sources and Uses Budget'!B105),0)</f>
        <v>0</v>
      </c>
      <c r="AC265" s="2575"/>
      <c r="AD265" s="2575"/>
      <c r="AE265" s="2575"/>
      <c r="AF265" s="2575"/>
      <c r="AG265" s="2576"/>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t="13" hidden="1">
      <c r="A267" s="620"/>
      <c r="B267" s="447" t="s">
        <v>1364</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1">
        <f>AD210*(1-AB265)</f>
        <v>0</v>
      </c>
      <c r="AH267" s="2431"/>
      <c r="AI267" s="2431"/>
      <c r="AJ267" s="2431"/>
      <c r="AK267" s="2431"/>
    </row>
    <row r="268" spans="1:39" hidden="1">
      <c r="A268" s="620"/>
      <c r="B268" s="623" t="s">
        <v>1365</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1">
        <f>'Sources and Uses Budget'!C105</f>
        <v>67459439</v>
      </c>
      <c r="AH268" s="2431"/>
      <c r="AI268" s="2431"/>
      <c r="AJ268" s="2431"/>
      <c r="AK268" s="2431"/>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66">
        <f>ROUNDDOWN(IF(AND(C305="Yes",AK83=10),((AG267*2)/AG268),AG267/AG268),2)</f>
        <v>0</v>
      </c>
      <c r="AH269" s="2566"/>
      <c r="AI269" s="2566"/>
      <c r="AJ269" s="2566"/>
      <c r="AK269" s="2566"/>
    </row>
    <row r="270" spans="1:39" ht="13" hidden="1">
      <c r="A270" s="620"/>
      <c r="B270" s="973" t="s">
        <v>1728</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t="13"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1366</v>
      </c>
      <c r="AK272" s="2556">
        <f>IFERROR(IF(AG269=0,0,IF((AG269*100)&gt;8,8,(AG269*100))),0)</f>
        <v>0</v>
      </c>
      <c r="AL272" s="2556"/>
      <c r="AM272" s="2557"/>
    </row>
    <row r="273" spans="1:52" ht="13"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ht="13">
      <c r="A275" s="198" t="s">
        <v>1361</v>
      </c>
      <c r="B275" s="538" t="s">
        <v>1368</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1306</v>
      </c>
      <c r="AI275" s="549"/>
      <c r="AJ275" s="549"/>
      <c r="AK275" s="549"/>
      <c r="AL275" s="549"/>
      <c r="AM275" s="549"/>
      <c r="AO275" s="549"/>
    </row>
    <row r="276" spans="1:52" ht="13">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2574</v>
      </c>
      <c r="AI277" s="550"/>
      <c r="AJ277" s="549"/>
      <c r="AK277" s="549"/>
      <c r="AL277" s="549"/>
      <c r="AM277" s="549"/>
      <c r="AO277" s="549"/>
    </row>
    <row r="278" spans="1:52" ht="14.25" customHeight="1">
      <c r="AI278" s="550"/>
      <c r="AJ278" s="549"/>
      <c r="AK278" s="549"/>
      <c r="AL278" s="549"/>
      <c r="AM278" s="549"/>
      <c r="AO278" s="549"/>
    </row>
    <row r="279" spans="1:52" ht="13.75" customHeight="1">
      <c r="A279" s="549"/>
      <c r="B279" s="594"/>
      <c r="C279" s="2407" t="s">
        <v>544</v>
      </c>
      <c r="D279" s="2407"/>
      <c r="E279" s="546"/>
      <c r="F279" s="2394" t="s">
        <v>2566</v>
      </c>
      <c r="G279" s="2395"/>
      <c r="H279" s="2395"/>
      <c r="I279" s="2395"/>
      <c r="J279" s="2395"/>
      <c r="K279" s="2395"/>
      <c r="L279" s="2395"/>
      <c r="M279" s="2395"/>
      <c r="N279" s="2395"/>
      <c r="O279" s="2395"/>
      <c r="P279" s="2395"/>
      <c r="Q279" s="2395"/>
      <c r="R279" s="2395"/>
      <c r="S279" s="2395"/>
      <c r="T279" s="2395"/>
      <c r="U279" s="2395"/>
      <c r="V279" s="2395"/>
      <c r="W279" s="2395"/>
      <c r="X279" s="2395"/>
      <c r="Y279" s="2395"/>
      <c r="Z279" s="2395"/>
      <c r="AA279" s="2395"/>
      <c r="AB279" s="2395"/>
      <c r="AC279" s="2395"/>
      <c r="AD279" s="2396"/>
      <c r="AE279" s="549"/>
      <c r="AF279" s="633"/>
      <c r="AG279" s="2564" t="s">
        <v>1355</v>
      </c>
      <c r="AH279" s="2564"/>
      <c r="AI279" s="2564"/>
      <c r="AJ279" s="2564"/>
      <c r="AK279" s="549"/>
      <c r="AL279" s="549"/>
      <c r="AM279" s="549"/>
      <c r="AO279" s="549"/>
    </row>
    <row r="280" spans="1:52" ht="13.75" customHeight="1">
      <c r="A280" s="549"/>
      <c r="B280" s="594"/>
      <c r="C280" s="634"/>
      <c r="D280" s="549"/>
      <c r="E280" s="546"/>
      <c r="F280" s="2397"/>
      <c r="G280" s="2398"/>
      <c r="H280" s="2398"/>
      <c r="I280" s="2398"/>
      <c r="J280" s="2398"/>
      <c r="K280" s="2398"/>
      <c r="L280" s="2398"/>
      <c r="M280" s="2398"/>
      <c r="N280" s="2398"/>
      <c r="O280" s="2398"/>
      <c r="P280" s="2398"/>
      <c r="Q280" s="2398"/>
      <c r="R280" s="2398"/>
      <c r="S280" s="2398"/>
      <c r="T280" s="2398"/>
      <c r="U280" s="2398"/>
      <c r="V280" s="2398"/>
      <c r="W280" s="2398"/>
      <c r="X280" s="2398"/>
      <c r="Y280" s="2398"/>
      <c r="Z280" s="2398"/>
      <c r="AA280" s="2398"/>
      <c r="AB280" s="2398"/>
      <c r="AC280" s="2398"/>
      <c r="AD280" s="2399"/>
      <c r="AE280" s="549"/>
      <c r="AF280" s="633"/>
      <c r="AG280" s="633"/>
      <c r="AH280" s="633"/>
      <c r="AI280" s="633"/>
      <c r="AJ280" s="549"/>
      <c r="AK280" s="549"/>
      <c r="AL280" s="549"/>
      <c r="AM280" s="549"/>
      <c r="AO280" s="549"/>
    </row>
    <row r="281" spans="1:52" ht="13.75" customHeight="1">
      <c r="A281" s="549"/>
      <c r="B281" s="594"/>
      <c r="C281" s="634"/>
      <c r="D281" s="549"/>
      <c r="E281" s="546"/>
      <c r="F281" s="2397"/>
      <c r="G281" s="2398"/>
      <c r="H281" s="2398"/>
      <c r="I281" s="2398"/>
      <c r="J281" s="2398"/>
      <c r="K281" s="2398"/>
      <c r="L281" s="2398"/>
      <c r="M281" s="2398"/>
      <c r="N281" s="2398"/>
      <c r="O281" s="2398"/>
      <c r="P281" s="2398"/>
      <c r="Q281" s="2398"/>
      <c r="R281" s="2398"/>
      <c r="S281" s="2398"/>
      <c r="T281" s="2398"/>
      <c r="U281" s="2398"/>
      <c r="V281" s="2398"/>
      <c r="W281" s="2398"/>
      <c r="X281" s="2398"/>
      <c r="Y281" s="2398"/>
      <c r="Z281" s="2398"/>
      <c r="AA281" s="2398"/>
      <c r="AB281" s="2398"/>
      <c r="AC281" s="2398"/>
      <c r="AD281" s="2399"/>
      <c r="AE281" s="549"/>
      <c r="AF281" s="633"/>
      <c r="AG281" s="633"/>
      <c r="AH281" s="633"/>
      <c r="AI281" s="633"/>
      <c r="AJ281" s="549"/>
      <c r="AK281" s="549"/>
      <c r="AL281" s="549"/>
      <c r="AM281" s="549"/>
      <c r="AO281" s="549"/>
    </row>
    <row r="282" spans="1:52" ht="13.75" customHeight="1">
      <c r="A282" s="549"/>
      <c r="B282" s="594"/>
      <c r="C282" s="634"/>
      <c r="D282" s="549"/>
      <c r="E282" s="546"/>
      <c r="F282" s="2397"/>
      <c r="G282" s="2398"/>
      <c r="H282" s="2398"/>
      <c r="I282" s="2398"/>
      <c r="J282" s="2398"/>
      <c r="K282" s="2398"/>
      <c r="L282" s="2398"/>
      <c r="M282" s="2398"/>
      <c r="N282" s="2398"/>
      <c r="O282" s="2398"/>
      <c r="P282" s="2398"/>
      <c r="Q282" s="2398"/>
      <c r="R282" s="2398"/>
      <c r="S282" s="2398"/>
      <c r="T282" s="2398"/>
      <c r="U282" s="2398"/>
      <c r="V282" s="2398"/>
      <c r="W282" s="2398"/>
      <c r="X282" s="2398"/>
      <c r="Y282" s="2398"/>
      <c r="Z282" s="2398"/>
      <c r="AA282" s="2398"/>
      <c r="AB282" s="2398"/>
      <c r="AC282" s="2398"/>
      <c r="AD282" s="2399"/>
      <c r="AE282" s="549"/>
      <c r="AF282" s="633"/>
      <c r="AG282" s="633"/>
      <c r="AH282" s="633"/>
      <c r="AI282" s="633"/>
      <c r="AJ282" s="549"/>
      <c r="AK282" s="549"/>
      <c r="AL282" s="549"/>
      <c r="AM282" s="549"/>
      <c r="AO282" s="549"/>
    </row>
    <row r="283" spans="1:52" ht="13.75" customHeight="1">
      <c r="A283" s="549"/>
      <c r="B283" s="594"/>
      <c r="C283" s="634"/>
      <c r="D283" s="549"/>
      <c r="E283" s="546"/>
      <c r="F283" s="2397"/>
      <c r="G283" s="2398"/>
      <c r="H283" s="2398"/>
      <c r="I283" s="2398"/>
      <c r="J283" s="2398"/>
      <c r="K283" s="2398"/>
      <c r="L283" s="2398"/>
      <c r="M283" s="2398"/>
      <c r="N283" s="2398"/>
      <c r="O283" s="2398"/>
      <c r="P283" s="2398"/>
      <c r="Q283" s="2398"/>
      <c r="R283" s="2398"/>
      <c r="S283" s="2398"/>
      <c r="T283" s="2398"/>
      <c r="U283" s="2398"/>
      <c r="V283" s="2398"/>
      <c r="W283" s="2398"/>
      <c r="X283" s="2398"/>
      <c r="Y283" s="2398"/>
      <c r="Z283" s="2398"/>
      <c r="AA283" s="2398"/>
      <c r="AB283" s="2398"/>
      <c r="AC283" s="2398"/>
      <c r="AD283" s="2399"/>
      <c r="AE283" s="549"/>
      <c r="AF283" s="633"/>
      <c r="AG283" s="633"/>
      <c r="AH283" s="633"/>
      <c r="AI283" s="633"/>
      <c r="AJ283" s="549"/>
      <c r="AK283" s="549"/>
      <c r="AL283" s="549"/>
      <c r="AM283" s="549"/>
      <c r="AO283" s="549"/>
    </row>
    <row r="284" spans="1:52">
      <c r="A284" s="549"/>
      <c r="B284" s="594"/>
      <c r="C284" s="634"/>
      <c r="D284" s="549"/>
      <c r="E284" s="546"/>
      <c r="F284" s="2397"/>
      <c r="G284" s="2398"/>
      <c r="H284" s="2398"/>
      <c r="I284" s="2398"/>
      <c r="J284" s="2398"/>
      <c r="K284" s="2398"/>
      <c r="L284" s="2398"/>
      <c r="M284" s="2398"/>
      <c r="N284" s="2398"/>
      <c r="O284" s="2398"/>
      <c r="P284" s="2398"/>
      <c r="Q284" s="2398"/>
      <c r="R284" s="2398"/>
      <c r="S284" s="2398"/>
      <c r="T284" s="2398"/>
      <c r="U284" s="2398"/>
      <c r="V284" s="2398"/>
      <c r="W284" s="2398"/>
      <c r="X284" s="2398"/>
      <c r="Y284" s="2398"/>
      <c r="Z284" s="2398"/>
      <c r="AA284" s="2398"/>
      <c r="AB284" s="2398"/>
      <c r="AC284" s="2398"/>
      <c r="AD284" s="2399"/>
      <c r="AE284" s="549"/>
      <c r="AF284" s="633"/>
      <c r="AG284" s="633"/>
      <c r="AH284" s="633"/>
      <c r="AI284" s="633"/>
      <c r="AJ284" s="549"/>
      <c r="AK284" s="549"/>
      <c r="AL284" s="549"/>
      <c r="AM284" s="549"/>
      <c r="AO284" s="549"/>
      <c r="AP284" s="635"/>
    </row>
    <row r="285" spans="1:52">
      <c r="A285" s="549"/>
      <c r="B285" s="594"/>
      <c r="C285" s="634"/>
      <c r="D285" s="549"/>
      <c r="E285" s="546"/>
      <c r="F285" s="2397"/>
      <c r="G285" s="2398"/>
      <c r="H285" s="2398"/>
      <c r="I285" s="2398"/>
      <c r="J285" s="2398"/>
      <c r="K285" s="2398"/>
      <c r="L285" s="2398"/>
      <c r="M285" s="2398"/>
      <c r="N285" s="2398"/>
      <c r="O285" s="2398"/>
      <c r="P285" s="2398"/>
      <c r="Q285" s="2398"/>
      <c r="R285" s="2398"/>
      <c r="S285" s="2398"/>
      <c r="T285" s="2398"/>
      <c r="U285" s="2398"/>
      <c r="V285" s="2398"/>
      <c r="W285" s="2398"/>
      <c r="X285" s="2398"/>
      <c r="Y285" s="2398"/>
      <c r="Z285" s="2398"/>
      <c r="AA285" s="2398"/>
      <c r="AB285" s="2398"/>
      <c r="AC285" s="2398"/>
      <c r="AD285" s="2399"/>
      <c r="AE285" s="549"/>
      <c r="AF285" s="633"/>
      <c r="AG285" s="633"/>
      <c r="AH285" s="633"/>
      <c r="AI285" s="633"/>
      <c r="AJ285" s="549"/>
      <c r="AK285" s="549"/>
      <c r="AL285" s="549"/>
      <c r="AM285" s="549"/>
      <c r="AO285" s="549"/>
      <c r="AP285" s="635"/>
    </row>
    <row r="286" spans="1:52" ht="13.75" customHeight="1">
      <c r="A286" s="549"/>
      <c r="B286" s="594"/>
      <c r="C286" s="2565"/>
      <c r="D286" s="2565"/>
      <c r="E286" s="546"/>
      <c r="F286" s="2400"/>
      <c r="G286" s="2401"/>
      <c r="H286" s="2401"/>
      <c r="I286" s="2401"/>
      <c r="J286" s="2401"/>
      <c r="K286" s="2401"/>
      <c r="L286" s="2401"/>
      <c r="M286" s="2401"/>
      <c r="N286" s="2401"/>
      <c r="O286" s="2401"/>
      <c r="P286" s="2401"/>
      <c r="Q286" s="2401"/>
      <c r="R286" s="2401"/>
      <c r="S286" s="2401"/>
      <c r="T286" s="2401"/>
      <c r="U286" s="2401"/>
      <c r="V286" s="2401"/>
      <c r="W286" s="2401"/>
      <c r="X286" s="2401"/>
      <c r="Y286" s="2401"/>
      <c r="Z286" s="2401"/>
      <c r="AA286" s="2401"/>
      <c r="AB286" s="2401"/>
      <c r="AC286" s="2401"/>
      <c r="AD286" s="2402"/>
      <c r="AE286" s="549"/>
      <c r="AF286" s="633"/>
      <c r="AG286" s="2564"/>
      <c r="AH286" s="2564"/>
      <c r="AI286" s="2564"/>
      <c r="AJ286" s="2564"/>
      <c r="AK286" s="549"/>
      <c r="AL286" s="549"/>
      <c r="AM286" s="549"/>
    </row>
    <row r="287" spans="1:52" ht="13.7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36" t="s">
        <v>2573</v>
      </c>
      <c r="C289" s="2436"/>
      <c r="D289" s="2436"/>
      <c r="E289" s="2436"/>
      <c r="F289" s="2436"/>
      <c r="G289" s="2436"/>
      <c r="H289" s="2436"/>
      <c r="I289" s="2436"/>
      <c r="J289" s="2436"/>
      <c r="K289" s="2436"/>
      <c r="L289" s="2436"/>
      <c r="M289" s="2436"/>
      <c r="N289" s="2436"/>
      <c r="O289" s="2436"/>
      <c r="P289" s="2436"/>
      <c r="Q289" s="2436"/>
      <c r="R289" s="2436"/>
      <c r="S289" s="2436"/>
      <c r="T289" s="2436"/>
      <c r="U289" s="2436"/>
      <c r="V289" s="2436"/>
      <c r="W289" s="2436"/>
      <c r="X289" s="2436"/>
      <c r="Y289" s="2436"/>
      <c r="Z289" s="2436"/>
      <c r="AA289" s="2436"/>
      <c r="AB289" s="2436"/>
      <c r="AC289" s="2436"/>
      <c r="AD289" s="2436"/>
      <c r="AE289" s="2436"/>
      <c r="AF289" s="2436"/>
      <c r="AG289" s="2436"/>
      <c r="AH289" s="2436"/>
      <c r="AI289" s="2436"/>
      <c r="AJ289" s="2436"/>
      <c r="AK289" s="2436"/>
      <c r="AL289" s="2436"/>
      <c r="AM289" s="549"/>
      <c r="AN289" s="73"/>
    </row>
    <row r="290" spans="1:49">
      <c r="A290" s="549"/>
      <c r="B290" s="2436"/>
      <c r="C290" s="2436"/>
      <c r="D290" s="2436"/>
      <c r="E290" s="2436"/>
      <c r="F290" s="2436"/>
      <c r="G290" s="2436"/>
      <c r="H290" s="2436"/>
      <c r="I290" s="2436"/>
      <c r="J290" s="2436"/>
      <c r="K290" s="2436"/>
      <c r="L290" s="2436"/>
      <c r="M290" s="2436"/>
      <c r="N290" s="2436"/>
      <c r="O290" s="2436"/>
      <c r="P290" s="2436"/>
      <c r="Q290" s="2436"/>
      <c r="R290" s="2436"/>
      <c r="S290" s="2436"/>
      <c r="T290" s="2436"/>
      <c r="U290" s="2436"/>
      <c r="V290" s="2436"/>
      <c r="W290" s="2436"/>
      <c r="X290" s="2436"/>
      <c r="Y290" s="2436"/>
      <c r="Z290" s="2436"/>
      <c r="AA290" s="2436"/>
      <c r="AB290" s="2436"/>
      <c r="AC290" s="2436"/>
      <c r="AD290" s="2436"/>
      <c r="AE290" s="2436"/>
      <c r="AF290" s="2436"/>
      <c r="AG290" s="2436"/>
      <c r="AH290" s="2436"/>
      <c r="AI290" s="2436"/>
      <c r="AJ290" s="2436"/>
      <c r="AK290" s="2436"/>
      <c r="AL290" s="2436"/>
      <c r="AM290" s="549"/>
      <c r="AN290" s="73"/>
    </row>
    <row r="291" spans="1:49">
      <c r="A291" s="549"/>
      <c r="B291" s="2436"/>
      <c r="C291" s="2436"/>
      <c r="D291" s="2436"/>
      <c r="E291" s="2436"/>
      <c r="F291" s="2436"/>
      <c r="G291" s="2436"/>
      <c r="H291" s="2436"/>
      <c r="I291" s="2436"/>
      <c r="J291" s="2436"/>
      <c r="K291" s="2436"/>
      <c r="L291" s="2436"/>
      <c r="M291" s="2436"/>
      <c r="N291" s="2436"/>
      <c r="O291" s="2436"/>
      <c r="P291" s="2436"/>
      <c r="Q291" s="2436"/>
      <c r="R291" s="2436"/>
      <c r="S291" s="2436"/>
      <c r="T291" s="2436"/>
      <c r="U291" s="2436"/>
      <c r="V291" s="2436"/>
      <c r="W291" s="2436"/>
      <c r="X291" s="2436"/>
      <c r="Y291" s="2436"/>
      <c r="Z291" s="2436"/>
      <c r="AA291" s="2436"/>
      <c r="AB291" s="2436"/>
      <c r="AC291" s="2436"/>
      <c r="AD291" s="2436"/>
      <c r="AE291" s="2436"/>
      <c r="AF291" s="2436"/>
      <c r="AG291" s="2436"/>
      <c r="AH291" s="2436"/>
      <c r="AI291" s="2436"/>
      <c r="AJ291" s="2436"/>
      <c r="AK291" s="2436"/>
      <c r="AL291" s="2436"/>
      <c r="AM291" s="549"/>
      <c r="AN291" s="73"/>
    </row>
    <row r="292" spans="1:49">
      <c r="A292" s="549"/>
      <c r="B292" s="2436"/>
      <c r="C292" s="2436"/>
      <c r="D292" s="2436"/>
      <c r="E292" s="2436"/>
      <c r="F292" s="2436"/>
      <c r="G292" s="2436"/>
      <c r="H292" s="2436"/>
      <c r="I292" s="2436"/>
      <c r="J292" s="2436"/>
      <c r="K292" s="2436"/>
      <c r="L292" s="2436"/>
      <c r="M292" s="2436"/>
      <c r="N292" s="2436"/>
      <c r="O292" s="2436"/>
      <c r="P292" s="2436"/>
      <c r="Q292" s="2436"/>
      <c r="R292" s="2436"/>
      <c r="S292" s="2436"/>
      <c r="T292" s="2436"/>
      <c r="U292" s="2436"/>
      <c r="V292" s="2436"/>
      <c r="W292" s="2436"/>
      <c r="X292" s="2436"/>
      <c r="Y292" s="2436"/>
      <c r="Z292" s="2436"/>
      <c r="AA292" s="2436"/>
      <c r="AB292" s="2436"/>
      <c r="AC292" s="2436"/>
      <c r="AD292" s="2436"/>
      <c r="AE292" s="2436"/>
      <c r="AF292" s="2436"/>
      <c r="AG292" s="2436"/>
      <c r="AH292" s="2436"/>
      <c r="AI292" s="2436"/>
      <c r="AJ292" s="2436"/>
      <c r="AK292" s="2436"/>
      <c r="AL292" s="2436"/>
      <c r="AM292" s="549"/>
      <c r="AN292" s="73"/>
    </row>
    <row r="293" spans="1:49">
      <c r="A293" s="549"/>
      <c r="B293" s="2436"/>
      <c r="C293" s="2436"/>
      <c r="D293" s="2436"/>
      <c r="E293" s="2436"/>
      <c r="F293" s="2436"/>
      <c r="G293" s="2436"/>
      <c r="H293" s="2436"/>
      <c r="I293" s="2436"/>
      <c r="J293" s="2436"/>
      <c r="K293" s="2436"/>
      <c r="L293" s="2436"/>
      <c r="M293" s="2436"/>
      <c r="N293" s="2436"/>
      <c r="O293" s="2436"/>
      <c r="P293" s="2436"/>
      <c r="Q293" s="2436"/>
      <c r="R293" s="2436"/>
      <c r="S293" s="2436"/>
      <c r="T293" s="2436"/>
      <c r="U293" s="2436"/>
      <c r="V293" s="2436"/>
      <c r="W293" s="2436"/>
      <c r="X293" s="2436"/>
      <c r="Y293" s="2436"/>
      <c r="Z293" s="2436"/>
      <c r="AA293" s="2436"/>
      <c r="AB293" s="2436"/>
      <c r="AC293" s="2436"/>
      <c r="AD293" s="2436"/>
      <c r="AE293" s="2436"/>
      <c r="AF293" s="2436"/>
      <c r="AG293" s="2436"/>
      <c r="AH293" s="2436"/>
      <c r="AI293" s="2436"/>
      <c r="AJ293" s="2436"/>
      <c r="AK293" s="2436"/>
      <c r="AL293" s="2436"/>
      <c r="AM293" s="549"/>
      <c r="AN293" s="73"/>
    </row>
    <row r="294" spans="1:49">
      <c r="A294" s="549"/>
      <c r="B294" s="2436"/>
      <c r="C294" s="2436"/>
      <c r="D294" s="2436"/>
      <c r="E294" s="2436"/>
      <c r="F294" s="2436"/>
      <c r="G294" s="2436"/>
      <c r="H294" s="2436"/>
      <c r="I294" s="2436"/>
      <c r="J294" s="2436"/>
      <c r="K294" s="2436"/>
      <c r="L294" s="2436"/>
      <c r="M294" s="2436"/>
      <c r="N294" s="2436"/>
      <c r="O294" s="2436"/>
      <c r="P294" s="2436"/>
      <c r="Q294" s="2436"/>
      <c r="R294" s="2436"/>
      <c r="S294" s="2436"/>
      <c r="T294" s="2436"/>
      <c r="U294" s="2436"/>
      <c r="V294" s="2436"/>
      <c r="W294" s="2436"/>
      <c r="X294" s="2436"/>
      <c r="Y294" s="2436"/>
      <c r="Z294" s="2436"/>
      <c r="AA294" s="2436"/>
      <c r="AB294" s="2436"/>
      <c r="AC294" s="2436"/>
      <c r="AD294" s="2436"/>
      <c r="AE294" s="2436"/>
      <c r="AF294" s="2436"/>
      <c r="AG294" s="2436"/>
      <c r="AH294" s="2436"/>
      <c r="AI294" s="2436"/>
      <c r="AJ294" s="2436"/>
      <c r="AK294" s="2436"/>
      <c r="AL294" s="2436"/>
      <c r="AM294" s="549"/>
      <c r="AN294" s="73"/>
    </row>
    <row r="295" spans="1:49">
      <c r="A295" s="549"/>
      <c r="B295" s="2436"/>
      <c r="C295" s="2436"/>
      <c r="D295" s="2436"/>
      <c r="E295" s="2436"/>
      <c r="F295" s="2436"/>
      <c r="G295" s="2436"/>
      <c r="H295" s="2436"/>
      <c r="I295" s="2436"/>
      <c r="J295" s="2436"/>
      <c r="K295" s="2436"/>
      <c r="L295" s="2436"/>
      <c r="M295" s="2436"/>
      <c r="N295" s="2436"/>
      <c r="O295" s="2436"/>
      <c r="P295" s="2436"/>
      <c r="Q295" s="2436"/>
      <c r="R295" s="2436"/>
      <c r="S295" s="2436"/>
      <c r="T295" s="2436"/>
      <c r="U295" s="2436"/>
      <c r="V295" s="2436"/>
      <c r="W295" s="2436"/>
      <c r="X295" s="2436"/>
      <c r="Y295" s="2436"/>
      <c r="Z295" s="2436"/>
      <c r="AA295" s="2436"/>
      <c r="AB295" s="2436"/>
      <c r="AC295" s="2436"/>
      <c r="AD295" s="2436"/>
      <c r="AE295" s="2436"/>
      <c r="AF295" s="2436"/>
      <c r="AG295" s="2436"/>
      <c r="AH295" s="2436"/>
      <c r="AI295" s="2436"/>
      <c r="AJ295" s="2436"/>
      <c r="AK295" s="2436"/>
      <c r="AL295" s="2436"/>
      <c r="AM295" s="549"/>
      <c r="AN295" s="73"/>
    </row>
    <row r="296" spans="1:49">
      <c r="A296" s="549"/>
      <c r="B296" s="2436"/>
      <c r="C296" s="2436"/>
      <c r="D296" s="2436"/>
      <c r="E296" s="2436"/>
      <c r="F296" s="2436"/>
      <c r="G296" s="2436"/>
      <c r="H296" s="2436"/>
      <c r="I296" s="2436"/>
      <c r="J296" s="2436"/>
      <c r="K296" s="2436"/>
      <c r="L296" s="2436"/>
      <c r="M296" s="2436"/>
      <c r="N296" s="2436"/>
      <c r="O296" s="2436"/>
      <c r="P296" s="2436"/>
      <c r="Q296" s="2436"/>
      <c r="R296" s="2436"/>
      <c r="S296" s="2436"/>
      <c r="T296" s="2436"/>
      <c r="U296" s="2436"/>
      <c r="V296" s="2436"/>
      <c r="W296" s="2436"/>
      <c r="X296" s="2436"/>
      <c r="Y296" s="2436"/>
      <c r="Z296" s="2436"/>
      <c r="AA296" s="2436"/>
      <c r="AB296" s="2436"/>
      <c r="AC296" s="2436"/>
      <c r="AD296" s="2436"/>
      <c r="AE296" s="2436"/>
      <c r="AF296" s="2436"/>
      <c r="AG296" s="2436"/>
      <c r="AH296" s="2436"/>
      <c r="AI296" s="2436"/>
      <c r="AJ296" s="2436"/>
      <c r="AK296" s="2436"/>
      <c r="AL296" s="2436"/>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ht="13">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1370</v>
      </c>
      <c r="AK298" s="2556">
        <f>IF($C$279="yes",10,0)</f>
        <v>10</v>
      </c>
      <c r="AL298" s="2556"/>
      <c r="AM298" s="2557"/>
      <c r="AN298" s="73"/>
    </row>
    <row r="299" spans="1:49" ht="13" thickBot="1"/>
    <row r="300" spans="1:49" ht="13"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ht="13">
      <c r="A301" s="538" t="s">
        <v>1367</v>
      </c>
      <c r="B301" s="538" t="s">
        <v>2567</v>
      </c>
      <c r="AH301" s="589" t="s">
        <v>1306</v>
      </c>
    </row>
    <row r="302" spans="1:49" ht="15" customHeight="1">
      <c r="B302" s="539"/>
    </row>
    <row r="303" spans="1:49" ht="15" customHeight="1">
      <c r="B303" s="539" t="s">
        <v>1715</v>
      </c>
    </row>
    <row r="304" spans="1:49" ht="13">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30" t="s">
        <v>1372</v>
      </c>
      <c r="B305" s="1630"/>
      <c r="C305" s="2393" t="s">
        <v>544</v>
      </c>
      <c r="D305" s="2407"/>
      <c r="E305" s="546"/>
      <c r="F305" s="2558" t="s">
        <v>1373</v>
      </c>
      <c r="G305" s="2559"/>
      <c r="H305" s="2559"/>
      <c r="I305" s="2559"/>
      <c r="J305" s="2559"/>
      <c r="K305" s="2559"/>
      <c r="L305" s="2559"/>
      <c r="M305" s="2559"/>
      <c r="N305" s="2559"/>
      <c r="O305" s="2559"/>
      <c r="P305" s="2559"/>
      <c r="Q305" s="2559"/>
      <c r="R305" s="2559"/>
      <c r="S305" s="2559"/>
      <c r="T305" s="2559"/>
      <c r="U305" s="2559"/>
      <c r="V305" s="2559"/>
      <c r="W305" s="2559"/>
      <c r="X305" s="2559"/>
      <c r="Y305" s="2559"/>
      <c r="Z305" s="2559"/>
      <c r="AA305" s="2559"/>
      <c r="AB305" s="2559"/>
      <c r="AC305" s="2559"/>
      <c r="AD305" s="2560"/>
      <c r="AE305" s="640"/>
      <c r="AF305" s="549"/>
      <c r="AG305" s="2561" t="s">
        <v>1980</v>
      </c>
      <c r="AH305" s="2561"/>
      <c r="AI305" s="2561"/>
      <c r="AJ305" s="2561"/>
      <c r="AK305" s="2561"/>
      <c r="AL305" s="549"/>
      <c r="AM305" s="549"/>
      <c r="AN305" s="73"/>
      <c r="AO305" s="14"/>
      <c r="AP305" s="30"/>
      <c r="AS305" s="568"/>
      <c r="AT305" s="568"/>
      <c r="AU305" s="568"/>
      <c r="AV305" s="32"/>
      <c r="AW305" s="32"/>
    </row>
    <row r="306" spans="1:49" ht="13">
      <c r="A306" s="638"/>
      <c r="B306" s="594"/>
      <c r="F306" s="2427"/>
      <c r="G306" s="2385"/>
      <c r="H306" s="2385"/>
      <c r="I306" s="2385"/>
      <c r="J306" s="2385"/>
      <c r="K306" s="2385"/>
      <c r="L306" s="2385"/>
      <c r="M306" s="2385"/>
      <c r="N306" s="2385"/>
      <c r="O306" s="2385"/>
      <c r="P306" s="2385"/>
      <c r="Q306" s="2385"/>
      <c r="R306" s="2385"/>
      <c r="S306" s="2385"/>
      <c r="T306" s="2385"/>
      <c r="U306" s="2385"/>
      <c r="V306" s="2385"/>
      <c r="W306" s="2385"/>
      <c r="X306" s="2385"/>
      <c r="Y306" s="2385"/>
      <c r="Z306" s="2385"/>
      <c r="AA306" s="2385"/>
      <c r="AB306" s="2385"/>
      <c r="AC306" s="2385"/>
      <c r="AD306" s="2428"/>
      <c r="AE306" s="640"/>
      <c r="AF306" s="550"/>
      <c r="AH306" s="550"/>
      <c r="AI306" s="550"/>
      <c r="AJ306" s="549"/>
      <c r="AK306" s="549"/>
      <c r="AL306" s="549"/>
      <c r="AM306" s="549"/>
      <c r="AN306" s="73"/>
      <c r="AO306" s="14"/>
      <c r="AP306" s="549">
        <f>IF($C$305="yes",10,IF(C305="50% Met",9,0))</f>
        <v>10</v>
      </c>
      <c r="AS306" s="568"/>
      <c r="AT306" s="568"/>
      <c r="AU306" s="568"/>
      <c r="AV306" s="32"/>
      <c r="AW306" s="32"/>
    </row>
    <row r="307" spans="1:49" ht="12.75" customHeight="1">
      <c r="A307" s="638"/>
      <c r="B307" s="594"/>
      <c r="F307" s="2427"/>
      <c r="G307" s="2385"/>
      <c r="H307" s="2385"/>
      <c r="I307" s="2385"/>
      <c r="J307" s="2385"/>
      <c r="K307" s="2385"/>
      <c r="L307" s="2385"/>
      <c r="M307" s="2385"/>
      <c r="N307" s="2385"/>
      <c r="O307" s="2385"/>
      <c r="P307" s="2385"/>
      <c r="Q307" s="2385"/>
      <c r="R307" s="2385"/>
      <c r="S307" s="2385"/>
      <c r="T307" s="2385"/>
      <c r="U307" s="2385"/>
      <c r="V307" s="2385"/>
      <c r="W307" s="2385"/>
      <c r="X307" s="2385"/>
      <c r="Y307" s="2385"/>
      <c r="Z307" s="2385"/>
      <c r="AA307" s="2385"/>
      <c r="AB307" s="2385"/>
      <c r="AC307" s="2385"/>
      <c r="AD307" s="2428"/>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27" t="s">
        <v>1985</v>
      </c>
      <c r="G308" s="2385"/>
      <c r="H308" s="2385"/>
      <c r="I308" s="2385"/>
      <c r="J308" s="2385"/>
      <c r="K308" s="2385"/>
      <c r="L308" s="2385"/>
      <c r="M308" s="2385"/>
      <c r="N308" s="2385"/>
      <c r="O308" s="2385"/>
      <c r="P308" s="2385"/>
      <c r="Q308" s="2385"/>
      <c r="R308" s="2385"/>
      <c r="S308" s="2385"/>
      <c r="T308" s="2385"/>
      <c r="U308" s="2385"/>
      <c r="V308" s="2385"/>
      <c r="W308" s="2385"/>
      <c r="X308" s="2385"/>
      <c r="Y308" s="2385"/>
      <c r="Z308" s="2385"/>
      <c r="AA308" s="2385"/>
      <c r="AB308" s="2385"/>
      <c r="AC308" s="2385"/>
      <c r="AD308" s="2428"/>
      <c r="AE308" s="640"/>
      <c r="AF308" s="550"/>
      <c r="AH308" s="550"/>
      <c r="AI308" s="550"/>
      <c r="AJ308" s="549"/>
      <c r="AK308" s="549"/>
      <c r="AL308" s="549"/>
      <c r="AM308" s="549"/>
      <c r="AN308" s="73"/>
      <c r="AO308" s="14"/>
      <c r="AP308" s="609">
        <f>MAX(AP306,AP307)</f>
        <v>10</v>
      </c>
      <c r="AQ308" s="572" t="s">
        <v>1308</v>
      </c>
      <c r="AS308" s="568"/>
      <c r="AT308" s="568"/>
      <c r="AU308" s="568"/>
      <c r="AV308" s="32"/>
      <c r="AW308" s="32"/>
    </row>
    <row r="309" spans="1:49" ht="13">
      <c r="A309" s="638"/>
      <c r="B309" s="594"/>
      <c r="F309" s="2427"/>
      <c r="G309" s="2385"/>
      <c r="H309" s="2385"/>
      <c r="I309" s="2385"/>
      <c r="J309" s="2385"/>
      <c r="K309" s="2385"/>
      <c r="L309" s="2385"/>
      <c r="M309" s="2385"/>
      <c r="N309" s="2385"/>
      <c r="O309" s="2385"/>
      <c r="P309" s="2385"/>
      <c r="Q309" s="2385"/>
      <c r="R309" s="2385"/>
      <c r="S309" s="2385"/>
      <c r="T309" s="2385"/>
      <c r="U309" s="2385"/>
      <c r="V309" s="2385"/>
      <c r="W309" s="2385"/>
      <c r="X309" s="2385"/>
      <c r="Y309" s="2385"/>
      <c r="Z309" s="2385"/>
      <c r="AA309" s="2385"/>
      <c r="AB309" s="2385"/>
      <c r="AC309" s="2385"/>
      <c r="AD309" s="2428"/>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27" t="s">
        <v>1374</v>
      </c>
      <c r="G310" s="2385"/>
      <c r="H310" s="2385"/>
      <c r="I310" s="2385"/>
      <c r="J310" s="2385"/>
      <c r="K310" s="2385"/>
      <c r="L310" s="2385"/>
      <c r="M310" s="2385"/>
      <c r="N310" s="2385"/>
      <c r="O310" s="2385"/>
      <c r="P310" s="2385"/>
      <c r="Q310" s="2385"/>
      <c r="R310" s="2385"/>
      <c r="S310" s="2385"/>
      <c r="T310" s="2385"/>
      <c r="U310" s="2385"/>
      <c r="V310" s="2385"/>
      <c r="W310" s="2385"/>
      <c r="X310" s="2385"/>
      <c r="Y310" s="2385"/>
      <c r="Z310" s="2385"/>
      <c r="AA310" s="2385"/>
      <c r="AB310" s="2385"/>
      <c r="AC310" s="2385"/>
      <c r="AD310" s="2428"/>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27"/>
      <c r="G311" s="2385"/>
      <c r="H311" s="2385"/>
      <c r="I311" s="2385"/>
      <c r="J311" s="2385"/>
      <c r="K311" s="2385"/>
      <c r="L311" s="2385"/>
      <c r="M311" s="2385"/>
      <c r="N311" s="2385"/>
      <c r="O311" s="2385"/>
      <c r="P311" s="2385"/>
      <c r="Q311" s="2385"/>
      <c r="R311" s="2385"/>
      <c r="S311" s="2385"/>
      <c r="T311" s="2385"/>
      <c r="U311" s="2385"/>
      <c r="V311" s="2385"/>
      <c r="W311" s="2385"/>
      <c r="X311" s="2385"/>
      <c r="Y311" s="2385"/>
      <c r="Z311" s="2385"/>
      <c r="AA311" s="2385"/>
      <c r="AB311" s="2385"/>
      <c r="AC311" s="2385"/>
      <c r="AD311" s="2428"/>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27" t="s">
        <v>1375</v>
      </c>
      <c r="G312" s="2385"/>
      <c r="H312" s="2385"/>
      <c r="I312" s="2385"/>
      <c r="J312" s="2385"/>
      <c r="K312" s="2385"/>
      <c r="L312" s="2385"/>
      <c r="M312" s="2385"/>
      <c r="N312" s="2385"/>
      <c r="O312" s="2385"/>
      <c r="P312" s="2385"/>
      <c r="Q312" s="2385"/>
      <c r="R312" s="2385"/>
      <c r="S312" s="2385"/>
      <c r="T312" s="2385"/>
      <c r="U312" s="2385"/>
      <c r="V312" s="2385"/>
      <c r="W312" s="2385"/>
      <c r="X312" s="2385"/>
      <c r="Y312" s="2385"/>
      <c r="Z312" s="2385"/>
      <c r="AA312" s="2385"/>
      <c r="AB312" s="2385"/>
      <c r="AC312" s="2385"/>
      <c r="AD312" s="2428"/>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29"/>
      <c r="G313" s="2430"/>
      <c r="H313" s="2430"/>
      <c r="I313" s="2430"/>
      <c r="J313" s="2430"/>
      <c r="K313" s="2430"/>
      <c r="L313" s="2430"/>
      <c r="M313" s="2430"/>
      <c r="N313" s="2430"/>
      <c r="O313" s="2430"/>
      <c r="P313" s="2430"/>
      <c r="Q313" s="2430"/>
      <c r="R313" s="2430"/>
      <c r="S313" s="2430"/>
      <c r="T313" s="2430"/>
      <c r="U313" s="2430"/>
      <c r="V313" s="2430"/>
      <c r="W313" s="2430"/>
      <c r="X313" s="2430"/>
      <c r="Y313" s="2430"/>
      <c r="Z313" s="2430"/>
      <c r="AA313" s="2430"/>
      <c r="AB313" s="2430"/>
      <c r="AC313" s="2430"/>
      <c r="AD313" s="2555"/>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30" t="s">
        <v>1376</v>
      </c>
      <c r="B315" s="1630"/>
      <c r="C315" s="2407" t="s">
        <v>590</v>
      </c>
      <c r="D315" s="2407"/>
      <c r="E315" s="546"/>
      <c r="F315" s="967" t="s">
        <v>2568</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1378</v>
      </c>
      <c r="AH315" s="550"/>
      <c r="AI315" s="550"/>
      <c r="AJ315" s="549"/>
      <c r="AK315" s="549"/>
      <c r="AL315" s="549"/>
      <c r="AM315" s="549"/>
      <c r="AN315" s="643"/>
      <c r="AO315" s="14"/>
    </row>
    <row r="316" spans="1:49">
      <c r="A316" s="549"/>
      <c r="B316" s="550"/>
      <c r="C316" s="549"/>
      <c r="D316" s="550"/>
      <c r="E316" s="549"/>
      <c r="F316" s="2427" t="s">
        <v>1981</v>
      </c>
      <c r="G316" s="2385"/>
      <c r="H316" s="2385"/>
      <c r="I316" s="2385"/>
      <c r="J316" s="2385"/>
      <c r="K316" s="2385"/>
      <c r="L316" s="2385"/>
      <c r="M316" s="2385"/>
      <c r="N316" s="2385"/>
      <c r="O316" s="2385"/>
      <c r="P316" s="2385"/>
      <c r="Q316" s="2385"/>
      <c r="R316" s="2385"/>
      <c r="S316" s="2385"/>
      <c r="T316" s="2385"/>
      <c r="U316" s="2385"/>
      <c r="V316" s="2385"/>
      <c r="W316" s="2385"/>
      <c r="X316" s="2385"/>
      <c r="Y316" s="2385"/>
      <c r="Z316" s="2385"/>
      <c r="AA316" s="2385"/>
      <c r="AB316" s="2385"/>
      <c r="AC316" s="2385"/>
      <c r="AD316" s="2428"/>
      <c r="AE316" s="550"/>
      <c r="AF316" s="550"/>
      <c r="AG316" s="550"/>
      <c r="AH316" s="550"/>
      <c r="AI316" s="550"/>
      <c r="AJ316" s="549"/>
      <c r="AK316" s="549"/>
      <c r="AL316" s="549"/>
      <c r="AM316" s="549"/>
      <c r="AR316" s="644"/>
    </row>
    <row r="317" spans="1:49" ht="15" customHeight="1">
      <c r="A317" s="549"/>
      <c r="B317" s="550"/>
      <c r="C317" s="549"/>
      <c r="D317" s="550"/>
      <c r="E317" s="549"/>
      <c r="F317" s="2427"/>
      <c r="G317" s="2385"/>
      <c r="H317" s="2385"/>
      <c r="I317" s="2385"/>
      <c r="J317" s="2385"/>
      <c r="K317" s="2385"/>
      <c r="L317" s="2385"/>
      <c r="M317" s="2385"/>
      <c r="N317" s="2385"/>
      <c r="O317" s="2385"/>
      <c r="P317" s="2385"/>
      <c r="Q317" s="2385"/>
      <c r="R317" s="2385"/>
      <c r="S317" s="2385"/>
      <c r="T317" s="2385"/>
      <c r="U317" s="2385"/>
      <c r="V317" s="2385"/>
      <c r="W317" s="2385"/>
      <c r="X317" s="2385"/>
      <c r="Y317" s="2385"/>
      <c r="Z317" s="2385"/>
      <c r="AA317" s="2385"/>
      <c r="AB317" s="2385"/>
      <c r="AC317" s="2385"/>
      <c r="AD317" s="2428"/>
      <c r="AE317" s="550"/>
      <c r="AF317" s="550"/>
      <c r="AG317" s="550"/>
      <c r="AH317" s="550"/>
      <c r="AI317" s="550"/>
      <c r="AJ317" s="549"/>
      <c r="AK317" s="549"/>
      <c r="AL317" s="549"/>
      <c r="AM317" s="549"/>
      <c r="AR317" s="644"/>
    </row>
    <row r="318" spans="1:49">
      <c r="A318" s="549"/>
      <c r="B318" s="550"/>
      <c r="C318" s="549"/>
      <c r="D318" s="550"/>
      <c r="E318" s="549"/>
      <c r="F318" s="2427"/>
      <c r="G318" s="2385"/>
      <c r="H318" s="2385"/>
      <c r="I318" s="2385"/>
      <c r="J318" s="2385"/>
      <c r="K318" s="2385"/>
      <c r="L318" s="2385"/>
      <c r="M318" s="2385"/>
      <c r="N318" s="2385"/>
      <c r="O318" s="2385"/>
      <c r="P318" s="2385"/>
      <c r="Q318" s="2385"/>
      <c r="R318" s="2385"/>
      <c r="S318" s="2385"/>
      <c r="T318" s="2385"/>
      <c r="U318" s="2385"/>
      <c r="V318" s="2385"/>
      <c r="W318" s="2385"/>
      <c r="X318" s="2385"/>
      <c r="Y318" s="2385"/>
      <c r="Z318" s="2385"/>
      <c r="AA318" s="2385"/>
      <c r="AB318" s="2385"/>
      <c r="AC318" s="2385"/>
      <c r="AD318" s="2428"/>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29"/>
      <c r="G319" s="2430"/>
      <c r="H319" s="2430"/>
      <c r="I319" s="2430"/>
      <c r="J319" s="2430"/>
      <c r="K319" s="2430"/>
      <c r="L319" s="2430"/>
      <c r="M319" s="2430"/>
      <c r="N319" s="2430"/>
      <c r="O319" s="2430"/>
      <c r="P319" s="2430"/>
      <c r="Q319" s="2430"/>
      <c r="R319" s="2430"/>
      <c r="S319" s="2430"/>
      <c r="T319" s="2430"/>
      <c r="U319" s="2430"/>
      <c r="V319" s="2430"/>
      <c r="W319" s="2430"/>
      <c r="X319" s="2430"/>
      <c r="Y319" s="2430"/>
      <c r="Z319" s="2430"/>
      <c r="AA319" s="2430"/>
      <c r="AB319" s="2430"/>
      <c r="AC319" s="2430"/>
      <c r="AD319" s="2555"/>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t="13" hidden="1">
      <c r="A323" s="1630" t="s">
        <v>1379</v>
      </c>
      <c r="B323" s="1630"/>
      <c r="C323" s="2407" t="s">
        <v>590</v>
      </c>
      <c r="D323" s="2407"/>
      <c r="E323" s="546"/>
      <c r="F323" s="642" t="s">
        <v>1377</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1378</v>
      </c>
      <c r="AH323" s="550"/>
      <c r="AI323" s="550"/>
      <c r="AJ323" s="549"/>
      <c r="AK323" s="549"/>
      <c r="AL323" s="549"/>
      <c r="AM323" s="549"/>
      <c r="AN323" s="73"/>
      <c r="AO323" s="14"/>
    </row>
    <row r="324" spans="1:44" ht="13" hidden="1">
      <c r="A324" s="89"/>
      <c r="B324" s="89"/>
      <c r="C324" s="726"/>
      <c r="D324" s="726"/>
      <c r="E324" s="546"/>
      <c r="F324" s="2427" t="s">
        <v>1986</v>
      </c>
      <c r="G324" s="2385"/>
      <c r="H324" s="2385"/>
      <c r="I324" s="2385"/>
      <c r="J324" s="2385"/>
      <c r="K324" s="2385"/>
      <c r="L324" s="2385"/>
      <c r="M324" s="2385"/>
      <c r="N324" s="2385"/>
      <c r="O324" s="2385"/>
      <c r="P324" s="2385"/>
      <c r="Q324" s="2385"/>
      <c r="R324" s="2385"/>
      <c r="S324" s="2385"/>
      <c r="T324" s="2385"/>
      <c r="U324" s="2385"/>
      <c r="V324" s="2385"/>
      <c r="W324" s="2385"/>
      <c r="X324" s="2385"/>
      <c r="Y324" s="2385"/>
      <c r="Z324" s="2385"/>
      <c r="AA324" s="2385"/>
      <c r="AB324" s="2385"/>
      <c r="AC324" s="2385"/>
      <c r="AD324" s="2428"/>
      <c r="AE324" s="550"/>
      <c r="AF324" s="550"/>
      <c r="AG324" s="539"/>
      <c r="AH324" s="550"/>
      <c r="AI324" s="550"/>
      <c r="AJ324" s="549"/>
      <c r="AK324" s="549"/>
      <c r="AL324" s="549"/>
      <c r="AM324" s="549"/>
      <c r="AN324" s="73"/>
      <c r="AO324" s="14"/>
      <c r="AP324" s="555" t="s">
        <v>1182</v>
      </c>
    </row>
    <row r="325" spans="1:44" hidden="1">
      <c r="F325" s="2427"/>
      <c r="G325" s="2385"/>
      <c r="H325" s="2385"/>
      <c r="I325" s="2385"/>
      <c r="J325" s="2385"/>
      <c r="K325" s="2385"/>
      <c r="L325" s="2385"/>
      <c r="M325" s="2385"/>
      <c r="N325" s="2385"/>
      <c r="O325" s="2385"/>
      <c r="P325" s="2385"/>
      <c r="Q325" s="2385"/>
      <c r="R325" s="2385"/>
      <c r="S325" s="2385"/>
      <c r="T325" s="2385"/>
      <c r="U325" s="2385"/>
      <c r="V325" s="2385"/>
      <c r="W325" s="2385"/>
      <c r="X325" s="2385"/>
      <c r="Y325" s="2385"/>
      <c r="Z325" s="2385"/>
      <c r="AA325" s="2385"/>
      <c r="AB325" s="2385"/>
      <c r="AC325" s="2385"/>
      <c r="AD325" s="2428"/>
      <c r="AE325" s="550"/>
      <c r="AF325" s="550"/>
      <c r="AH325" s="550"/>
      <c r="AI325" s="550"/>
      <c r="AJ325" s="549"/>
      <c r="AK325" s="549"/>
      <c r="AL325" s="549"/>
      <c r="AM325" s="549"/>
      <c r="AN325" s="73"/>
      <c r="AO325" s="14"/>
      <c r="AP325" s="555" t="s">
        <v>1717</v>
      </c>
    </row>
    <row r="326" spans="1:44" ht="13" hidden="1">
      <c r="A326" s="549"/>
      <c r="B326" s="550"/>
      <c r="C326" s="726"/>
      <c r="D326" s="726"/>
      <c r="E326" s="546"/>
      <c r="F326" s="648" t="s">
        <v>1380</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1719</v>
      </c>
    </row>
    <row r="327" spans="1:44" ht="13"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1829</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35" t="s">
        <v>1182</v>
      </c>
      <c r="G329" s="2536"/>
      <c r="H329" s="2536"/>
      <c r="I329" s="2536"/>
      <c r="J329" s="2536"/>
      <c r="K329" s="2536"/>
      <c r="L329" s="2536"/>
      <c r="M329" s="2536"/>
      <c r="N329" s="2536"/>
      <c r="O329" s="2536"/>
      <c r="P329" s="2536"/>
      <c r="Q329" s="2536"/>
      <c r="R329" s="2536"/>
      <c r="S329" s="2536"/>
      <c r="T329" s="2536"/>
      <c r="U329" s="2536"/>
      <c r="V329" s="2536"/>
      <c r="W329" s="2536"/>
      <c r="X329" s="2536"/>
      <c r="Y329" s="2536"/>
      <c r="Z329" s="2536"/>
      <c r="AA329" s="2536"/>
      <c r="AB329" s="2536"/>
      <c r="AC329" s="2536"/>
      <c r="AD329" s="2537"/>
      <c r="AE329" s="640"/>
      <c r="AF329" s="640"/>
      <c r="AG329" s="640"/>
      <c r="AH329" s="640"/>
      <c r="AI329" s="640"/>
      <c r="AJ329" s="640"/>
      <c r="AK329" s="640"/>
      <c r="AL329" s="549"/>
      <c r="AM329" s="549"/>
      <c r="AN329" s="73"/>
      <c r="AO329" s="14"/>
      <c r="AP329" s="30"/>
    </row>
    <row r="330" spans="1:44" ht="13" hidden="1">
      <c r="A330" s="549"/>
      <c r="B330" s="550"/>
      <c r="C330" s="726"/>
      <c r="D330" s="726"/>
      <c r="E330" s="546"/>
      <c r="F330" s="2535"/>
      <c r="G330" s="2536"/>
      <c r="H330" s="2536"/>
      <c r="I330" s="2536"/>
      <c r="J330" s="2536"/>
      <c r="K330" s="2536"/>
      <c r="L330" s="2536"/>
      <c r="M330" s="2536"/>
      <c r="N330" s="2536"/>
      <c r="O330" s="2536"/>
      <c r="P330" s="2536"/>
      <c r="Q330" s="2536"/>
      <c r="R330" s="2536"/>
      <c r="S330" s="2536"/>
      <c r="T330" s="2536"/>
      <c r="U330" s="2536"/>
      <c r="V330" s="2536"/>
      <c r="W330" s="2536"/>
      <c r="X330" s="2536"/>
      <c r="Y330" s="2536"/>
      <c r="Z330" s="2536"/>
      <c r="AA330" s="2536"/>
      <c r="AB330" s="2536"/>
      <c r="AC330" s="2536"/>
      <c r="AD330" s="2537"/>
      <c r="AE330" s="550"/>
      <c r="AF330" s="550"/>
      <c r="AG330" s="539"/>
      <c r="AH330" s="550"/>
      <c r="AI330" s="550"/>
      <c r="AJ330" s="549"/>
      <c r="AK330" s="549"/>
      <c r="AL330" s="549"/>
      <c r="AM330" s="549"/>
      <c r="AN330" s="73"/>
      <c r="AO330" s="14"/>
      <c r="AP330" s="30"/>
    </row>
    <row r="331" spans="1:44" ht="13" hidden="1">
      <c r="A331" s="549"/>
      <c r="B331" s="550"/>
      <c r="C331" s="726"/>
      <c r="D331" s="726"/>
      <c r="E331" s="546"/>
      <c r="F331" s="2535"/>
      <c r="G331" s="2536"/>
      <c r="H331" s="2536"/>
      <c r="I331" s="2536"/>
      <c r="J331" s="2536"/>
      <c r="K331" s="2536"/>
      <c r="L331" s="2536"/>
      <c r="M331" s="2536"/>
      <c r="N331" s="2536"/>
      <c r="O331" s="2536"/>
      <c r="P331" s="2536"/>
      <c r="Q331" s="2536"/>
      <c r="R331" s="2536"/>
      <c r="S331" s="2536"/>
      <c r="T331" s="2536"/>
      <c r="U331" s="2536"/>
      <c r="V331" s="2536"/>
      <c r="W331" s="2536"/>
      <c r="X331" s="2536"/>
      <c r="Y331" s="2536"/>
      <c r="Z331" s="2536"/>
      <c r="AA331" s="2536"/>
      <c r="AB331" s="2536"/>
      <c r="AC331" s="2536"/>
      <c r="AD331" s="2537"/>
      <c r="AE331" s="550"/>
      <c r="AF331" s="550"/>
      <c r="AG331" s="539"/>
      <c r="AH331" s="550"/>
      <c r="AI331" s="550"/>
      <c r="AJ331" s="549"/>
      <c r="AK331" s="549"/>
      <c r="AL331" s="549"/>
      <c r="AM331" s="549"/>
      <c r="AN331" s="73"/>
      <c r="AO331" s="14"/>
      <c r="AP331" s="30"/>
    </row>
    <row r="332" spans="1:44" ht="13" hidden="1">
      <c r="A332" s="549"/>
      <c r="B332" s="550"/>
      <c r="C332" s="726"/>
      <c r="D332" s="726"/>
      <c r="E332" s="546"/>
      <c r="F332" s="2535"/>
      <c r="G332" s="2536"/>
      <c r="H332" s="2536"/>
      <c r="I332" s="2536"/>
      <c r="J332" s="2536"/>
      <c r="K332" s="2536"/>
      <c r="L332" s="2536"/>
      <c r="M332" s="2536"/>
      <c r="N332" s="2536"/>
      <c r="O332" s="2536"/>
      <c r="P332" s="2536"/>
      <c r="Q332" s="2536"/>
      <c r="R332" s="2536"/>
      <c r="S332" s="2536"/>
      <c r="T332" s="2536"/>
      <c r="U332" s="2536"/>
      <c r="V332" s="2536"/>
      <c r="W332" s="2536"/>
      <c r="X332" s="2536"/>
      <c r="Y332" s="2536"/>
      <c r="Z332" s="2536"/>
      <c r="AA332" s="2536"/>
      <c r="AB332" s="2536"/>
      <c r="AC332" s="2536"/>
      <c r="AD332" s="2537"/>
      <c r="AE332" s="550"/>
      <c r="AF332" s="550"/>
      <c r="AG332" s="539"/>
      <c r="AH332" s="550"/>
      <c r="AI332" s="550"/>
      <c r="AJ332" s="549"/>
      <c r="AK332" s="549"/>
      <c r="AL332" s="549"/>
      <c r="AM332" s="549"/>
      <c r="AN332" s="73"/>
      <c r="AO332" s="14"/>
      <c r="AP332" s="30"/>
    </row>
    <row r="333" spans="1:44" ht="13" hidden="1">
      <c r="A333" s="549"/>
      <c r="B333" s="550"/>
      <c r="C333" s="726"/>
      <c r="D333" s="726"/>
      <c r="E333" s="546"/>
      <c r="F333" s="2538"/>
      <c r="G333" s="2539"/>
      <c r="H333" s="2539"/>
      <c r="I333" s="2539"/>
      <c r="J333" s="2539"/>
      <c r="K333" s="2539"/>
      <c r="L333" s="2539"/>
      <c r="M333" s="2539"/>
      <c r="N333" s="2539"/>
      <c r="O333" s="2539"/>
      <c r="P333" s="2539"/>
      <c r="Q333" s="2539"/>
      <c r="R333" s="2539"/>
      <c r="S333" s="2539"/>
      <c r="T333" s="2539"/>
      <c r="U333" s="2539"/>
      <c r="V333" s="2539"/>
      <c r="W333" s="2539"/>
      <c r="X333" s="2539"/>
      <c r="Y333" s="2539"/>
      <c r="Z333" s="2539"/>
      <c r="AA333" s="2539"/>
      <c r="AB333" s="2539"/>
      <c r="AC333" s="2539"/>
      <c r="AD333" s="2540"/>
      <c r="AE333" s="550"/>
      <c r="AF333" s="550"/>
      <c r="AG333" s="539"/>
      <c r="AH333" s="550"/>
      <c r="AI333" s="550"/>
      <c r="AJ333" s="549"/>
      <c r="AK333" s="549"/>
      <c r="AL333" s="549"/>
      <c r="AM333" s="549"/>
      <c r="AN333" s="73"/>
      <c r="AO333" s="14"/>
      <c r="AP333" s="30"/>
    </row>
    <row r="334" spans="1:44" ht="13"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t="13" hidden="1">
      <c r="A335" s="549"/>
      <c r="B335" s="550"/>
      <c r="C335" s="726"/>
      <c r="D335" s="726"/>
      <c r="E335" s="546"/>
      <c r="F335" s="650" t="s">
        <v>1718</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t="13"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1182</v>
      </c>
    </row>
    <row r="337" spans="1:42" ht="12.75" hidden="1" customHeight="1">
      <c r="A337" s="549"/>
      <c r="B337" s="550"/>
      <c r="C337" s="726"/>
      <c r="D337" s="726"/>
      <c r="E337" s="546"/>
      <c r="F337" s="652"/>
      <c r="G337" s="573" t="s">
        <v>686</v>
      </c>
      <c r="H337" s="573"/>
      <c r="I337" s="2541" t="s">
        <v>1182</v>
      </c>
      <c r="J337" s="2541"/>
      <c r="K337" s="2541"/>
      <c r="L337" s="2541"/>
      <c r="M337" s="2541"/>
      <c r="N337" s="2541"/>
      <c r="O337" s="2541"/>
      <c r="P337" s="2541"/>
      <c r="Q337" s="2541"/>
      <c r="R337" s="2541"/>
      <c r="S337" s="2541"/>
      <c r="T337" s="2541"/>
      <c r="U337" s="2541"/>
      <c r="V337" s="2541"/>
      <c r="W337" s="2541"/>
      <c r="X337" s="2541"/>
      <c r="Y337" s="2541"/>
      <c r="Z337" s="2541"/>
      <c r="AA337" s="2541"/>
      <c r="AB337" s="2541"/>
      <c r="AC337" s="2541"/>
      <c r="AD337" s="2542"/>
      <c r="AE337" s="550"/>
      <c r="AF337" s="550"/>
      <c r="AG337" s="539"/>
      <c r="AH337" s="550"/>
      <c r="AI337" s="550"/>
      <c r="AJ337" s="549"/>
      <c r="AK337" s="549"/>
      <c r="AL337" s="549"/>
      <c r="AM337" s="549"/>
      <c r="AN337" s="73"/>
      <c r="AO337" s="14"/>
      <c r="AP337" s="555" t="s">
        <v>1624</v>
      </c>
    </row>
    <row r="338" spans="1:42" ht="13" hidden="1">
      <c r="A338" s="549"/>
      <c r="B338" s="550"/>
      <c r="C338" s="726"/>
      <c r="D338" s="726"/>
      <c r="E338" s="546"/>
      <c r="F338" s="652"/>
      <c r="G338" s="573"/>
      <c r="H338" s="573"/>
      <c r="I338" s="2541"/>
      <c r="J338" s="2541"/>
      <c r="K338" s="2541"/>
      <c r="L338" s="2541"/>
      <c r="M338" s="2541"/>
      <c r="N338" s="2541"/>
      <c r="O338" s="2541"/>
      <c r="P338" s="2541"/>
      <c r="Q338" s="2541"/>
      <c r="R338" s="2541"/>
      <c r="S338" s="2541"/>
      <c r="T338" s="2541"/>
      <c r="U338" s="2541"/>
      <c r="V338" s="2541"/>
      <c r="W338" s="2541"/>
      <c r="X338" s="2541"/>
      <c r="Y338" s="2541"/>
      <c r="Z338" s="2541"/>
      <c r="AA338" s="2541"/>
      <c r="AB338" s="2541"/>
      <c r="AC338" s="2541"/>
      <c r="AD338" s="2542"/>
      <c r="AE338" s="550"/>
      <c r="AF338" s="550"/>
      <c r="AG338" s="539"/>
      <c r="AH338" s="550"/>
      <c r="AI338" s="550"/>
      <c r="AJ338" s="549"/>
      <c r="AK338" s="549"/>
      <c r="AL338" s="549"/>
      <c r="AM338" s="549"/>
      <c r="AN338" s="73"/>
      <c r="AO338" s="14"/>
      <c r="AP338" s="555" t="s">
        <v>1720</v>
      </c>
    </row>
    <row r="339" spans="1:42" ht="13" hidden="1">
      <c r="A339" s="549"/>
      <c r="B339" s="550"/>
      <c r="C339" s="647"/>
      <c r="D339" s="647"/>
      <c r="E339" s="546"/>
      <c r="F339" s="652"/>
      <c r="G339" s="573"/>
      <c r="H339" s="573"/>
      <c r="I339" s="2541"/>
      <c r="J339" s="2541"/>
      <c r="K339" s="2541"/>
      <c r="L339" s="2541"/>
      <c r="M339" s="2541"/>
      <c r="N339" s="2541"/>
      <c r="O339" s="2541"/>
      <c r="P339" s="2541"/>
      <c r="Q339" s="2541"/>
      <c r="R339" s="2541"/>
      <c r="S339" s="2541"/>
      <c r="T339" s="2541"/>
      <c r="U339" s="2541"/>
      <c r="V339" s="2541"/>
      <c r="W339" s="2541"/>
      <c r="X339" s="2541"/>
      <c r="Y339" s="2541"/>
      <c r="Z339" s="2541"/>
      <c r="AA339" s="2541"/>
      <c r="AB339" s="2541"/>
      <c r="AC339" s="2541"/>
      <c r="AD339" s="2542"/>
      <c r="AE339" s="550"/>
      <c r="AF339" s="550"/>
      <c r="AG339" s="539"/>
      <c r="AH339" s="550"/>
      <c r="AI339" s="550"/>
      <c r="AJ339" s="549"/>
      <c r="AK339" s="549"/>
      <c r="AL339" s="549"/>
      <c r="AM339" s="549"/>
      <c r="AN339" s="73"/>
      <c r="AO339" s="14"/>
      <c r="AP339" s="555" t="s">
        <v>1722</v>
      </c>
    </row>
    <row r="340" spans="1:42" ht="13" hidden="1">
      <c r="A340" s="549"/>
      <c r="B340" s="550"/>
      <c r="C340" s="647"/>
      <c r="D340" s="647"/>
      <c r="E340" s="546"/>
      <c r="F340" s="650"/>
      <c r="G340" s="550"/>
      <c r="H340" s="550"/>
      <c r="I340" s="2543"/>
      <c r="J340" s="2543"/>
      <c r="K340" s="2543"/>
      <c r="L340" s="2543"/>
      <c r="M340" s="2543"/>
      <c r="N340" s="2543"/>
      <c r="O340" s="2543"/>
      <c r="P340" s="2543"/>
      <c r="Q340" s="2543"/>
      <c r="R340" s="2543"/>
      <c r="S340" s="2543"/>
      <c r="T340" s="2543"/>
      <c r="U340" s="2543"/>
      <c r="V340" s="2543"/>
      <c r="W340" s="2543"/>
      <c r="X340" s="2543"/>
      <c r="Y340" s="2543"/>
      <c r="Z340" s="2543"/>
      <c r="AA340" s="2543"/>
      <c r="AB340" s="2543"/>
      <c r="AC340" s="2543"/>
      <c r="AD340" s="2544"/>
      <c r="AE340" s="550"/>
      <c r="AF340" s="550"/>
      <c r="AG340" s="539"/>
      <c r="AH340" s="550"/>
      <c r="AI340" s="550"/>
      <c r="AJ340" s="549"/>
      <c r="AK340" s="549"/>
      <c r="AL340" s="549"/>
      <c r="AM340" s="549"/>
      <c r="AN340" s="73"/>
      <c r="AO340" s="14"/>
      <c r="AP340" s="555" t="s">
        <v>1721</v>
      </c>
    </row>
    <row r="341" spans="1:42" ht="13"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t="13" hidden="1">
      <c r="A342" s="549"/>
      <c r="B342" s="550"/>
      <c r="C342" s="647"/>
      <c r="D342" s="647"/>
      <c r="E342" s="546"/>
      <c r="F342" s="650"/>
      <c r="G342" s="550" t="s">
        <v>508</v>
      </c>
      <c r="H342" s="550"/>
      <c r="I342" s="2541" t="s">
        <v>1182</v>
      </c>
      <c r="J342" s="2541"/>
      <c r="K342" s="2541"/>
      <c r="L342" s="2541"/>
      <c r="M342" s="2541"/>
      <c r="N342" s="2541"/>
      <c r="O342" s="2541"/>
      <c r="P342" s="2541"/>
      <c r="Q342" s="2541"/>
      <c r="R342" s="2541"/>
      <c r="S342" s="2541"/>
      <c r="T342" s="2541"/>
      <c r="U342" s="2541"/>
      <c r="V342" s="2541"/>
      <c r="W342" s="2541"/>
      <c r="X342" s="2541"/>
      <c r="Y342" s="2541"/>
      <c r="Z342" s="2541"/>
      <c r="AA342" s="2541"/>
      <c r="AB342" s="2541"/>
      <c r="AC342" s="2541"/>
      <c r="AD342" s="2542"/>
      <c r="AE342" s="550"/>
      <c r="AF342" s="550"/>
      <c r="AG342" s="539"/>
      <c r="AH342" s="550"/>
      <c r="AI342" s="550"/>
      <c r="AJ342" s="549"/>
      <c r="AK342" s="549"/>
      <c r="AL342" s="549"/>
      <c r="AM342" s="549"/>
      <c r="AN342" s="73"/>
      <c r="AO342" s="14"/>
    </row>
    <row r="343" spans="1:42" ht="13" hidden="1">
      <c r="A343" s="549"/>
      <c r="B343" s="550"/>
      <c r="C343" s="647"/>
      <c r="D343" s="647"/>
      <c r="E343" s="546"/>
      <c r="F343" s="650"/>
      <c r="G343" s="550"/>
      <c r="H343" s="550"/>
      <c r="I343" s="2541"/>
      <c r="J343" s="2541"/>
      <c r="K343" s="2541"/>
      <c r="L343" s="2541"/>
      <c r="M343" s="2541"/>
      <c r="N343" s="2541"/>
      <c r="O343" s="2541"/>
      <c r="P343" s="2541"/>
      <c r="Q343" s="2541"/>
      <c r="R343" s="2541"/>
      <c r="S343" s="2541"/>
      <c r="T343" s="2541"/>
      <c r="U343" s="2541"/>
      <c r="V343" s="2541"/>
      <c r="W343" s="2541"/>
      <c r="X343" s="2541"/>
      <c r="Y343" s="2541"/>
      <c r="Z343" s="2541"/>
      <c r="AA343" s="2541"/>
      <c r="AB343" s="2541"/>
      <c r="AC343" s="2541"/>
      <c r="AD343" s="2542"/>
      <c r="AE343" s="550"/>
      <c r="AF343" s="550"/>
      <c r="AG343" s="539"/>
      <c r="AH343" s="550"/>
      <c r="AI343" s="550"/>
      <c r="AJ343" s="549"/>
      <c r="AK343" s="549"/>
      <c r="AL343" s="549"/>
      <c r="AM343" s="549"/>
      <c r="AN343" s="73"/>
      <c r="AO343" s="14"/>
      <c r="AP343" s="555" t="s">
        <v>1182</v>
      </c>
    </row>
    <row r="344" spans="1:42" ht="13" hidden="1">
      <c r="A344" s="549"/>
      <c r="B344" s="550"/>
      <c r="C344" s="647"/>
      <c r="D344" s="647"/>
      <c r="E344" s="546"/>
      <c r="F344" s="653"/>
      <c r="G344" s="654"/>
      <c r="H344" s="654"/>
      <c r="I344" s="2543"/>
      <c r="J344" s="2543"/>
      <c r="K344" s="2543"/>
      <c r="L344" s="2543"/>
      <c r="M344" s="2543"/>
      <c r="N344" s="2543"/>
      <c r="O344" s="2543"/>
      <c r="P344" s="2543"/>
      <c r="Q344" s="2543"/>
      <c r="R344" s="2543"/>
      <c r="S344" s="2543"/>
      <c r="T344" s="2543"/>
      <c r="U344" s="2543"/>
      <c r="V344" s="2543"/>
      <c r="W344" s="2543"/>
      <c r="X344" s="2543"/>
      <c r="Y344" s="2543"/>
      <c r="Z344" s="2543"/>
      <c r="AA344" s="2543"/>
      <c r="AB344" s="2543"/>
      <c r="AC344" s="2543"/>
      <c r="AD344" s="2544"/>
      <c r="AE344" s="550"/>
      <c r="AF344" s="550"/>
      <c r="AG344" s="539"/>
      <c r="AH344" s="550"/>
      <c r="AI344" s="550"/>
      <c r="AJ344" s="549"/>
      <c r="AK344" s="549"/>
      <c r="AL344" s="549"/>
      <c r="AM344" s="549"/>
      <c r="AN344" s="73"/>
      <c r="AO344" s="14"/>
      <c r="AP344" s="555" t="s">
        <v>1381</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1625</v>
      </c>
    </row>
    <row r="346" spans="1:42" ht="12.75" hidden="1" customHeight="1">
      <c r="A346" s="1630" t="s">
        <v>1382</v>
      </c>
      <c r="B346" s="1630"/>
      <c r="C346" s="2407" t="s">
        <v>590</v>
      </c>
      <c r="D346" s="2407"/>
      <c r="E346" s="546"/>
      <c r="F346" s="2448" t="s">
        <v>1987</v>
      </c>
      <c r="G346" s="2449"/>
      <c r="H346" s="2449"/>
      <c r="I346" s="2449"/>
      <c r="J346" s="2449"/>
      <c r="K346" s="2449"/>
      <c r="L346" s="2449"/>
      <c r="M346" s="2449"/>
      <c r="N346" s="2449"/>
      <c r="O346" s="2449"/>
      <c r="P346" s="2449"/>
      <c r="Q346" s="2449"/>
      <c r="R346" s="2449"/>
      <c r="S346" s="2449"/>
      <c r="T346" s="2449"/>
      <c r="U346" s="2449"/>
      <c r="V346" s="2449"/>
      <c r="W346" s="2449"/>
      <c r="X346" s="2449"/>
      <c r="Y346" s="2449"/>
      <c r="Z346" s="2449"/>
      <c r="AA346" s="2449"/>
      <c r="AB346" s="2449"/>
      <c r="AC346" s="2449"/>
      <c r="AD346" s="2450"/>
      <c r="AE346" s="550"/>
      <c r="AF346" s="550"/>
      <c r="AG346" s="539" t="s">
        <v>1378</v>
      </c>
      <c r="AH346" s="550"/>
      <c r="AI346" s="550"/>
      <c r="AJ346" s="549"/>
      <c r="AK346" s="549"/>
      <c r="AL346" s="549"/>
      <c r="AM346" s="549"/>
      <c r="AN346" s="73"/>
      <c r="AO346" s="14"/>
    </row>
    <row r="347" spans="1:42" ht="15" hidden="1" customHeight="1">
      <c r="A347" s="549"/>
      <c r="B347" s="550"/>
      <c r="C347" s="550"/>
      <c r="D347" s="550"/>
      <c r="E347" s="550"/>
      <c r="F347" s="2451"/>
      <c r="G347" s="2452"/>
      <c r="H347" s="2452"/>
      <c r="I347" s="2452"/>
      <c r="J347" s="2452"/>
      <c r="K347" s="2452"/>
      <c r="L347" s="2452"/>
      <c r="M347" s="2452"/>
      <c r="N347" s="2452"/>
      <c r="O347" s="2452"/>
      <c r="P347" s="2452"/>
      <c r="Q347" s="2452"/>
      <c r="R347" s="2452"/>
      <c r="S347" s="2452"/>
      <c r="T347" s="2452"/>
      <c r="U347" s="2452"/>
      <c r="V347" s="2452"/>
      <c r="W347" s="2452"/>
      <c r="X347" s="2452"/>
      <c r="Y347" s="2452"/>
      <c r="Z347" s="2452"/>
      <c r="AA347" s="2452"/>
      <c r="AB347" s="2452"/>
      <c r="AC347" s="2452"/>
      <c r="AD347" s="2453"/>
      <c r="AE347" s="550"/>
      <c r="AF347" s="550"/>
      <c r="AG347" s="550"/>
      <c r="AH347" s="550"/>
      <c r="AI347" s="550"/>
      <c r="AJ347" s="549"/>
      <c r="AK347" s="549"/>
      <c r="AL347" s="549"/>
      <c r="AM347" s="549"/>
      <c r="AN347" s="73"/>
      <c r="AO347" s="14"/>
    </row>
    <row r="348" spans="1:42" ht="15" hidden="1" customHeight="1">
      <c r="A348" s="549"/>
      <c r="B348" s="550"/>
      <c r="C348" s="550"/>
      <c r="D348" s="550"/>
      <c r="E348" s="550"/>
      <c r="F348" s="2451"/>
      <c r="G348" s="2452"/>
      <c r="H348" s="2452"/>
      <c r="I348" s="2452"/>
      <c r="J348" s="2452"/>
      <c r="K348" s="2452"/>
      <c r="L348" s="2452"/>
      <c r="M348" s="2452"/>
      <c r="N348" s="2452"/>
      <c r="O348" s="2452"/>
      <c r="P348" s="2452"/>
      <c r="Q348" s="2452"/>
      <c r="R348" s="2452"/>
      <c r="S348" s="2452"/>
      <c r="T348" s="2452"/>
      <c r="U348" s="2452"/>
      <c r="V348" s="2452"/>
      <c r="W348" s="2452"/>
      <c r="X348" s="2452"/>
      <c r="Y348" s="2452"/>
      <c r="Z348" s="2452"/>
      <c r="AA348" s="2452"/>
      <c r="AB348" s="2452"/>
      <c r="AC348" s="2452"/>
      <c r="AD348" s="2453"/>
      <c r="AE348" s="550"/>
      <c r="AF348" s="550"/>
      <c r="AG348" s="550"/>
      <c r="AH348" s="550"/>
      <c r="AI348" s="550"/>
      <c r="AJ348" s="549"/>
      <c r="AK348" s="549"/>
      <c r="AL348" s="549"/>
      <c r="AM348" s="655"/>
      <c r="AN348" s="14"/>
      <c r="AO348" s="14"/>
    </row>
    <row r="349" spans="1:42" hidden="1">
      <c r="A349" s="549"/>
      <c r="B349" s="550"/>
      <c r="C349" s="549"/>
      <c r="D349" s="550"/>
      <c r="E349" s="549"/>
      <c r="F349" s="656" t="s">
        <v>1383</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ht="13">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2600</v>
      </c>
      <c r="AK351" s="2388">
        <f>IF(NOT(OR(Application!M364="Yes",Application!M365="Yes")),0,AP308)</f>
        <v>10</v>
      </c>
      <c r="AL351" s="2434"/>
      <c r="AM351" s="2389"/>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1371</v>
      </c>
      <c r="B354" s="539" t="s">
        <v>844</v>
      </c>
      <c r="C354" s="536"/>
      <c r="AC354" s="539"/>
      <c r="AE354" s="2445" t="s">
        <v>1306</v>
      </c>
      <c r="AF354" s="2445"/>
      <c r="AG354" s="2445"/>
      <c r="AH354" s="2445"/>
      <c r="AI354" s="2445"/>
      <c r="AJ354" s="2445"/>
      <c r="AK354" s="2445"/>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56" t="s">
        <v>1443</v>
      </c>
      <c r="D356" s="2456"/>
      <c r="E356" s="2456"/>
      <c r="F356" s="2456"/>
      <c r="G356" s="2456"/>
      <c r="H356" s="2456"/>
      <c r="I356" s="2456"/>
      <c r="J356" s="2456"/>
      <c r="K356" s="2456"/>
      <c r="L356" s="2456"/>
      <c r="M356" s="2456"/>
      <c r="N356" s="2456"/>
      <c r="O356" s="2456"/>
      <c r="P356" s="2456"/>
      <c r="Q356" s="2456"/>
      <c r="R356" s="2456"/>
      <c r="S356" s="2456"/>
      <c r="T356" s="2456"/>
      <c r="U356" s="2456"/>
      <c r="V356" s="2456"/>
      <c r="W356" s="2456"/>
      <c r="X356" s="2456"/>
      <c r="Y356" s="2456"/>
      <c r="Z356" s="2456"/>
      <c r="AA356" s="2456"/>
      <c r="AB356" s="2456"/>
      <c r="AC356" s="2456"/>
      <c r="AD356" s="2456"/>
      <c r="AE356" s="2456"/>
      <c r="AF356" s="2456"/>
      <c r="AG356" s="2456"/>
      <c r="AH356" s="2456"/>
      <c r="AI356" s="2456"/>
      <c r="AJ356" s="2456"/>
      <c r="AK356" s="601"/>
      <c r="AL356" s="601"/>
      <c r="AM356" s="601"/>
      <c r="AN356" s="595"/>
    </row>
    <row r="357" spans="1:44" s="549" customFormat="1" ht="12.75" customHeight="1">
      <c r="A357" s="601"/>
      <c r="B357" s="609"/>
      <c r="C357" s="2456"/>
      <c r="D357" s="2456"/>
      <c r="E357" s="2456"/>
      <c r="F357" s="2456"/>
      <c r="G357" s="2456"/>
      <c r="H357" s="2456"/>
      <c r="I357" s="2456"/>
      <c r="J357" s="2456"/>
      <c r="K357" s="2456"/>
      <c r="L357" s="2456"/>
      <c r="M357" s="2456"/>
      <c r="N357" s="2456"/>
      <c r="O357" s="2456"/>
      <c r="P357" s="2456"/>
      <c r="Q357" s="2456"/>
      <c r="R357" s="2456"/>
      <c r="S357" s="2456"/>
      <c r="T357" s="2456"/>
      <c r="U357" s="2456"/>
      <c r="V357" s="2456"/>
      <c r="W357" s="2456"/>
      <c r="X357" s="2456"/>
      <c r="Y357" s="2456"/>
      <c r="Z357" s="2456"/>
      <c r="AA357" s="2456"/>
      <c r="AB357" s="2456"/>
      <c r="AC357" s="2456"/>
      <c r="AD357" s="2456"/>
      <c r="AE357" s="2456"/>
      <c r="AF357" s="2456"/>
      <c r="AG357" s="2456"/>
      <c r="AH357" s="2456"/>
      <c r="AI357" s="2456"/>
      <c r="AJ357" s="2456"/>
      <c r="AK357" s="601"/>
      <c r="AL357" s="601"/>
      <c r="AM357" s="601"/>
      <c r="AN357" s="595"/>
    </row>
    <row r="358" spans="1:44" s="549" customFormat="1" ht="12.75" customHeight="1">
      <c r="A358" s="601"/>
      <c r="B358" s="609"/>
      <c r="C358" s="2456"/>
      <c r="D358" s="2456"/>
      <c r="E358" s="2456"/>
      <c r="F358" s="2456"/>
      <c r="G358" s="2456"/>
      <c r="H358" s="2456"/>
      <c r="I358" s="2456"/>
      <c r="J358" s="2456"/>
      <c r="K358" s="2456"/>
      <c r="L358" s="2456"/>
      <c r="M358" s="2456"/>
      <c r="N358" s="2456"/>
      <c r="O358" s="2456"/>
      <c r="P358" s="2456"/>
      <c r="Q358" s="2456"/>
      <c r="R358" s="2456"/>
      <c r="S358" s="2456"/>
      <c r="T358" s="2456"/>
      <c r="U358" s="2456"/>
      <c r="V358" s="2456"/>
      <c r="W358" s="2456"/>
      <c r="X358" s="2456"/>
      <c r="Y358" s="2456"/>
      <c r="Z358" s="2456"/>
      <c r="AA358" s="2456"/>
      <c r="AB358" s="2456"/>
      <c r="AC358" s="2456"/>
      <c r="AD358" s="2456"/>
      <c r="AE358" s="2456"/>
      <c r="AF358" s="2456"/>
      <c r="AG358" s="2456"/>
      <c r="AH358" s="2456"/>
      <c r="AI358" s="2456"/>
      <c r="AJ358" s="2456"/>
      <c r="AK358" s="601"/>
      <c r="AL358" s="601"/>
      <c r="AM358" s="601"/>
      <c r="AN358" s="595"/>
      <c r="AQ358" s="568"/>
    </row>
    <row r="359" spans="1:44" s="549" customFormat="1" ht="12.75" customHeight="1">
      <c r="A359" s="601"/>
      <c r="B359" s="609"/>
      <c r="C359" s="2456"/>
      <c r="D359" s="2456"/>
      <c r="E359" s="2456"/>
      <c r="F359" s="2456"/>
      <c r="G359" s="2456"/>
      <c r="H359" s="2456"/>
      <c r="I359" s="2456"/>
      <c r="J359" s="2456"/>
      <c r="K359" s="2456"/>
      <c r="L359" s="2456"/>
      <c r="M359" s="2456"/>
      <c r="N359" s="2456"/>
      <c r="O359" s="2456"/>
      <c r="P359" s="2456"/>
      <c r="Q359" s="2456"/>
      <c r="R359" s="2456"/>
      <c r="S359" s="2456"/>
      <c r="T359" s="2456"/>
      <c r="U359" s="2456"/>
      <c r="V359" s="2456"/>
      <c r="W359" s="2456"/>
      <c r="X359" s="2456"/>
      <c r="Y359" s="2456"/>
      <c r="Z359" s="2456"/>
      <c r="AA359" s="2456"/>
      <c r="AB359" s="2456"/>
      <c r="AC359" s="2456"/>
      <c r="AD359" s="2456"/>
      <c r="AE359" s="2456"/>
      <c r="AF359" s="2456"/>
      <c r="AG359" s="2456"/>
      <c r="AH359" s="2456"/>
      <c r="AI359" s="2456"/>
      <c r="AJ359" s="2456"/>
      <c r="AK359" s="601"/>
      <c r="AL359" s="601"/>
      <c r="AM359" s="601"/>
      <c r="AN359" s="595"/>
      <c r="AQ359" s="568"/>
    </row>
    <row r="360" spans="1:44" s="549" customFormat="1" ht="12.4" customHeight="1">
      <c r="A360" s="601"/>
      <c r="B360" s="609"/>
      <c r="C360" s="2456"/>
      <c r="D360" s="2456"/>
      <c r="E360" s="2456"/>
      <c r="F360" s="2456"/>
      <c r="G360" s="2456"/>
      <c r="H360" s="2456"/>
      <c r="I360" s="2456"/>
      <c r="J360" s="2456"/>
      <c r="K360" s="2456"/>
      <c r="L360" s="2456"/>
      <c r="M360" s="2456"/>
      <c r="N360" s="2456"/>
      <c r="O360" s="2456"/>
      <c r="P360" s="2456"/>
      <c r="Q360" s="2456"/>
      <c r="R360" s="2456"/>
      <c r="S360" s="2456"/>
      <c r="T360" s="2456"/>
      <c r="U360" s="2456"/>
      <c r="V360" s="2456"/>
      <c r="W360" s="2456"/>
      <c r="X360" s="2456"/>
      <c r="Y360" s="2456"/>
      <c r="Z360" s="2456"/>
      <c r="AA360" s="2456"/>
      <c r="AB360" s="2456"/>
      <c r="AC360" s="2456"/>
      <c r="AD360" s="2456"/>
      <c r="AE360" s="2456"/>
      <c r="AF360" s="2456"/>
      <c r="AG360" s="2456"/>
      <c r="AH360" s="2456"/>
      <c r="AI360" s="2456"/>
      <c r="AJ360" s="2456"/>
      <c r="AK360" s="601"/>
      <c r="AL360" s="601"/>
      <c r="AM360" s="601"/>
      <c r="AN360" s="595"/>
      <c r="AQ360" s="568"/>
      <c r="AR360" s="568"/>
    </row>
    <row r="361" spans="1:44" s="549" customFormat="1" ht="45.75" customHeight="1">
      <c r="A361" s="601"/>
      <c r="B361" s="609"/>
      <c r="C361" s="2456" t="s">
        <v>2046</v>
      </c>
      <c r="D361" s="2456"/>
      <c r="E361" s="2456"/>
      <c r="F361" s="2456"/>
      <c r="G361" s="2456"/>
      <c r="H361" s="2456"/>
      <c r="I361" s="2456"/>
      <c r="J361" s="2456"/>
      <c r="K361" s="2456"/>
      <c r="L361" s="2456"/>
      <c r="M361" s="2456"/>
      <c r="N361" s="2456"/>
      <c r="O361" s="2456"/>
      <c r="P361" s="2456"/>
      <c r="Q361" s="2456"/>
      <c r="R361" s="2456"/>
      <c r="S361" s="2456"/>
      <c r="T361" s="2456"/>
      <c r="U361" s="2456"/>
      <c r="V361" s="2456"/>
      <c r="W361" s="2456"/>
      <c r="X361" s="2456"/>
      <c r="Y361" s="2456"/>
      <c r="Z361" s="2456"/>
      <c r="AA361" s="2456"/>
      <c r="AB361" s="2456"/>
      <c r="AC361" s="2456"/>
      <c r="AD361" s="2456"/>
      <c r="AE361" s="2456"/>
      <c r="AF361" s="2456"/>
      <c r="AG361" s="2456"/>
      <c r="AH361" s="2456"/>
      <c r="AI361" s="2456"/>
      <c r="AJ361" s="2456"/>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56" t="s">
        <v>2160</v>
      </c>
      <c r="D363" s="2456"/>
      <c r="E363" s="2456"/>
      <c r="F363" s="2456"/>
      <c r="G363" s="2456"/>
      <c r="H363" s="2456"/>
      <c r="I363" s="2456"/>
      <c r="J363" s="2456"/>
      <c r="K363" s="2456"/>
      <c r="L363" s="2456"/>
      <c r="M363" s="2456"/>
      <c r="N363" s="2456"/>
      <c r="O363" s="2456"/>
      <c r="P363" s="2456"/>
      <c r="Q363" s="2456"/>
      <c r="R363" s="2456"/>
      <c r="S363" s="2456"/>
      <c r="T363" s="2456"/>
      <c r="U363" s="2456"/>
      <c r="V363" s="2456"/>
      <c r="W363" s="2456"/>
      <c r="X363" s="2456"/>
      <c r="Y363" s="2456"/>
      <c r="Z363" s="2456"/>
      <c r="AA363" s="2456"/>
      <c r="AB363" s="2456"/>
      <c r="AC363" s="2456"/>
      <c r="AD363" s="2456"/>
      <c r="AE363" s="2456"/>
      <c r="AF363" s="2456"/>
      <c r="AG363" s="2456"/>
      <c r="AH363" s="2456"/>
      <c r="AI363" s="2456"/>
      <c r="AJ363" s="2456"/>
      <c r="AK363" s="601"/>
      <c r="AL363" s="601"/>
      <c r="AM363" s="601"/>
      <c r="AN363" s="595"/>
      <c r="AQ363" s="568"/>
      <c r="AR363" s="568"/>
    </row>
    <row r="364" spans="1:44" s="549" customFormat="1" ht="30" customHeight="1">
      <c r="A364" s="601"/>
      <c r="B364" s="609"/>
      <c r="C364" s="2456"/>
      <c r="D364" s="2456"/>
      <c r="E364" s="2456"/>
      <c r="F364" s="2456"/>
      <c r="G364" s="2456"/>
      <c r="H364" s="2456"/>
      <c r="I364" s="2456"/>
      <c r="J364" s="2456"/>
      <c r="K364" s="2456"/>
      <c r="L364" s="2456"/>
      <c r="M364" s="2456"/>
      <c r="N364" s="2456"/>
      <c r="O364" s="2456"/>
      <c r="P364" s="2456"/>
      <c r="Q364" s="2456"/>
      <c r="R364" s="2456"/>
      <c r="S364" s="2456"/>
      <c r="T364" s="2456"/>
      <c r="U364" s="2456"/>
      <c r="V364" s="2456"/>
      <c r="W364" s="2456"/>
      <c r="X364" s="2456"/>
      <c r="Y364" s="2456"/>
      <c r="Z364" s="2456"/>
      <c r="AA364" s="2456"/>
      <c r="AB364" s="2456"/>
      <c r="AC364" s="2456"/>
      <c r="AD364" s="2456"/>
      <c r="AE364" s="2456"/>
      <c r="AF364" s="2456"/>
      <c r="AG364" s="2456"/>
      <c r="AH364" s="2456"/>
      <c r="AI364" s="2456"/>
      <c r="AJ364" s="2456"/>
      <c r="AK364" s="601"/>
      <c r="AL364" s="601"/>
      <c r="AM364" s="601"/>
      <c r="AN364" s="595"/>
      <c r="AR364" s="568"/>
    </row>
    <row r="365" spans="1:44" s="549" customFormat="1" ht="12.75" customHeight="1">
      <c r="A365" s="601"/>
      <c r="B365" s="609"/>
      <c r="C365" s="2456"/>
      <c r="D365" s="2456"/>
      <c r="E365" s="2456"/>
      <c r="F365" s="2456"/>
      <c r="G365" s="2456"/>
      <c r="H365" s="2456"/>
      <c r="I365" s="2456"/>
      <c r="J365" s="2456"/>
      <c r="K365" s="2456"/>
      <c r="L365" s="2456"/>
      <c r="M365" s="2456"/>
      <c r="N365" s="2456"/>
      <c r="O365" s="2456"/>
      <c r="P365" s="2456"/>
      <c r="Q365" s="2456"/>
      <c r="R365" s="2456"/>
      <c r="S365" s="2456"/>
      <c r="T365" s="2456"/>
      <c r="U365" s="2456"/>
      <c r="V365" s="2456"/>
      <c r="W365" s="2456"/>
      <c r="X365" s="2456"/>
      <c r="Y365" s="2456"/>
      <c r="Z365" s="2456"/>
      <c r="AA365" s="2456"/>
      <c r="AB365" s="2456"/>
      <c r="AC365" s="2456"/>
      <c r="AD365" s="2456"/>
      <c r="AE365" s="2456"/>
      <c r="AF365" s="2456"/>
      <c r="AG365" s="2456"/>
      <c r="AH365" s="2456"/>
      <c r="AI365" s="2456"/>
      <c r="AJ365" s="2456"/>
      <c r="AK365" s="601"/>
      <c r="AL365" s="601"/>
      <c r="AM365" s="601"/>
      <c r="AN365" s="595"/>
      <c r="AR365" s="568"/>
    </row>
    <row r="366" spans="1:44" s="549" customFormat="1" ht="12.75" customHeight="1">
      <c r="A366" s="601"/>
      <c r="B366" s="609"/>
      <c r="C366" s="2456" t="s">
        <v>1444</v>
      </c>
      <c r="D366" s="2456"/>
      <c r="E366" s="2456"/>
      <c r="F366" s="2456"/>
      <c r="G366" s="2456"/>
      <c r="H366" s="2456"/>
      <c r="I366" s="2456"/>
      <c r="J366" s="2456"/>
      <c r="K366" s="2456"/>
      <c r="L366" s="2456"/>
      <c r="M366" s="2456"/>
      <c r="N366" s="2456"/>
      <c r="O366" s="2456"/>
      <c r="P366" s="2456"/>
      <c r="Q366" s="2456"/>
      <c r="R366" s="2456"/>
      <c r="S366" s="2456"/>
      <c r="T366" s="2456"/>
      <c r="U366" s="2456"/>
      <c r="V366" s="2456"/>
      <c r="W366" s="2456"/>
      <c r="X366" s="2456"/>
      <c r="Y366" s="2456"/>
      <c r="Z366" s="2456"/>
      <c r="AA366" s="2456"/>
      <c r="AB366" s="2456"/>
      <c r="AC366" s="2456"/>
      <c r="AD366" s="2456"/>
      <c r="AE366" s="2456"/>
      <c r="AF366" s="2456"/>
      <c r="AG366" s="2456"/>
      <c r="AH366" s="2456"/>
      <c r="AI366" s="2456"/>
      <c r="AJ366" s="2456"/>
      <c r="AK366" s="601"/>
      <c r="AL366" s="601"/>
      <c r="AM366" s="601"/>
      <c r="AN366" s="595"/>
      <c r="AQ366" s="568"/>
      <c r="AR366" s="568"/>
    </row>
    <row r="367" spans="1:44" s="549" customFormat="1" ht="12.75" customHeight="1">
      <c r="A367" s="601"/>
      <c r="B367" s="609"/>
      <c r="C367" s="2456"/>
      <c r="D367" s="2456"/>
      <c r="E367" s="2456"/>
      <c r="F367" s="2456"/>
      <c r="G367" s="2456"/>
      <c r="H367" s="2456"/>
      <c r="I367" s="2456"/>
      <c r="J367" s="2456"/>
      <c r="K367" s="2456"/>
      <c r="L367" s="2456"/>
      <c r="M367" s="2456"/>
      <c r="N367" s="2456"/>
      <c r="O367" s="2456"/>
      <c r="P367" s="2456"/>
      <c r="Q367" s="2456"/>
      <c r="R367" s="2456"/>
      <c r="S367" s="2456"/>
      <c r="T367" s="2456"/>
      <c r="U367" s="2456"/>
      <c r="V367" s="2456"/>
      <c r="W367" s="2456"/>
      <c r="X367" s="2456"/>
      <c r="Y367" s="2456"/>
      <c r="Z367" s="2456"/>
      <c r="AA367" s="2456"/>
      <c r="AB367" s="2456"/>
      <c r="AC367" s="2456"/>
      <c r="AD367" s="2456"/>
      <c r="AE367" s="2456"/>
      <c r="AF367" s="2456"/>
      <c r="AG367" s="2456"/>
      <c r="AH367" s="2456"/>
      <c r="AI367" s="2456"/>
      <c r="AJ367" s="2456"/>
      <c r="AK367" s="601"/>
      <c r="AL367" s="601"/>
      <c r="AM367" s="601"/>
      <c r="AN367" s="595"/>
      <c r="AQ367" s="568"/>
      <c r="AR367" s="568"/>
    </row>
    <row r="368" spans="1:44" s="549" customFormat="1" ht="13.15" customHeight="1">
      <c r="A368" s="601"/>
      <c r="B368" s="609"/>
      <c r="C368" s="2456"/>
      <c r="D368" s="2456"/>
      <c r="E368" s="2456"/>
      <c r="F368" s="2456"/>
      <c r="G368" s="2456"/>
      <c r="H368" s="2456"/>
      <c r="I368" s="2456"/>
      <c r="J368" s="2456"/>
      <c r="K368" s="2456"/>
      <c r="L368" s="2456"/>
      <c r="M368" s="2456"/>
      <c r="N368" s="2456"/>
      <c r="O368" s="2456"/>
      <c r="P368" s="2456"/>
      <c r="Q368" s="2456"/>
      <c r="R368" s="2456"/>
      <c r="S368" s="2456"/>
      <c r="T368" s="2456"/>
      <c r="U368" s="2456"/>
      <c r="V368" s="2456"/>
      <c r="W368" s="2456"/>
      <c r="X368" s="2456"/>
      <c r="Y368" s="2456"/>
      <c r="Z368" s="2456"/>
      <c r="AA368" s="2456"/>
      <c r="AB368" s="2456"/>
      <c r="AC368" s="2456"/>
      <c r="AD368" s="2456"/>
      <c r="AE368" s="2456"/>
      <c r="AF368" s="2456"/>
      <c r="AG368" s="2456"/>
      <c r="AH368" s="2456"/>
      <c r="AI368" s="2456"/>
      <c r="AJ368" s="2456"/>
      <c r="AK368" s="601"/>
      <c r="AL368" s="601"/>
      <c r="AM368" s="601"/>
      <c r="AN368" s="595"/>
      <c r="AQ368" s="568"/>
      <c r="AR368" s="568"/>
    </row>
    <row r="369" spans="1:46" s="549" customFormat="1" ht="12.75" customHeight="1">
      <c r="A369" s="601"/>
      <c r="B369" s="609"/>
      <c r="C369" s="2456"/>
      <c r="D369" s="2456"/>
      <c r="E369" s="2456"/>
      <c r="F369" s="2456"/>
      <c r="G369" s="2456"/>
      <c r="H369" s="2456"/>
      <c r="I369" s="2456"/>
      <c r="J369" s="2456"/>
      <c r="K369" s="2456"/>
      <c r="L369" s="2456"/>
      <c r="M369" s="2456"/>
      <c r="N369" s="2456"/>
      <c r="O369" s="2456"/>
      <c r="P369" s="2456"/>
      <c r="Q369" s="2456"/>
      <c r="R369" s="2456"/>
      <c r="S369" s="2456"/>
      <c r="T369" s="2456"/>
      <c r="U369" s="2456"/>
      <c r="V369" s="2456"/>
      <c r="W369" s="2456"/>
      <c r="X369" s="2456"/>
      <c r="Y369" s="2456"/>
      <c r="Z369" s="2456"/>
      <c r="AA369" s="2456"/>
      <c r="AB369" s="2456"/>
      <c r="AC369" s="2456"/>
      <c r="AD369" s="2456"/>
      <c r="AE369" s="2456"/>
      <c r="AF369" s="2456"/>
      <c r="AG369" s="2456"/>
      <c r="AH369" s="2456"/>
      <c r="AI369" s="2456"/>
      <c r="AJ369" s="2456"/>
      <c r="AK369" s="601"/>
      <c r="AL369" s="601"/>
      <c r="AM369" s="601"/>
      <c r="AN369" s="595"/>
      <c r="AO369" s="690"/>
      <c r="AP369" s="690"/>
      <c r="AQ369" s="568"/>
    </row>
    <row r="370" spans="1:46" s="549" customFormat="1" ht="11.9" customHeight="1">
      <c r="A370" s="601"/>
      <c r="B370" s="609"/>
      <c r="C370" s="2456"/>
      <c r="D370" s="2456"/>
      <c r="E370" s="2456"/>
      <c r="F370" s="2456"/>
      <c r="G370" s="2456"/>
      <c r="H370" s="2456"/>
      <c r="I370" s="2456"/>
      <c r="J370" s="2456"/>
      <c r="K370" s="2456"/>
      <c r="L370" s="2456"/>
      <c r="M370" s="2456"/>
      <c r="N370" s="2456"/>
      <c r="O370" s="2456"/>
      <c r="P370" s="2456"/>
      <c r="Q370" s="2456"/>
      <c r="R370" s="2456"/>
      <c r="S370" s="2456"/>
      <c r="T370" s="2456"/>
      <c r="U370" s="2456"/>
      <c r="V370" s="2456"/>
      <c r="W370" s="2456"/>
      <c r="X370" s="2456"/>
      <c r="Y370" s="2456"/>
      <c r="Z370" s="2456"/>
      <c r="AA370" s="2456"/>
      <c r="AB370" s="2456"/>
      <c r="AC370" s="2456"/>
      <c r="AD370" s="2456"/>
      <c r="AE370" s="2456"/>
      <c r="AF370" s="2456"/>
      <c r="AG370" s="2456"/>
      <c r="AH370" s="2456"/>
      <c r="AI370" s="2456"/>
      <c r="AJ370" s="2456"/>
      <c r="AK370" s="601"/>
      <c r="AL370" s="601"/>
      <c r="AM370" s="601"/>
      <c r="AN370" s="595"/>
      <c r="AO370" s="691" t="s">
        <v>112</v>
      </c>
      <c r="AP370" s="692">
        <f>IF(C394="Yes",5,0)</f>
        <v>0</v>
      </c>
      <c r="AS370" s="539" t="s">
        <v>1445</v>
      </c>
    </row>
    <row r="371" spans="1:46" s="549" customFormat="1" ht="12.75" customHeight="1">
      <c r="A371" s="601"/>
      <c r="B371" s="609"/>
      <c r="C371" s="2456"/>
      <c r="D371" s="2456"/>
      <c r="E371" s="2456"/>
      <c r="F371" s="2456"/>
      <c r="G371" s="2456"/>
      <c r="H371" s="2456"/>
      <c r="I371" s="2456"/>
      <c r="J371" s="2456"/>
      <c r="K371" s="2456"/>
      <c r="L371" s="2456"/>
      <c r="M371" s="2456"/>
      <c r="N371" s="2456"/>
      <c r="O371" s="2456"/>
      <c r="P371" s="2456"/>
      <c r="Q371" s="2456"/>
      <c r="R371" s="2456"/>
      <c r="S371" s="2456"/>
      <c r="T371" s="2456"/>
      <c r="U371" s="2456"/>
      <c r="V371" s="2456"/>
      <c r="W371" s="2456"/>
      <c r="X371" s="2456"/>
      <c r="Y371" s="2456"/>
      <c r="Z371" s="2456"/>
      <c r="AA371" s="2456"/>
      <c r="AB371" s="2456"/>
      <c r="AC371" s="2456"/>
      <c r="AD371" s="2456"/>
      <c r="AE371" s="2456"/>
      <c r="AF371" s="2456"/>
      <c r="AG371" s="2456"/>
      <c r="AH371" s="2456"/>
      <c r="AI371" s="2456"/>
      <c r="AJ371" s="2456"/>
      <c r="AK371" s="601"/>
      <c r="AL371" s="601"/>
      <c r="AM371" s="601"/>
      <c r="AN371" s="595"/>
      <c r="AO371" s="691" t="s">
        <v>113</v>
      </c>
      <c r="AP371" s="692">
        <f>IF(C402="Yes",5,0)</f>
        <v>0</v>
      </c>
      <c r="AS371" s="2524">
        <f>IF(Application!D211="Non-Targeted",(SUM(AQ379+AQ388)),AS375)</f>
        <v>10</v>
      </c>
      <c r="AT371" s="2524"/>
    </row>
    <row r="372" spans="1:46" s="549" customFormat="1" ht="12.75" customHeight="1">
      <c r="A372" s="601"/>
      <c r="B372" s="609"/>
      <c r="C372" s="2456"/>
      <c r="D372" s="2456"/>
      <c r="E372" s="2456"/>
      <c r="F372" s="2456"/>
      <c r="G372" s="2456"/>
      <c r="H372" s="2456"/>
      <c r="I372" s="2456"/>
      <c r="J372" s="2456"/>
      <c r="K372" s="2456"/>
      <c r="L372" s="2456"/>
      <c r="M372" s="2456"/>
      <c r="N372" s="2456"/>
      <c r="O372" s="2456"/>
      <c r="P372" s="2456"/>
      <c r="Q372" s="2456"/>
      <c r="R372" s="2456"/>
      <c r="S372" s="2456"/>
      <c r="T372" s="2456"/>
      <c r="U372" s="2456"/>
      <c r="V372" s="2456"/>
      <c r="W372" s="2456"/>
      <c r="X372" s="2456"/>
      <c r="Y372" s="2456"/>
      <c r="Z372" s="2456"/>
      <c r="AA372" s="2456"/>
      <c r="AB372" s="2456"/>
      <c r="AC372" s="2456"/>
      <c r="AD372" s="2456"/>
      <c r="AE372" s="2456"/>
      <c r="AF372" s="2456"/>
      <c r="AG372" s="2456"/>
      <c r="AH372" s="2456"/>
      <c r="AI372" s="2456"/>
      <c r="AJ372" s="2456"/>
      <c r="AK372" s="601"/>
      <c r="AL372" s="601"/>
      <c r="AM372" s="601"/>
      <c r="AN372" s="595"/>
      <c r="AO372" s="691" t="s">
        <v>119</v>
      </c>
      <c r="AP372" s="692">
        <f>IF(C410="Yes",7,0)</f>
        <v>7</v>
      </c>
      <c r="AS372" s="539" t="s">
        <v>1446</v>
      </c>
    </row>
    <row r="373" spans="1:46" s="549" customFormat="1" ht="12.75" customHeight="1">
      <c r="B373" s="609"/>
      <c r="C373" s="2456"/>
      <c r="D373" s="2456"/>
      <c r="E373" s="2456"/>
      <c r="F373" s="2456"/>
      <c r="G373" s="2456"/>
      <c r="H373" s="2456"/>
      <c r="I373" s="2456"/>
      <c r="J373" s="2456"/>
      <c r="K373" s="2456"/>
      <c r="L373" s="2456"/>
      <c r="M373" s="2456"/>
      <c r="N373" s="2456"/>
      <c r="O373" s="2456"/>
      <c r="P373" s="2456"/>
      <c r="Q373" s="2456"/>
      <c r="R373" s="2456"/>
      <c r="S373" s="2456"/>
      <c r="T373" s="2456"/>
      <c r="U373" s="2456"/>
      <c r="V373" s="2456"/>
      <c r="W373" s="2456"/>
      <c r="X373" s="2456"/>
      <c r="Y373" s="2456"/>
      <c r="Z373" s="2456"/>
      <c r="AA373" s="2456"/>
      <c r="AB373" s="2456"/>
      <c r="AC373" s="2456"/>
      <c r="AD373" s="2456"/>
      <c r="AE373" s="2456"/>
      <c r="AF373" s="2456"/>
      <c r="AG373" s="2456"/>
      <c r="AH373" s="2456"/>
      <c r="AI373" s="2456"/>
      <c r="AJ373" s="2456"/>
      <c r="AK373" s="601"/>
      <c r="AL373" s="601"/>
      <c r="AM373" s="601"/>
      <c r="AN373" s="595"/>
      <c r="AO373" s="595"/>
      <c r="AP373" s="692">
        <f>IF(C412="Yes",5,0)</f>
        <v>0</v>
      </c>
      <c r="AS373" s="2524">
        <f>IF(AND(AQ379&gt;0,AQ388&gt;0),(AQ379+AQ388)/2,0)</f>
        <v>0</v>
      </c>
      <c r="AT373" s="2524"/>
    </row>
    <row r="374" spans="1:46" s="549" customFormat="1" ht="12.75" customHeight="1">
      <c r="A374" s="601"/>
      <c r="B374" s="609"/>
      <c r="C374" s="2456"/>
      <c r="D374" s="2456"/>
      <c r="E374" s="2456"/>
      <c r="F374" s="2456"/>
      <c r="G374" s="2456"/>
      <c r="H374" s="2456"/>
      <c r="I374" s="2456"/>
      <c r="J374" s="2456"/>
      <c r="K374" s="2456"/>
      <c r="L374" s="2456"/>
      <c r="M374" s="2456"/>
      <c r="N374" s="2456"/>
      <c r="O374" s="2456"/>
      <c r="P374" s="2456"/>
      <c r="Q374" s="2456"/>
      <c r="R374" s="2456"/>
      <c r="S374" s="2456"/>
      <c r="T374" s="2456"/>
      <c r="U374" s="2456"/>
      <c r="V374" s="2456"/>
      <c r="W374" s="2456"/>
      <c r="X374" s="2456"/>
      <c r="Y374" s="2456"/>
      <c r="Z374" s="2456"/>
      <c r="AA374" s="2456"/>
      <c r="AB374" s="2456"/>
      <c r="AC374" s="2456"/>
      <c r="AD374" s="2456"/>
      <c r="AE374" s="2456"/>
      <c r="AF374" s="2456"/>
      <c r="AG374" s="2456"/>
      <c r="AH374" s="2456"/>
      <c r="AI374" s="2456"/>
      <c r="AJ374" s="2456"/>
      <c r="AK374" s="601"/>
      <c r="AL374" s="601"/>
      <c r="AM374" s="601"/>
      <c r="AN374" s="595"/>
      <c r="AO374" s="691" t="s">
        <v>580</v>
      </c>
      <c r="AP374" s="692">
        <f>IF(C420="Yes",5,0)</f>
        <v>0</v>
      </c>
      <c r="AS374" s="539" t="s">
        <v>1851</v>
      </c>
    </row>
    <row r="375" spans="1:46" s="549" customFormat="1" ht="12.75" customHeight="1">
      <c r="A375" s="601"/>
      <c r="B375" s="609"/>
      <c r="C375" s="2525" t="s">
        <v>2184</v>
      </c>
      <c r="D375" s="2525"/>
      <c r="E375" s="2525"/>
      <c r="F375" s="2525"/>
      <c r="G375" s="2525"/>
      <c r="H375" s="2525"/>
      <c r="I375" s="2525"/>
      <c r="J375" s="2525"/>
      <c r="K375" s="2525"/>
      <c r="L375" s="2525"/>
      <c r="M375" s="2525"/>
      <c r="N375" s="2525"/>
      <c r="O375" s="2525"/>
      <c r="P375" s="2525"/>
      <c r="Q375" s="2525"/>
      <c r="R375" s="2525"/>
      <c r="S375" s="2525"/>
      <c r="T375" s="2525"/>
      <c r="U375" s="2525"/>
      <c r="V375" s="2525"/>
      <c r="W375" s="2525"/>
      <c r="X375" s="2525"/>
      <c r="Y375" s="2525"/>
      <c r="Z375" s="2525"/>
      <c r="AA375" s="2525"/>
      <c r="AB375" s="2525"/>
      <c r="AC375" s="2525"/>
      <c r="AD375" s="2525"/>
      <c r="AE375" s="2525"/>
      <c r="AF375" s="2525"/>
      <c r="AG375" s="2525"/>
      <c r="AH375" s="2525"/>
      <c r="AI375" s="2525"/>
      <c r="AJ375" s="2525"/>
      <c r="AK375" s="601"/>
      <c r="AL375" s="601"/>
      <c r="AM375" s="601"/>
      <c r="AN375" s="595"/>
      <c r="AO375" s="595"/>
      <c r="AP375" s="692">
        <f>IF(C422="Yes",3,0)</f>
        <v>3</v>
      </c>
      <c r="AS375" s="2524">
        <f>IF(AQ379=0,AQ388,AQ379)</f>
        <v>10</v>
      </c>
      <c r="AT375" s="2524"/>
    </row>
    <row r="376" spans="1:46" s="549" customFormat="1" ht="12.75" customHeight="1">
      <c r="A376" s="601"/>
      <c r="B376" s="609"/>
      <c r="C376" s="2525"/>
      <c r="D376" s="2525"/>
      <c r="E376" s="2525"/>
      <c r="F376" s="2525"/>
      <c r="G376" s="2525"/>
      <c r="H376" s="2525"/>
      <c r="I376" s="2525"/>
      <c r="J376" s="2525"/>
      <c r="K376" s="2525"/>
      <c r="L376" s="2525"/>
      <c r="M376" s="2525"/>
      <c r="N376" s="2525"/>
      <c r="O376" s="2525"/>
      <c r="P376" s="2525"/>
      <c r="Q376" s="2525"/>
      <c r="R376" s="2525"/>
      <c r="S376" s="2525"/>
      <c r="T376" s="2525"/>
      <c r="U376" s="2525"/>
      <c r="V376" s="2525"/>
      <c r="W376" s="2525"/>
      <c r="X376" s="2525"/>
      <c r="Y376" s="2525"/>
      <c r="Z376" s="2525"/>
      <c r="AA376" s="2525"/>
      <c r="AB376" s="2525"/>
      <c r="AC376" s="2525"/>
      <c r="AD376" s="2525"/>
      <c r="AE376" s="2525"/>
      <c r="AF376" s="2525"/>
      <c r="AG376" s="2525"/>
      <c r="AH376" s="2525"/>
      <c r="AI376" s="2525"/>
      <c r="AJ376" s="2525"/>
      <c r="AK376" s="601"/>
      <c r="AL376" s="601"/>
      <c r="AM376" s="601"/>
      <c r="AN376" s="595"/>
      <c r="AO376" s="691" t="s">
        <v>762</v>
      </c>
      <c r="AP376" s="692">
        <f>IF(C425="Yes",5,0)</f>
        <v>0</v>
      </c>
    </row>
    <row r="377" spans="1:46" s="549" customFormat="1" ht="12.75" customHeight="1">
      <c r="A377" s="601"/>
      <c r="B377" s="609"/>
      <c r="C377" s="2525"/>
      <c r="D377" s="2525"/>
      <c r="E377" s="2525"/>
      <c r="F377" s="2525"/>
      <c r="G377" s="2525"/>
      <c r="H377" s="2525"/>
      <c r="I377" s="2525"/>
      <c r="J377" s="2525"/>
      <c r="K377" s="2525"/>
      <c r="L377" s="2525"/>
      <c r="M377" s="2525"/>
      <c r="N377" s="2525"/>
      <c r="O377" s="2525"/>
      <c r="P377" s="2525"/>
      <c r="Q377" s="2525"/>
      <c r="R377" s="2525"/>
      <c r="S377" s="2525"/>
      <c r="T377" s="2525"/>
      <c r="U377" s="2525"/>
      <c r="V377" s="2525"/>
      <c r="W377" s="2525"/>
      <c r="X377" s="2525"/>
      <c r="Y377" s="2525"/>
      <c r="Z377" s="2525"/>
      <c r="AA377" s="2525"/>
      <c r="AB377" s="2525"/>
      <c r="AC377" s="2525"/>
      <c r="AD377" s="2525"/>
      <c r="AE377" s="2525"/>
      <c r="AF377" s="2525"/>
      <c r="AG377" s="2525"/>
      <c r="AH377" s="2525"/>
      <c r="AI377" s="2525"/>
      <c r="AJ377" s="2525"/>
      <c r="AK377" s="601"/>
      <c r="AL377" s="601"/>
      <c r="AM377" s="601"/>
      <c r="AN377" s="595"/>
      <c r="AO377" s="691" t="s">
        <v>583</v>
      </c>
      <c r="AP377" s="692">
        <f>IF(C434="Yes",5,0)</f>
        <v>0</v>
      </c>
    </row>
    <row r="378" spans="1:46" s="549" customFormat="1" ht="11.9" customHeight="1">
      <c r="A378" s="601"/>
      <c r="B378" s="609"/>
      <c r="C378" s="2525"/>
      <c r="D378" s="2525"/>
      <c r="E378" s="2525"/>
      <c r="F378" s="2525"/>
      <c r="G378" s="2525"/>
      <c r="H378" s="2525"/>
      <c r="I378" s="2525"/>
      <c r="J378" s="2525"/>
      <c r="K378" s="2525"/>
      <c r="L378" s="2525"/>
      <c r="M378" s="2525"/>
      <c r="N378" s="2525"/>
      <c r="O378" s="2525"/>
      <c r="P378" s="2525"/>
      <c r="Q378" s="2525"/>
      <c r="R378" s="2525"/>
      <c r="S378" s="2525"/>
      <c r="T378" s="2525"/>
      <c r="U378" s="2525"/>
      <c r="V378" s="2525"/>
      <c r="W378" s="2525"/>
      <c r="X378" s="2525"/>
      <c r="Y378" s="2525"/>
      <c r="Z378" s="2525"/>
      <c r="AA378" s="2525"/>
      <c r="AB378" s="2525"/>
      <c r="AC378" s="2525"/>
      <c r="AD378" s="2525"/>
      <c r="AE378" s="2525"/>
      <c r="AF378" s="2525"/>
      <c r="AG378" s="2525"/>
      <c r="AH378" s="2525"/>
      <c r="AI378" s="2525"/>
      <c r="AJ378" s="2525"/>
      <c r="AK378" s="601"/>
      <c r="AL378" s="601"/>
      <c r="AM378" s="601"/>
      <c r="AN378" s="595"/>
      <c r="AO378" s="693"/>
      <c r="AP378" s="694">
        <f>IF(C436="Yes",3,0)</f>
        <v>0</v>
      </c>
    </row>
    <row r="379" spans="1:46" s="549" customFormat="1" ht="12.4" customHeight="1">
      <c r="A379" s="601"/>
      <c r="B379" s="609"/>
      <c r="C379" s="2525"/>
      <c r="D379" s="2525"/>
      <c r="E379" s="2525"/>
      <c r="F379" s="2525"/>
      <c r="G379" s="2525"/>
      <c r="H379" s="2525"/>
      <c r="I379" s="2525"/>
      <c r="J379" s="2525"/>
      <c r="K379" s="2525"/>
      <c r="L379" s="2525"/>
      <c r="M379" s="2525"/>
      <c r="N379" s="2525"/>
      <c r="O379" s="2525"/>
      <c r="P379" s="2525"/>
      <c r="Q379" s="2525"/>
      <c r="R379" s="2525"/>
      <c r="S379" s="2525"/>
      <c r="T379" s="2525"/>
      <c r="U379" s="2525"/>
      <c r="V379" s="2525"/>
      <c r="W379" s="2525"/>
      <c r="X379" s="2525"/>
      <c r="Y379" s="2525"/>
      <c r="Z379" s="2525"/>
      <c r="AA379" s="2525"/>
      <c r="AB379" s="2525"/>
      <c r="AC379" s="2525"/>
      <c r="AD379" s="2525"/>
      <c r="AE379" s="2525"/>
      <c r="AF379" s="2525"/>
      <c r="AG379" s="2525"/>
      <c r="AH379" s="2525"/>
      <c r="AI379" s="2525"/>
      <c r="AJ379" s="2525"/>
      <c r="AK379" s="601"/>
      <c r="AL379" s="601"/>
      <c r="AM379" s="601"/>
      <c r="AN379" s="595"/>
      <c r="AO379" s="695" t="s">
        <v>226</v>
      </c>
      <c r="AP379" s="696">
        <f>SUM(AP370:AP378)</f>
        <v>10</v>
      </c>
      <c r="AQ379" s="2459">
        <f>IF(AP379&gt;0,AP379,0)</f>
        <v>10</v>
      </c>
      <c r="AR379" s="2459"/>
    </row>
    <row r="380" spans="1:46" s="549" customFormat="1" ht="12.75" customHeight="1">
      <c r="A380" s="601"/>
      <c r="B380" s="609"/>
      <c r="C380" s="2525"/>
      <c r="D380" s="2525"/>
      <c r="E380" s="2525"/>
      <c r="F380" s="2525"/>
      <c r="G380" s="2525"/>
      <c r="H380" s="2525"/>
      <c r="I380" s="2525"/>
      <c r="J380" s="2525"/>
      <c r="K380" s="2525"/>
      <c r="L380" s="2525"/>
      <c r="M380" s="2525"/>
      <c r="N380" s="2525"/>
      <c r="O380" s="2525"/>
      <c r="P380" s="2525"/>
      <c r="Q380" s="2525"/>
      <c r="R380" s="2525"/>
      <c r="S380" s="2525"/>
      <c r="T380" s="2525"/>
      <c r="U380" s="2525"/>
      <c r="V380" s="2525"/>
      <c r="W380" s="2525"/>
      <c r="X380" s="2525"/>
      <c r="Y380" s="2525"/>
      <c r="Z380" s="2525"/>
      <c r="AA380" s="2525"/>
      <c r="AB380" s="2525"/>
      <c r="AC380" s="2525"/>
      <c r="AD380" s="2525"/>
      <c r="AE380" s="2525"/>
      <c r="AF380" s="2525"/>
      <c r="AG380" s="2525"/>
      <c r="AH380" s="2525"/>
      <c r="AI380" s="2525"/>
      <c r="AJ380" s="2525"/>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2456" t="s">
        <v>1447</v>
      </c>
      <c r="D382" s="2456"/>
      <c r="E382" s="2456"/>
      <c r="F382" s="2456"/>
      <c r="G382" s="2456"/>
      <c r="H382" s="2456"/>
      <c r="I382" s="2456"/>
      <c r="J382" s="2456"/>
      <c r="K382" s="2456"/>
      <c r="L382" s="2456"/>
      <c r="M382" s="2456"/>
      <c r="N382" s="2456"/>
      <c r="O382" s="2456"/>
      <c r="P382" s="2456"/>
      <c r="Q382" s="2456"/>
      <c r="R382" s="2456"/>
      <c r="S382" s="2456"/>
      <c r="T382" s="2456"/>
      <c r="U382" s="2456"/>
      <c r="V382" s="2456"/>
      <c r="W382" s="2456"/>
      <c r="X382" s="2456"/>
      <c r="Y382" s="2456"/>
      <c r="Z382" s="2456"/>
      <c r="AA382" s="2456"/>
      <c r="AB382" s="2456"/>
      <c r="AC382" s="2456"/>
      <c r="AD382" s="2456"/>
      <c r="AE382" s="2456"/>
      <c r="AF382" s="2456"/>
      <c r="AG382" s="2456"/>
      <c r="AH382" s="2456"/>
      <c r="AI382" s="2456"/>
      <c r="AJ382" s="2456"/>
      <c r="AK382" s="601"/>
      <c r="AL382" s="601"/>
      <c r="AM382" s="601"/>
      <c r="AN382" s="595"/>
      <c r="AO382" s="691" t="s">
        <v>455</v>
      </c>
      <c r="AP382" s="692">
        <f>IF(C455="Yes",5,0)</f>
        <v>0</v>
      </c>
    </row>
    <row r="383" spans="1:46" s="549" customFormat="1" ht="12.75" customHeight="1">
      <c r="A383" s="601"/>
      <c r="B383" s="609"/>
      <c r="C383" s="2456"/>
      <c r="D383" s="2456"/>
      <c r="E383" s="2456"/>
      <c r="F383" s="2456"/>
      <c r="G383" s="2456"/>
      <c r="H383" s="2456"/>
      <c r="I383" s="2456"/>
      <c r="J383" s="2456"/>
      <c r="K383" s="2456"/>
      <c r="L383" s="2456"/>
      <c r="M383" s="2456"/>
      <c r="N383" s="2456"/>
      <c r="O383" s="2456"/>
      <c r="P383" s="2456"/>
      <c r="Q383" s="2456"/>
      <c r="R383" s="2456"/>
      <c r="S383" s="2456"/>
      <c r="T383" s="2456"/>
      <c r="U383" s="2456"/>
      <c r="V383" s="2456"/>
      <c r="W383" s="2456"/>
      <c r="X383" s="2456"/>
      <c r="Y383" s="2456"/>
      <c r="Z383" s="2456"/>
      <c r="AA383" s="2456"/>
      <c r="AB383" s="2456"/>
      <c r="AC383" s="2456"/>
      <c r="AD383" s="2456"/>
      <c r="AE383" s="2456"/>
      <c r="AF383" s="2456"/>
      <c r="AG383" s="2456"/>
      <c r="AH383" s="2456"/>
      <c r="AI383" s="2456"/>
      <c r="AJ383" s="2456"/>
      <c r="AK383" s="601"/>
      <c r="AL383" s="601"/>
      <c r="AM383" s="601"/>
      <c r="AN383" s="595"/>
      <c r="AO383" s="691" t="s">
        <v>460</v>
      </c>
      <c r="AP383" s="692">
        <f>IF(C462="Yes",5,0)</f>
        <v>0</v>
      </c>
    </row>
    <row r="384" spans="1:46" s="549" customFormat="1" ht="68.150000000000006" customHeight="1">
      <c r="A384" s="601"/>
      <c r="B384" s="609"/>
      <c r="C384" s="2456"/>
      <c r="D384" s="2456"/>
      <c r="E384" s="2456"/>
      <c r="F384" s="2456"/>
      <c r="G384" s="2456"/>
      <c r="H384" s="2456"/>
      <c r="I384" s="2456"/>
      <c r="J384" s="2456"/>
      <c r="K384" s="2456"/>
      <c r="L384" s="2456"/>
      <c r="M384" s="2456"/>
      <c r="N384" s="2456"/>
      <c r="O384" s="2456"/>
      <c r="P384" s="2456"/>
      <c r="Q384" s="2456"/>
      <c r="R384" s="2456"/>
      <c r="S384" s="2456"/>
      <c r="T384" s="2456"/>
      <c r="U384" s="2456"/>
      <c r="V384" s="2456"/>
      <c r="W384" s="2456"/>
      <c r="X384" s="2456"/>
      <c r="Y384" s="2456"/>
      <c r="Z384" s="2456"/>
      <c r="AA384" s="2456"/>
      <c r="AB384" s="2456"/>
      <c r="AC384" s="2456"/>
      <c r="AD384" s="2456"/>
      <c r="AE384" s="2456"/>
      <c r="AF384" s="2456"/>
      <c r="AG384" s="2456"/>
      <c r="AH384" s="2456"/>
      <c r="AI384" s="2456"/>
      <c r="AJ384" s="2456"/>
      <c r="AK384" s="601"/>
      <c r="AL384" s="601"/>
      <c r="AM384" s="601"/>
      <c r="AN384" s="595"/>
      <c r="AO384" s="691" t="s">
        <v>645</v>
      </c>
      <c r="AP384" s="697">
        <f>IF(C466="Yes",5,0)</f>
        <v>0</v>
      </c>
    </row>
    <row r="385" spans="1:81" s="549" customFormat="1" ht="12.4" customHeight="1">
      <c r="B385" s="609"/>
      <c r="C385" s="549" t="s">
        <v>1448</v>
      </c>
      <c r="AF385" s="601"/>
      <c r="AG385" s="601"/>
      <c r="AH385" s="601"/>
      <c r="AI385" s="601"/>
      <c r="AJ385" s="601"/>
      <c r="AK385" s="601"/>
      <c r="AL385" s="601"/>
      <c r="AM385" s="601"/>
      <c r="AN385" s="595"/>
      <c r="AO385" s="691" t="s">
        <v>361</v>
      </c>
      <c r="AP385" s="692">
        <f>IF(C470="Yes",5,0)</f>
        <v>0</v>
      </c>
    </row>
    <row r="386" spans="1:81" s="549" customFormat="1" ht="12.75" customHeight="1">
      <c r="A386" s="601"/>
      <c r="B386" s="609"/>
      <c r="C386" s="698" t="s">
        <v>2163</v>
      </c>
      <c r="D386" s="699"/>
      <c r="E386" s="699"/>
      <c r="F386" s="699"/>
      <c r="G386" s="699"/>
      <c r="H386" s="699"/>
      <c r="I386" s="699"/>
      <c r="J386" s="699"/>
      <c r="K386" s="699"/>
      <c r="L386" s="699"/>
      <c r="M386" s="663"/>
      <c r="N386" s="663"/>
      <c r="O386" s="700"/>
      <c r="P386" s="699"/>
      <c r="Q386" s="699"/>
      <c r="R386" s="663"/>
      <c r="S386" s="663"/>
      <c r="T386" s="699"/>
      <c r="U386" s="2457">
        <f>Application!DU810-U387</f>
        <v>256</v>
      </c>
      <c r="V386" s="2457"/>
      <c r="W386" s="2457"/>
      <c r="X386" s="699"/>
      <c r="Y386" s="699"/>
      <c r="Z386" s="699"/>
      <c r="AA386" s="701"/>
      <c r="AB386" s="702"/>
      <c r="AC386" s="702"/>
      <c r="AD386" s="702"/>
      <c r="AE386" s="601"/>
      <c r="AF386" s="601"/>
      <c r="AG386" s="601"/>
      <c r="AH386" s="601"/>
      <c r="AI386" s="601"/>
      <c r="AJ386" s="601"/>
      <c r="AK386" s="601"/>
      <c r="AL386" s="601"/>
      <c r="AM386" s="601"/>
      <c r="AN386" s="595"/>
      <c r="AO386" s="691" t="s">
        <v>362</v>
      </c>
      <c r="AP386" s="692">
        <f>IF(C479="Yes",5,0)</f>
        <v>0</v>
      </c>
    </row>
    <row r="387" spans="1:81" s="549" customFormat="1" ht="12.75" customHeight="1">
      <c r="A387" s="601"/>
      <c r="B387" s="609"/>
      <c r="C387" s="703" t="s">
        <v>2164</v>
      </c>
      <c r="D387" s="690"/>
      <c r="E387" s="690"/>
      <c r="F387" s="690"/>
      <c r="G387" s="690"/>
      <c r="H387" s="690"/>
      <c r="I387" s="690"/>
      <c r="J387" s="690"/>
      <c r="K387" s="690"/>
      <c r="L387" s="690"/>
      <c r="M387" s="690"/>
      <c r="N387" s="690"/>
      <c r="O387" s="690"/>
      <c r="P387" s="690"/>
      <c r="Q387" s="690"/>
      <c r="R387" s="690"/>
      <c r="S387" s="690"/>
      <c r="T387" s="690"/>
      <c r="U387" s="2458">
        <f>IF(Application!D211="SRO",Application!DU763,Application!AG764)</f>
        <v>0</v>
      </c>
      <c r="V387" s="2458"/>
      <c r="W387" s="2458"/>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226</v>
      </c>
      <c r="AP388" s="707">
        <f>SUM(AP381:AP386)</f>
        <v>0</v>
      </c>
      <c r="AQ388" s="2459">
        <f>IF(AP388&gt;0,AP388,0)</f>
        <v>0</v>
      </c>
      <c r="AR388" s="2459"/>
    </row>
    <row r="389" spans="1:81" s="549" customFormat="1" ht="12.75" customHeight="1">
      <c r="A389" s="601"/>
      <c r="B389" s="14"/>
      <c r="C389" s="708" t="s">
        <v>2161</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1307</v>
      </c>
      <c r="F390" s="2435" t="s">
        <v>1449</v>
      </c>
      <c r="G390" s="2435"/>
      <c r="H390" s="2435"/>
      <c r="I390" s="2435"/>
      <c r="J390" s="2435"/>
      <c r="K390" s="2435"/>
      <c r="L390" s="2435"/>
      <c r="M390" s="2435"/>
      <c r="N390" s="2435"/>
      <c r="O390" s="2435"/>
      <c r="P390" s="2435"/>
      <c r="Q390" s="2435"/>
      <c r="R390" s="2435"/>
      <c r="S390" s="2435"/>
      <c r="T390" s="2435"/>
      <c r="U390" s="2435"/>
      <c r="V390" s="2435"/>
      <c r="W390" s="2435"/>
      <c r="X390" s="2435"/>
      <c r="Y390" s="2435"/>
      <c r="Z390" s="2435"/>
      <c r="AA390" s="2435"/>
      <c r="AB390" s="2435"/>
      <c r="AC390" s="2435"/>
      <c r="AD390" s="2435"/>
      <c r="AE390" s="2435"/>
      <c r="AF390" s="2435"/>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36"/>
      <c r="G391" s="2436"/>
      <c r="H391" s="2436"/>
      <c r="I391" s="2436"/>
      <c r="J391" s="2436"/>
      <c r="K391" s="2436"/>
      <c r="L391" s="2436"/>
      <c r="M391" s="2436"/>
      <c r="N391" s="2436"/>
      <c r="O391" s="2436"/>
      <c r="P391" s="2436"/>
      <c r="Q391" s="2436"/>
      <c r="R391" s="2436"/>
      <c r="S391" s="2436"/>
      <c r="T391" s="2436"/>
      <c r="U391" s="2436"/>
      <c r="V391" s="2436"/>
      <c r="W391" s="2436"/>
      <c r="X391" s="2436"/>
      <c r="Y391" s="2436"/>
      <c r="Z391" s="2436"/>
      <c r="AA391" s="2436"/>
      <c r="AB391" s="2436"/>
      <c r="AC391" s="2436"/>
      <c r="AD391" s="2436"/>
      <c r="AE391" s="2436"/>
      <c r="AF391" s="2436"/>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36"/>
      <c r="G392" s="2436"/>
      <c r="H392" s="2436"/>
      <c r="I392" s="2436"/>
      <c r="J392" s="2436"/>
      <c r="K392" s="2436"/>
      <c r="L392" s="2436"/>
      <c r="M392" s="2436"/>
      <c r="N392" s="2436"/>
      <c r="O392" s="2436"/>
      <c r="P392" s="2436"/>
      <c r="Q392" s="2436"/>
      <c r="R392" s="2436"/>
      <c r="S392" s="2436"/>
      <c r="T392" s="2436"/>
      <c r="U392" s="2436"/>
      <c r="V392" s="2436"/>
      <c r="W392" s="2436"/>
      <c r="X392" s="2436"/>
      <c r="Y392" s="2436"/>
      <c r="Z392" s="2436"/>
      <c r="AA392" s="2436"/>
      <c r="AB392" s="2436"/>
      <c r="AC392" s="2436"/>
      <c r="AD392" s="2436"/>
      <c r="AE392" s="2436"/>
      <c r="AF392" s="2436"/>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36"/>
      <c r="G393" s="2436"/>
      <c r="H393" s="2436"/>
      <c r="I393" s="2436"/>
      <c r="J393" s="2436"/>
      <c r="K393" s="2436"/>
      <c r="L393" s="2436"/>
      <c r="M393" s="2436"/>
      <c r="N393" s="2436"/>
      <c r="O393" s="2436"/>
      <c r="P393" s="2436"/>
      <c r="Q393" s="2436"/>
      <c r="R393" s="2436"/>
      <c r="S393" s="2436"/>
      <c r="T393" s="2436"/>
      <c r="U393" s="2436"/>
      <c r="V393" s="2436"/>
      <c r="W393" s="2436"/>
      <c r="X393" s="2436"/>
      <c r="Y393" s="2436"/>
      <c r="Z393" s="2436"/>
      <c r="AA393" s="2436"/>
      <c r="AB393" s="2436"/>
      <c r="AC393" s="2436"/>
      <c r="AD393" s="2436"/>
      <c r="AE393" s="2436"/>
      <c r="AF393" s="2436"/>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0" t="s">
        <v>590</v>
      </c>
      <c r="D394" s="2407"/>
      <c r="E394" s="715"/>
      <c r="F394" s="717" t="s">
        <v>1450</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1" t="s">
        <v>1451</v>
      </c>
      <c r="AG394" s="2461"/>
      <c r="AH394" s="2461"/>
      <c r="AI394" s="2461"/>
      <c r="AJ394" s="2461"/>
      <c r="AK394" s="2461"/>
      <c r="AL394" s="2462"/>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1309</v>
      </c>
      <c r="F397" s="2435" t="s">
        <v>1452</v>
      </c>
      <c r="G397" s="2435"/>
      <c r="H397" s="2435"/>
      <c r="I397" s="2435"/>
      <c r="J397" s="2435"/>
      <c r="K397" s="2435"/>
      <c r="L397" s="2435"/>
      <c r="M397" s="2435"/>
      <c r="N397" s="2435"/>
      <c r="O397" s="2435"/>
      <c r="P397" s="2435"/>
      <c r="Q397" s="2435"/>
      <c r="R397" s="2435"/>
      <c r="S397" s="2435"/>
      <c r="T397" s="2435"/>
      <c r="U397" s="2435"/>
      <c r="V397" s="2435"/>
      <c r="W397" s="2435"/>
      <c r="X397" s="2435"/>
      <c r="Y397" s="2435"/>
      <c r="Z397" s="2435"/>
      <c r="AA397" s="2435"/>
      <c r="AB397" s="2435"/>
      <c r="AC397" s="2435"/>
      <c r="AD397" s="2435"/>
      <c r="AE397" s="2435"/>
      <c r="AF397" s="2435"/>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36"/>
      <c r="G398" s="2436"/>
      <c r="H398" s="2436"/>
      <c r="I398" s="2436"/>
      <c r="J398" s="2436"/>
      <c r="K398" s="2436"/>
      <c r="L398" s="2436"/>
      <c r="M398" s="2436"/>
      <c r="N398" s="2436"/>
      <c r="O398" s="2436"/>
      <c r="P398" s="2436"/>
      <c r="Q398" s="2436"/>
      <c r="R398" s="2436"/>
      <c r="S398" s="2436"/>
      <c r="T398" s="2436"/>
      <c r="U398" s="2436"/>
      <c r="V398" s="2436"/>
      <c r="W398" s="2436"/>
      <c r="X398" s="2436"/>
      <c r="Y398" s="2436"/>
      <c r="Z398" s="2436"/>
      <c r="AA398" s="2436"/>
      <c r="AB398" s="2436"/>
      <c r="AC398" s="2436"/>
      <c r="AD398" s="2436"/>
      <c r="AE398" s="2436"/>
      <c r="AF398" s="2436"/>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36"/>
      <c r="G399" s="2436"/>
      <c r="H399" s="2436"/>
      <c r="I399" s="2436"/>
      <c r="J399" s="2436"/>
      <c r="K399" s="2436"/>
      <c r="L399" s="2436"/>
      <c r="M399" s="2436"/>
      <c r="N399" s="2436"/>
      <c r="O399" s="2436"/>
      <c r="P399" s="2436"/>
      <c r="Q399" s="2436"/>
      <c r="R399" s="2436"/>
      <c r="S399" s="2436"/>
      <c r="T399" s="2436"/>
      <c r="U399" s="2436"/>
      <c r="V399" s="2436"/>
      <c r="W399" s="2436"/>
      <c r="X399" s="2436"/>
      <c r="Y399" s="2436"/>
      <c r="Z399" s="2436"/>
      <c r="AA399" s="2436"/>
      <c r="AB399" s="2436"/>
      <c r="AC399" s="2436"/>
      <c r="AD399" s="2436"/>
      <c r="AE399" s="2436"/>
      <c r="AF399" s="2436"/>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36"/>
      <c r="G400" s="2436"/>
      <c r="H400" s="2436"/>
      <c r="I400" s="2436"/>
      <c r="J400" s="2436"/>
      <c r="K400" s="2436"/>
      <c r="L400" s="2436"/>
      <c r="M400" s="2436"/>
      <c r="N400" s="2436"/>
      <c r="O400" s="2436"/>
      <c r="P400" s="2436"/>
      <c r="Q400" s="2436"/>
      <c r="R400" s="2436"/>
      <c r="S400" s="2436"/>
      <c r="T400" s="2436"/>
      <c r="U400" s="2436"/>
      <c r="V400" s="2436"/>
      <c r="W400" s="2436"/>
      <c r="X400" s="2436"/>
      <c r="Y400" s="2436"/>
      <c r="Z400" s="2436"/>
      <c r="AA400" s="2436"/>
      <c r="AB400" s="2436"/>
      <c r="AC400" s="2436"/>
      <c r="AD400" s="2436"/>
      <c r="AE400" s="2436"/>
      <c r="AF400" s="2436"/>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36"/>
      <c r="G401" s="2436"/>
      <c r="H401" s="2436"/>
      <c r="I401" s="2436"/>
      <c r="J401" s="2436"/>
      <c r="K401" s="2436"/>
      <c r="L401" s="2436"/>
      <c r="M401" s="2436"/>
      <c r="N401" s="2436"/>
      <c r="O401" s="2436"/>
      <c r="P401" s="2436"/>
      <c r="Q401" s="2436"/>
      <c r="R401" s="2436"/>
      <c r="S401" s="2436"/>
      <c r="T401" s="2436"/>
      <c r="U401" s="2436"/>
      <c r="V401" s="2436"/>
      <c r="W401" s="2436"/>
      <c r="X401" s="2436"/>
      <c r="Y401" s="2436"/>
      <c r="Z401" s="2436"/>
      <c r="AA401" s="2436"/>
      <c r="AB401" s="2436"/>
      <c r="AC401" s="2436"/>
      <c r="AD401" s="2436"/>
      <c r="AE401" s="2436"/>
      <c r="AF401" s="2436"/>
      <c r="AL401" s="728"/>
      <c r="AN401" s="595"/>
      <c r="BS401" s="30"/>
      <c r="BT401" s="30"/>
      <c r="BU401" s="14"/>
      <c r="BV401" s="14"/>
      <c r="BW401" s="14"/>
      <c r="BX401" s="14"/>
      <c r="BY401" s="14"/>
      <c r="BZ401" s="14"/>
      <c r="CA401" s="14"/>
      <c r="CB401" s="14"/>
      <c r="CC401" s="14"/>
    </row>
    <row r="402" spans="1:81" s="549" customFormat="1" ht="12.75" customHeight="1">
      <c r="A402" s="536"/>
      <c r="B402" s="14"/>
      <c r="C402" s="2460" t="s">
        <v>590</v>
      </c>
      <c r="D402" s="2407"/>
      <c r="E402" s="687"/>
      <c r="F402" s="717" t="s">
        <v>1453</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1" t="s">
        <v>1451</v>
      </c>
      <c r="AG402" s="2461"/>
      <c r="AH402" s="2461"/>
      <c r="AI402" s="2461"/>
      <c r="AJ402" s="2461"/>
      <c r="AK402" s="2461"/>
      <c r="AL402" s="2462"/>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1312</v>
      </c>
      <c r="F405" s="2435" t="s">
        <v>1454</v>
      </c>
      <c r="G405" s="2435"/>
      <c r="H405" s="2435"/>
      <c r="I405" s="2435"/>
      <c r="J405" s="2435"/>
      <c r="K405" s="2435"/>
      <c r="L405" s="2435"/>
      <c r="M405" s="2435"/>
      <c r="N405" s="2435"/>
      <c r="O405" s="2435"/>
      <c r="P405" s="2435"/>
      <c r="Q405" s="2435"/>
      <c r="R405" s="2435"/>
      <c r="S405" s="2435"/>
      <c r="T405" s="2435"/>
      <c r="U405" s="2435"/>
      <c r="V405" s="2435"/>
      <c r="W405" s="2435"/>
      <c r="X405" s="2435"/>
      <c r="Y405" s="2435"/>
      <c r="Z405" s="2435"/>
      <c r="AA405" s="2435"/>
      <c r="AB405" s="2435"/>
      <c r="AC405" s="2435"/>
      <c r="AD405" s="2435"/>
      <c r="AE405" s="2435"/>
      <c r="AF405" s="2435"/>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36"/>
      <c r="G406" s="2436"/>
      <c r="H406" s="2436"/>
      <c r="I406" s="2436"/>
      <c r="J406" s="2436"/>
      <c r="K406" s="2436"/>
      <c r="L406" s="2436"/>
      <c r="M406" s="2436"/>
      <c r="N406" s="2436"/>
      <c r="O406" s="2436"/>
      <c r="P406" s="2436"/>
      <c r="Q406" s="2436"/>
      <c r="R406" s="2436"/>
      <c r="S406" s="2436"/>
      <c r="T406" s="2436"/>
      <c r="U406" s="2436"/>
      <c r="V406" s="2436"/>
      <c r="W406" s="2436"/>
      <c r="X406" s="2436"/>
      <c r="Y406" s="2436"/>
      <c r="Z406" s="2436"/>
      <c r="AA406" s="2436"/>
      <c r="AB406" s="2436"/>
      <c r="AC406" s="2436"/>
      <c r="AD406" s="2436"/>
      <c r="AE406" s="2436"/>
      <c r="AF406" s="2436"/>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36"/>
      <c r="G407" s="2436"/>
      <c r="H407" s="2436"/>
      <c r="I407" s="2436"/>
      <c r="J407" s="2436"/>
      <c r="K407" s="2436"/>
      <c r="L407" s="2436"/>
      <c r="M407" s="2436"/>
      <c r="N407" s="2436"/>
      <c r="O407" s="2436"/>
      <c r="P407" s="2436"/>
      <c r="Q407" s="2436"/>
      <c r="R407" s="2436"/>
      <c r="S407" s="2436"/>
      <c r="T407" s="2436"/>
      <c r="U407" s="2436"/>
      <c r="V407" s="2436"/>
      <c r="W407" s="2436"/>
      <c r="X407" s="2436"/>
      <c r="Y407" s="2436"/>
      <c r="Z407" s="2436"/>
      <c r="AA407" s="2436"/>
      <c r="AB407" s="2436"/>
      <c r="AC407" s="2436"/>
      <c r="AD407" s="2436"/>
      <c r="AE407" s="2436"/>
      <c r="AF407" s="2436"/>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36"/>
      <c r="G408" s="2436"/>
      <c r="H408" s="2436"/>
      <c r="I408" s="2436"/>
      <c r="J408" s="2436"/>
      <c r="K408" s="2436"/>
      <c r="L408" s="2436"/>
      <c r="M408" s="2436"/>
      <c r="N408" s="2436"/>
      <c r="O408" s="2436"/>
      <c r="P408" s="2436"/>
      <c r="Q408" s="2436"/>
      <c r="R408" s="2436"/>
      <c r="S408" s="2436"/>
      <c r="T408" s="2436"/>
      <c r="U408" s="2436"/>
      <c r="V408" s="2436"/>
      <c r="W408" s="2436"/>
      <c r="X408" s="2436"/>
      <c r="Y408" s="2436"/>
      <c r="Z408" s="2436"/>
      <c r="AA408" s="2436"/>
      <c r="AB408" s="2436"/>
      <c r="AC408" s="2436"/>
      <c r="AD408" s="2436"/>
      <c r="AE408" s="2436"/>
      <c r="AF408" s="2436"/>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36"/>
      <c r="G409" s="2436"/>
      <c r="H409" s="2436"/>
      <c r="I409" s="2436"/>
      <c r="J409" s="2436"/>
      <c r="K409" s="2436"/>
      <c r="L409" s="2436"/>
      <c r="M409" s="2436"/>
      <c r="N409" s="2436"/>
      <c r="O409" s="2436"/>
      <c r="P409" s="2436"/>
      <c r="Q409" s="2436"/>
      <c r="R409" s="2436"/>
      <c r="S409" s="2436"/>
      <c r="T409" s="2436"/>
      <c r="U409" s="2436"/>
      <c r="V409" s="2436"/>
      <c r="W409" s="2436"/>
      <c r="X409" s="2436"/>
      <c r="Y409" s="2436"/>
      <c r="Z409" s="2436"/>
      <c r="AA409" s="2436"/>
      <c r="AB409" s="2436"/>
      <c r="AC409" s="2436"/>
      <c r="AD409" s="2436"/>
      <c r="AE409" s="2436"/>
      <c r="AF409" s="2436"/>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0" t="s">
        <v>544</v>
      </c>
      <c r="D410" s="2407"/>
      <c r="E410" s="687"/>
      <c r="F410" s="717" t="s">
        <v>1455</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1" t="s">
        <v>1456</v>
      </c>
      <c r="AG410" s="2461"/>
      <c r="AH410" s="2461"/>
      <c r="AI410" s="2461"/>
      <c r="AJ410" s="2461"/>
      <c r="AK410" s="2461"/>
      <c r="AL410" s="2462"/>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0" t="s">
        <v>590</v>
      </c>
      <c r="D412" s="2407"/>
      <c r="E412" s="687"/>
      <c r="F412" s="734" t="s">
        <v>1457</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1" t="s">
        <v>1451</v>
      </c>
      <c r="AG412" s="2461"/>
      <c r="AH412" s="2461"/>
      <c r="AI412" s="2461"/>
      <c r="AJ412" s="2461"/>
      <c r="AK412" s="2461"/>
      <c r="AL412" s="2462"/>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1458</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1459</v>
      </c>
      <c r="F416" s="2435" t="s">
        <v>1460</v>
      </c>
      <c r="G416" s="2435"/>
      <c r="H416" s="2435"/>
      <c r="I416" s="2435"/>
      <c r="J416" s="2435"/>
      <c r="K416" s="2435"/>
      <c r="L416" s="2435"/>
      <c r="M416" s="2435"/>
      <c r="N416" s="2435"/>
      <c r="O416" s="2435"/>
      <c r="P416" s="2435"/>
      <c r="Q416" s="2435"/>
      <c r="R416" s="2435"/>
      <c r="S416" s="2435"/>
      <c r="T416" s="2435"/>
      <c r="U416" s="2435"/>
      <c r="V416" s="2435"/>
      <c r="W416" s="2435"/>
      <c r="X416" s="2435"/>
      <c r="Y416" s="2435"/>
      <c r="Z416" s="2435"/>
      <c r="AA416" s="2435"/>
      <c r="AB416" s="2435"/>
      <c r="AC416" s="2435"/>
      <c r="AD416" s="2435"/>
      <c r="AE416" s="2435"/>
      <c r="AF416" s="2435"/>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36"/>
      <c r="G417" s="2436"/>
      <c r="H417" s="2436"/>
      <c r="I417" s="2436"/>
      <c r="J417" s="2436"/>
      <c r="K417" s="2436"/>
      <c r="L417" s="2436"/>
      <c r="M417" s="2436"/>
      <c r="N417" s="2436"/>
      <c r="O417" s="2436"/>
      <c r="P417" s="2436"/>
      <c r="Q417" s="2436"/>
      <c r="R417" s="2436"/>
      <c r="S417" s="2436"/>
      <c r="T417" s="2436"/>
      <c r="U417" s="2436"/>
      <c r="V417" s="2436"/>
      <c r="W417" s="2436"/>
      <c r="X417" s="2436"/>
      <c r="Y417" s="2436"/>
      <c r="Z417" s="2436"/>
      <c r="AA417" s="2436"/>
      <c r="AB417" s="2436"/>
      <c r="AC417" s="2436"/>
      <c r="AD417" s="2436"/>
      <c r="AE417" s="2436"/>
      <c r="AF417" s="2436"/>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ht="13">
      <c r="A418" s="536"/>
      <c r="C418" s="727"/>
      <c r="E418" s="687"/>
      <c r="F418" s="2436"/>
      <c r="G418" s="2436"/>
      <c r="H418" s="2436"/>
      <c r="I418" s="2436"/>
      <c r="J418" s="2436"/>
      <c r="K418" s="2436"/>
      <c r="L418" s="2436"/>
      <c r="M418" s="2436"/>
      <c r="N418" s="2436"/>
      <c r="O418" s="2436"/>
      <c r="P418" s="2436"/>
      <c r="Q418" s="2436"/>
      <c r="R418" s="2436"/>
      <c r="S418" s="2436"/>
      <c r="T418" s="2436"/>
      <c r="U418" s="2436"/>
      <c r="V418" s="2436"/>
      <c r="W418" s="2436"/>
      <c r="X418" s="2436"/>
      <c r="Y418" s="2436"/>
      <c r="Z418" s="2436"/>
      <c r="AA418" s="2436"/>
      <c r="AB418" s="2436"/>
      <c r="AC418" s="2436"/>
      <c r="AD418" s="2436"/>
      <c r="AE418" s="2436"/>
      <c r="AF418" s="2436"/>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36"/>
      <c r="G419" s="2436"/>
      <c r="H419" s="2436"/>
      <c r="I419" s="2436"/>
      <c r="J419" s="2436"/>
      <c r="K419" s="2436"/>
      <c r="L419" s="2436"/>
      <c r="M419" s="2436"/>
      <c r="N419" s="2436"/>
      <c r="O419" s="2436"/>
      <c r="P419" s="2436"/>
      <c r="Q419" s="2436"/>
      <c r="R419" s="2436"/>
      <c r="S419" s="2436"/>
      <c r="T419" s="2436"/>
      <c r="U419" s="2436"/>
      <c r="V419" s="2436"/>
      <c r="W419" s="2436"/>
      <c r="X419" s="2436"/>
      <c r="Y419" s="2436"/>
      <c r="Z419" s="2436"/>
      <c r="AA419" s="2436"/>
      <c r="AB419" s="2436"/>
      <c r="AC419" s="2436"/>
      <c r="AD419" s="2436"/>
      <c r="AE419" s="2436"/>
      <c r="AF419" s="2436"/>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0" t="s">
        <v>590</v>
      </c>
      <c r="D420" s="2407"/>
      <c r="E420" s="687"/>
      <c r="F420" s="717" t="s">
        <v>1461</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1" t="s">
        <v>1451</v>
      </c>
      <c r="AG420" s="2461"/>
      <c r="AH420" s="2461"/>
      <c r="AI420" s="2461"/>
      <c r="AJ420" s="2461"/>
      <c r="AK420" s="2461"/>
      <c r="AL420" s="2462"/>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0" t="s">
        <v>544</v>
      </c>
      <c r="D422" s="2407"/>
      <c r="E422" s="715"/>
      <c r="F422" s="717" t="s">
        <v>1462</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1" t="s">
        <v>1463</v>
      </c>
      <c r="AG422" s="2461"/>
      <c r="AH422" s="2461"/>
      <c r="AI422" s="2461"/>
      <c r="AJ422" s="2461"/>
      <c r="AK422" s="2461"/>
      <c r="AL422" s="2462"/>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0" t="s">
        <v>590</v>
      </c>
      <c r="D425" s="2407"/>
      <c r="E425" s="711" t="s">
        <v>1464</v>
      </c>
      <c r="F425" s="2435" t="s">
        <v>1465</v>
      </c>
      <c r="G425" s="2435"/>
      <c r="H425" s="2435"/>
      <c r="I425" s="2435"/>
      <c r="J425" s="2435"/>
      <c r="K425" s="2435"/>
      <c r="L425" s="2435"/>
      <c r="M425" s="2435"/>
      <c r="N425" s="2435"/>
      <c r="O425" s="2435"/>
      <c r="P425" s="2435"/>
      <c r="Q425" s="2435"/>
      <c r="R425" s="2435"/>
      <c r="S425" s="2435"/>
      <c r="T425" s="2435"/>
      <c r="U425" s="2435"/>
      <c r="V425" s="2435"/>
      <c r="W425" s="2435"/>
      <c r="X425" s="2435"/>
      <c r="Y425" s="2435"/>
      <c r="Z425" s="2435"/>
      <c r="AA425" s="2435"/>
      <c r="AB425" s="2435"/>
      <c r="AC425" s="2435"/>
      <c r="AD425" s="2435"/>
      <c r="AE425" s="2435"/>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36"/>
      <c r="G426" s="2436"/>
      <c r="H426" s="2436"/>
      <c r="I426" s="2436"/>
      <c r="J426" s="2436"/>
      <c r="K426" s="2436"/>
      <c r="L426" s="2436"/>
      <c r="M426" s="2436"/>
      <c r="N426" s="2436"/>
      <c r="O426" s="2436"/>
      <c r="P426" s="2436"/>
      <c r="Q426" s="2436"/>
      <c r="R426" s="2436"/>
      <c r="S426" s="2436"/>
      <c r="T426" s="2436"/>
      <c r="U426" s="2436"/>
      <c r="V426" s="2436"/>
      <c r="W426" s="2436"/>
      <c r="X426" s="2436"/>
      <c r="Y426" s="2436"/>
      <c r="Z426" s="2436"/>
      <c r="AA426" s="2436"/>
      <c r="AB426" s="2436"/>
      <c r="AC426" s="2436"/>
      <c r="AD426" s="2436"/>
      <c r="AE426" s="2436"/>
      <c r="AF426" s="2386" t="s">
        <v>1451</v>
      </c>
      <c r="AG426" s="2386"/>
      <c r="AH426" s="2386"/>
      <c r="AI426" s="2386"/>
      <c r="AJ426" s="2386"/>
      <c r="AK426" s="2386"/>
      <c r="AL426" s="2467"/>
      <c r="AM426" s="568"/>
      <c r="AN426" s="595"/>
      <c r="BS426" s="568"/>
      <c r="BT426" s="568"/>
      <c r="BY426" s="568"/>
      <c r="BZ426" s="568"/>
      <c r="CA426" s="568"/>
      <c r="CB426" s="568"/>
      <c r="CC426" s="568"/>
    </row>
    <row r="427" spans="1:81" s="549" customFormat="1" ht="12.75" customHeight="1">
      <c r="A427" s="536"/>
      <c r="B427" s="14"/>
      <c r="C427" s="727"/>
      <c r="D427" s="14"/>
      <c r="E427" s="687"/>
      <c r="F427" s="2436"/>
      <c r="G427" s="2436"/>
      <c r="H427" s="2436"/>
      <c r="I427" s="2436"/>
      <c r="J427" s="2436"/>
      <c r="K427" s="2436"/>
      <c r="L427" s="2436"/>
      <c r="M427" s="2436"/>
      <c r="N427" s="2436"/>
      <c r="O427" s="2436"/>
      <c r="P427" s="2436"/>
      <c r="Q427" s="2436"/>
      <c r="R427" s="2436"/>
      <c r="S427" s="2436"/>
      <c r="T427" s="2436"/>
      <c r="U427" s="2436"/>
      <c r="V427" s="2436"/>
      <c r="W427" s="2436"/>
      <c r="X427" s="2436"/>
      <c r="Y427" s="2436"/>
      <c r="Z427" s="2436"/>
      <c r="AA427" s="2436"/>
      <c r="AB427" s="2436"/>
      <c r="AC427" s="2436"/>
      <c r="AD427" s="2436"/>
      <c r="AE427" s="2436"/>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37"/>
      <c r="G428" s="2437"/>
      <c r="H428" s="2437"/>
      <c r="I428" s="2437"/>
      <c r="J428" s="2437"/>
      <c r="K428" s="2437"/>
      <c r="L428" s="2437"/>
      <c r="M428" s="2437"/>
      <c r="N428" s="2437"/>
      <c r="O428" s="2437"/>
      <c r="P428" s="2437"/>
      <c r="Q428" s="2437"/>
      <c r="R428" s="2437"/>
      <c r="S428" s="2437"/>
      <c r="T428" s="2437"/>
      <c r="U428" s="2437"/>
      <c r="V428" s="2437"/>
      <c r="W428" s="2437"/>
      <c r="X428" s="2437"/>
      <c r="Y428" s="2437"/>
      <c r="Z428" s="2437"/>
      <c r="AA428" s="2437"/>
      <c r="AB428" s="2437"/>
      <c r="AC428" s="2437"/>
      <c r="AD428" s="2437"/>
      <c r="AE428" s="2437"/>
      <c r="AF428" s="581"/>
      <c r="AG428" s="733"/>
      <c r="AH428" s="723"/>
      <c r="AI428" s="723"/>
      <c r="AJ428" s="723"/>
      <c r="AK428" s="723"/>
      <c r="AL428" s="738"/>
      <c r="AM428" s="568"/>
      <c r="AN428" s="595"/>
    </row>
    <row r="429" spans="1:81" ht="13">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1466</v>
      </c>
      <c r="F430" s="2435" t="s">
        <v>1467</v>
      </c>
      <c r="G430" s="2435"/>
      <c r="H430" s="2435"/>
      <c r="I430" s="2435"/>
      <c r="J430" s="2435"/>
      <c r="K430" s="2435"/>
      <c r="L430" s="2435"/>
      <c r="M430" s="2435"/>
      <c r="N430" s="2435"/>
      <c r="O430" s="2435"/>
      <c r="P430" s="2435"/>
      <c r="Q430" s="2435"/>
      <c r="R430" s="2435"/>
      <c r="S430" s="2435"/>
      <c r="T430" s="2435"/>
      <c r="U430" s="2435"/>
      <c r="V430" s="2435"/>
      <c r="W430" s="2435"/>
      <c r="X430" s="2435"/>
      <c r="Y430" s="2435"/>
      <c r="Z430" s="2435"/>
      <c r="AA430" s="2435"/>
      <c r="AB430" s="2435"/>
      <c r="AC430" s="2435"/>
      <c r="AD430" s="2435"/>
      <c r="AE430" s="2435"/>
      <c r="AF430" s="743"/>
      <c r="AG430" s="743"/>
      <c r="AH430" s="743"/>
      <c r="AI430" s="743"/>
      <c r="AJ430" s="743"/>
      <c r="AK430" s="743"/>
      <c r="AL430" s="744"/>
      <c r="AM430" s="568"/>
    </row>
    <row r="431" spans="1:81" ht="13">
      <c r="A431" s="536"/>
      <c r="C431" s="727"/>
      <c r="E431" s="687"/>
      <c r="F431" s="2436"/>
      <c r="G431" s="2436"/>
      <c r="H431" s="2436"/>
      <c r="I431" s="2436"/>
      <c r="J431" s="2436"/>
      <c r="K431" s="2436"/>
      <c r="L431" s="2436"/>
      <c r="M431" s="2436"/>
      <c r="N431" s="2436"/>
      <c r="O431" s="2436"/>
      <c r="P431" s="2436"/>
      <c r="Q431" s="2436"/>
      <c r="R431" s="2436"/>
      <c r="S431" s="2436"/>
      <c r="T431" s="2436"/>
      <c r="U431" s="2436"/>
      <c r="V431" s="2436"/>
      <c r="W431" s="2436"/>
      <c r="X431" s="2436"/>
      <c r="Y431" s="2436"/>
      <c r="Z431" s="2436"/>
      <c r="AA431" s="2436"/>
      <c r="AB431" s="2436"/>
      <c r="AC431" s="2436"/>
      <c r="AD431" s="2436"/>
      <c r="AE431" s="2436"/>
      <c r="AF431" s="539"/>
      <c r="AG431" s="536"/>
      <c r="AH431" s="549"/>
      <c r="AI431" s="549"/>
      <c r="AJ431" s="549"/>
      <c r="AK431" s="549"/>
      <c r="AL431" s="728"/>
      <c r="AM431" s="568"/>
    </row>
    <row r="432" spans="1:81" s="549" customFormat="1" ht="12.75" customHeight="1">
      <c r="A432" s="536"/>
      <c r="B432" s="14"/>
      <c r="C432" s="727"/>
      <c r="D432" s="14"/>
      <c r="E432" s="687"/>
      <c r="F432" s="2436"/>
      <c r="G432" s="2436"/>
      <c r="H432" s="2436"/>
      <c r="I432" s="2436"/>
      <c r="J432" s="2436"/>
      <c r="K432" s="2436"/>
      <c r="L432" s="2436"/>
      <c r="M432" s="2436"/>
      <c r="N432" s="2436"/>
      <c r="O432" s="2436"/>
      <c r="P432" s="2436"/>
      <c r="Q432" s="2436"/>
      <c r="R432" s="2436"/>
      <c r="S432" s="2436"/>
      <c r="T432" s="2436"/>
      <c r="U432" s="2436"/>
      <c r="V432" s="2436"/>
      <c r="W432" s="2436"/>
      <c r="X432" s="2436"/>
      <c r="Y432" s="2436"/>
      <c r="Z432" s="2436"/>
      <c r="AA432" s="2436"/>
      <c r="AB432" s="2436"/>
      <c r="AC432" s="2436"/>
      <c r="AD432" s="2436"/>
      <c r="AE432" s="2436"/>
      <c r="AL432" s="728"/>
      <c r="AM432" s="568"/>
      <c r="AN432" s="595"/>
    </row>
    <row r="433" spans="1:60" s="549" customFormat="1" ht="12.75" customHeight="1">
      <c r="A433" s="536"/>
      <c r="B433" s="14"/>
      <c r="C433" s="735"/>
      <c r="F433" s="2436"/>
      <c r="G433" s="2436"/>
      <c r="H433" s="2436"/>
      <c r="I433" s="2436"/>
      <c r="J433" s="2436"/>
      <c r="K433" s="2436"/>
      <c r="L433" s="2436"/>
      <c r="M433" s="2436"/>
      <c r="N433" s="2436"/>
      <c r="O433" s="2436"/>
      <c r="P433" s="2436"/>
      <c r="Q433" s="2436"/>
      <c r="R433" s="2436"/>
      <c r="S433" s="2436"/>
      <c r="T433" s="2436"/>
      <c r="U433" s="2436"/>
      <c r="V433" s="2436"/>
      <c r="W433" s="2436"/>
      <c r="X433" s="2436"/>
      <c r="Y433" s="2436"/>
      <c r="Z433" s="2436"/>
      <c r="AA433" s="2436"/>
      <c r="AB433" s="2436"/>
      <c r="AC433" s="2436"/>
      <c r="AD433" s="2436"/>
      <c r="AE433" s="2436"/>
      <c r="AL433" s="728"/>
      <c r="AM433" s="568"/>
      <c r="AN433" s="595"/>
    </row>
    <row r="434" spans="1:60" s="549" customFormat="1" ht="12.75" customHeight="1">
      <c r="A434" s="536"/>
      <c r="B434" s="14"/>
      <c r="C434" s="2460" t="s">
        <v>590</v>
      </c>
      <c r="D434" s="2407"/>
      <c r="E434" s="687"/>
      <c r="F434" s="717" t="s">
        <v>1468</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86" t="s">
        <v>1451</v>
      </c>
      <c r="AG434" s="2386"/>
      <c r="AH434" s="2386"/>
      <c r="AI434" s="2386"/>
      <c r="AJ434" s="2386"/>
      <c r="AK434" s="2386"/>
      <c r="AL434" s="2467"/>
      <c r="AM434" s="568"/>
      <c r="AN434" s="595"/>
    </row>
    <row r="435" spans="1:60" s="549" customFormat="1" ht="12.75" customHeight="1">
      <c r="A435" s="536"/>
      <c r="B435" s="14"/>
      <c r="C435" s="735"/>
      <c r="AL435" s="728"/>
      <c r="AM435" s="568"/>
      <c r="AN435" s="595"/>
    </row>
    <row r="436" spans="1:60" s="549" customFormat="1" ht="12.75" customHeight="1">
      <c r="A436" s="536"/>
      <c r="B436" s="14"/>
      <c r="C436" s="2460" t="s">
        <v>590</v>
      </c>
      <c r="D436" s="2407"/>
      <c r="E436" s="715"/>
      <c r="F436" s="717" t="s">
        <v>1469</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86" t="s">
        <v>1463</v>
      </c>
      <c r="AG436" s="2386"/>
      <c r="AH436" s="2386"/>
      <c r="AI436" s="2386"/>
      <c r="AJ436" s="2386"/>
      <c r="AK436" s="2386"/>
      <c r="AL436" s="2467"/>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2162</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1470</v>
      </c>
      <c r="F440" s="2435" t="s">
        <v>1471</v>
      </c>
      <c r="G440" s="2435"/>
      <c r="H440" s="2435"/>
      <c r="I440" s="2435"/>
      <c r="J440" s="2435"/>
      <c r="K440" s="2435"/>
      <c r="L440" s="2435"/>
      <c r="M440" s="2435"/>
      <c r="N440" s="2435"/>
      <c r="O440" s="2435"/>
      <c r="P440" s="2435"/>
      <c r="Q440" s="2435"/>
      <c r="R440" s="2435"/>
      <c r="S440" s="2435"/>
      <c r="T440" s="2435"/>
      <c r="U440" s="2435"/>
      <c r="V440" s="2435"/>
      <c r="W440" s="2435"/>
      <c r="X440" s="2435"/>
      <c r="Y440" s="2435"/>
      <c r="Z440" s="2435"/>
      <c r="AA440" s="2435"/>
      <c r="AB440" s="2435"/>
      <c r="AC440" s="2435"/>
      <c r="AD440" s="2435"/>
      <c r="AE440" s="2435"/>
      <c r="AF440" s="710"/>
      <c r="AG440" s="710"/>
      <c r="AH440" s="710"/>
      <c r="AI440" s="710"/>
      <c r="AJ440" s="710"/>
      <c r="AK440" s="710"/>
      <c r="AL440" s="741"/>
      <c r="AM440" s="568"/>
      <c r="AN440" s="595"/>
    </row>
    <row r="441" spans="1:60" s="549" customFormat="1" ht="12.75" customHeight="1">
      <c r="A441" s="536"/>
      <c r="B441" s="14"/>
      <c r="C441" s="727"/>
      <c r="D441" s="14"/>
      <c r="E441" s="687"/>
      <c r="F441" s="2436"/>
      <c r="G441" s="2436"/>
      <c r="H441" s="2436"/>
      <c r="I441" s="2436"/>
      <c r="J441" s="2436"/>
      <c r="K441" s="2436"/>
      <c r="L441" s="2436"/>
      <c r="M441" s="2436"/>
      <c r="N441" s="2436"/>
      <c r="O441" s="2436"/>
      <c r="P441" s="2436"/>
      <c r="Q441" s="2436"/>
      <c r="R441" s="2436"/>
      <c r="S441" s="2436"/>
      <c r="T441" s="2436"/>
      <c r="U441" s="2436"/>
      <c r="V441" s="2436"/>
      <c r="W441" s="2436"/>
      <c r="X441" s="2436"/>
      <c r="Y441" s="2436"/>
      <c r="Z441" s="2436"/>
      <c r="AA441" s="2436"/>
      <c r="AB441" s="2436"/>
      <c r="AC441" s="2436"/>
      <c r="AD441" s="2436"/>
      <c r="AE441" s="2436"/>
      <c r="AF441" s="539"/>
      <c r="AG441" s="536"/>
      <c r="AL441" s="728"/>
      <c r="AM441" s="568"/>
      <c r="AN441" s="595"/>
    </row>
    <row r="442" spans="1:60" s="549" customFormat="1" ht="12.4" customHeight="1">
      <c r="A442" s="536"/>
      <c r="B442" s="14"/>
      <c r="C442" s="727"/>
      <c r="D442" s="14"/>
      <c r="E442" s="687"/>
      <c r="F442" s="2436"/>
      <c r="G442" s="2436"/>
      <c r="H442" s="2436"/>
      <c r="I442" s="2436"/>
      <c r="J442" s="2436"/>
      <c r="K442" s="2436"/>
      <c r="L442" s="2436"/>
      <c r="M442" s="2436"/>
      <c r="N442" s="2436"/>
      <c r="O442" s="2436"/>
      <c r="P442" s="2436"/>
      <c r="Q442" s="2436"/>
      <c r="R442" s="2436"/>
      <c r="S442" s="2436"/>
      <c r="T442" s="2436"/>
      <c r="U442" s="2436"/>
      <c r="V442" s="2436"/>
      <c r="W442" s="2436"/>
      <c r="X442" s="2436"/>
      <c r="Y442" s="2436"/>
      <c r="Z442" s="2436"/>
      <c r="AA442" s="2436"/>
      <c r="AB442" s="2436"/>
      <c r="AC442" s="2436"/>
      <c r="AD442" s="2436"/>
      <c r="AE442" s="2436"/>
      <c r="AL442" s="728"/>
      <c r="AM442" s="568"/>
      <c r="AN442" s="595"/>
    </row>
    <row r="443" spans="1:60" s="549" customFormat="1" ht="12.75" customHeight="1">
      <c r="A443" s="536"/>
      <c r="B443" s="14"/>
      <c r="C443" s="2460" t="s">
        <v>590</v>
      </c>
      <c r="D443" s="2407"/>
      <c r="E443" s="687"/>
      <c r="F443" s="717" t="s">
        <v>1472</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86" t="s">
        <v>1451</v>
      </c>
      <c r="AG443" s="2386"/>
      <c r="AH443" s="2386"/>
      <c r="AI443" s="2386"/>
      <c r="AJ443" s="2386"/>
      <c r="AK443" s="2386"/>
      <c r="AL443" s="2467"/>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1473</v>
      </c>
      <c r="F446" s="2435" t="s">
        <v>1474</v>
      </c>
      <c r="G446" s="2435"/>
      <c r="H446" s="2435"/>
      <c r="I446" s="2435"/>
      <c r="J446" s="2435"/>
      <c r="K446" s="2435"/>
      <c r="L446" s="2435"/>
      <c r="M446" s="2435"/>
      <c r="N446" s="2435"/>
      <c r="O446" s="2435"/>
      <c r="P446" s="2435"/>
      <c r="Q446" s="2435"/>
      <c r="R446" s="2435"/>
      <c r="S446" s="2435"/>
      <c r="T446" s="2435"/>
      <c r="U446" s="2435"/>
      <c r="V446" s="2435"/>
      <c r="W446" s="2435"/>
      <c r="X446" s="2435"/>
      <c r="Y446" s="2435"/>
      <c r="Z446" s="2435"/>
      <c r="AA446" s="2435"/>
      <c r="AB446" s="2435"/>
      <c r="AC446" s="2435"/>
      <c r="AD446" s="2435"/>
      <c r="AE446" s="2435"/>
      <c r="AF446" s="743"/>
      <c r="AG446" s="743"/>
      <c r="AH446" s="743"/>
      <c r="AI446" s="743"/>
      <c r="AJ446" s="743"/>
      <c r="AK446" s="743"/>
      <c r="AL446" s="744"/>
      <c r="AM446" s="568"/>
      <c r="AO446" s="549"/>
      <c r="AP446" s="549"/>
      <c r="BD446" s="14"/>
      <c r="BE446" s="14"/>
      <c r="BF446" s="14"/>
      <c r="BG446" s="14"/>
      <c r="BH446" s="14"/>
    </row>
    <row r="447" spans="1:60" ht="13">
      <c r="A447" s="536"/>
      <c r="C447" s="727"/>
      <c r="E447" s="687"/>
      <c r="F447" s="2436"/>
      <c r="G447" s="2436"/>
      <c r="H447" s="2436"/>
      <c r="I447" s="2436"/>
      <c r="J447" s="2436"/>
      <c r="K447" s="2436"/>
      <c r="L447" s="2436"/>
      <c r="M447" s="2436"/>
      <c r="N447" s="2436"/>
      <c r="O447" s="2436"/>
      <c r="P447" s="2436"/>
      <c r="Q447" s="2436"/>
      <c r="R447" s="2436"/>
      <c r="S447" s="2436"/>
      <c r="T447" s="2436"/>
      <c r="U447" s="2436"/>
      <c r="V447" s="2436"/>
      <c r="W447" s="2436"/>
      <c r="X447" s="2436"/>
      <c r="Y447" s="2436"/>
      <c r="Z447" s="2436"/>
      <c r="AA447" s="2436"/>
      <c r="AB447" s="2436"/>
      <c r="AC447" s="2436"/>
      <c r="AD447" s="2436"/>
      <c r="AE447" s="2436"/>
      <c r="AF447" s="592"/>
      <c r="AG447" s="592"/>
      <c r="AH447" s="592"/>
      <c r="AI447" s="592"/>
      <c r="AJ447" s="592"/>
      <c r="AK447" s="592"/>
      <c r="AL447" s="746"/>
      <c r="AM447" s="568"/>
      <c r="AO447" s="549"/>
      <c r="AP447" s="549"/>
    </row>
    <row r="448" spans="1:60" s="549" customFormat="1" ht="12.75" customHeight="1">
      <c r="A448" s="536"/>
      <c r="B448" s="14"/>
      <c r="C448" s="727"/>
      <c r="D448" s="14"/>
      <c r="E448" s="687"/>
      <c r="F448" s="2436"/>
      <c r="G448" s="2436"/>
      <c r="H448" s="2436"/>
      <c r="I448" s="2436"/>
      <c r="J448" s="2436"/>
      <c r="K448" s="2436"/>
      <c r="L448" s="2436"/>
      <c r="M448" s="2436"/>
      <c r="N448" s="2436"/>
      <c r="O448" s="2436"/>
      <c r="P448" s="2436"/>
      <c r="Q448" s="2436"/>
      <c r="R448" s="2436"/>
      <c r="S448" s="2436"/>
      <c r="T448" s="2436"/>
      <c r="U448" s="2436"/>
      <c r="V448" s="2436"/>
      <c r="W448" s="2436"/>
      <c r="X448" s="2436"/>
      <c r="Y448" s="2436"/>
      <c r="Z448" s="2436"/>
      <c r="AA448" s="2436"/>
      <c r="AB448" s="2436"/>
      <c r="AC448" s="2436"/>
      <c r="AD448" s="2436"/>
      <c r="AE448" s="2436"/>
      <c r="AF448" s="592"/>
      <c r="AG448" s="592"/>
      <c r="AH448" s="592"/>
      <c r="AI448" s="592"/>
      <c r="AJ448" s="592"/>
      <c r="AK448" s="592"/>
      <c r="AL448" s="746"/>
      <c r="AM448" s="568"/>
      <c r="AN448" s="595"/>
    </row>
    <row r="449" spans="1:42" s="549" customFormat="1" ht="12.75" customHeight="1">
      <c r="A449" s="536"/>
      <c r="B449" s="14"/>
      <c r="C449" s="747"/>
      <c r="D449" s="726"/>
      <c r="E449" s="715"/>
      <c r="F449" s="2436"/>
      <c r="G449" s="2436"/>
      <c r="H449" s="2436"/>
      <c r="I449" s="2436"/>
      <c r="J449" s="2436"/>
      <c r="K449" s="2436"/>
      <c r="L449" s="2436"/>
      <c r="M449" s="2436"/>
      <c r="N449" s="2436"/>
      <c r="O449" s="2436"/>
      <c r="P449" s="2436"/>
      <c r="Q449" s="2436"/>
      <c r="R449" s="2436"/>
      <c r="S449" s="2436"/>
      <c r="T449" s="2436"/>
      <c r="U449" s="2436"/>
      <c r="V449" s="2436"/>
      <c r="W449" s="2436"/>
      <c r="X449" s="2436"/>
      <c r="Y449" s="2436"/>
      <c r="Z449" s="2436"/>
      <c r="AA449" s="2436"/>
      <c r="AB449" s="2436"/>
      <c r="AC449" s="2436"/>
      <c r="AD449" s="2436"/>
      <c r="AE449" s="2436"/>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36"/>
      <c r="G450" s="2436"/>
      <c r="H450" s="2436"/>
      <c r="I450" s="2436"/>
      <c r="J450" s="2436"/>
      <c r="K450" s="2436"/>
      <c r="L450" s="2436"/>
      <c r="M450" s="2436"/>
      <c r="N450" s="2436"/>
      <c r="O450" s="2436"/>
      <c r="P450" s="2436"/>
      <c r="Q450" s="2436"/>
      <c r="R450" s="2436"/>
      <c r="S450" s="2436"/>
      <c r="T450" s="2436"/>
      <c r="U450" s="2436"/>
      <c r="V450" s="2436"/>
      <c r="W450" s="2436"/>
      <c r="X450" s="2436"/>
      <c r="Y450" s="2436"/>
      <c r="Z450" s="2436"/>
      <c r="AA450" s="2436"/>
      <c r="AB450" s="2436"/>
      <c r="AC450" s="2436"/>
      <c r="AD450" s="2436"/>
      <c r="AE450" s="2436"/>
      <c r="AF450" s="592"/>
      <c r="AG450" s="592"/>
      <c r="AH450" s="592"/>
      <c r="AI450" s="592"/>
      <c r="AJ450" s="592"/>
      <c r="AK450" s="592"/>
      <c r="AL450" s="746"/>
      <c r="AM450" s="568"/>
      <c r="AN450" s="595"/>
    </row>
    <row r="451" spans="1:42" s="549" customFormat="1" ht="12.75" customHeight="1">
      <c r="A451" s="536"/>
      <c r="B451" s="14"/>
      <c r="C451" s="747"/>
      <c r="D451" s="726"/>
      <c r="E451" s="715"/>
      <c r="F451" s="2436"/>
      <c r="G451" s="2436"/>
      <c r="H451" s="2436"/>
      <c r="I451" s="2436"/>
      <c r="J451" s="2436"/>
      <c r="K451" s="2436"/>
      <c r="L451" s="2436"/>
      <c r="M451" s="2436"/>
      <c r="N451" s="2436"/>
      <c r="O451" s="2436"/>
      <c r="P451" s="2436"/>
      <c r="Q451" s="2436"/>
      <c r="R451" s="2436"/>
      <c r="S451" s="2436"/>
      <c r="T451" s="2436"/>
      <c r="U451" s="2436"/>
      <c r="V451" s="2436"/>
      <c r="W451" s="2436"/>
      <c r="X451" s="2436"/>
      <c r="Y451" s="2436"/>
      <c r="Z451" s="2436"/>
      <c r="AA451" s="2436"/>
      <c r="AB451" s="2436"/>
      <c r="AC451" s="2436"/>
      <c r="AD451" s="2436"/>
      <c r="AE451" s="2436"/>
      <c r="AF451" s="592"/>
      <c r="AG451" s="592"/>
      <c r="AH451" s="592"/>
      <c r="AI451" s="592"/>
      <c r="AJ451" s="592"/>
      <c r="AK451" s="592"/>
      <c r="AL451" s="746"/>
      <c r="AM451" s="568"/>
      <c r="AN451" s="595"/>
    </row>
    <row r="452" spans="1:42" s="549" customFormat="1" ht="12.75" customHeight="1">
      <c r="A452" s="536"/>
      <c r="B452" s="14"/>
      <c r="C452" s="747"/>
      <c r="D452" s="726"/>
      <c r="E452" s="715"/>
      <c r="F452" s="2436"/>
      <c r="G452" s="2436"/>
      <c r="H452" s="2436"/>
      <c r="I452" s="2436"/>
      <c r="J452" s="2436"/>
      <c r="K452" s="2436"/>
      <c r="L452" s="2436"/>
      <c r="M452" s="2436"/>
      <c r="N452" s="2436"/>
      <c r="O452" s="2436"/>
      <c r="P452" s="2436"/>
      <c r="Q452" s="2436"/>
      <c r="R452" s="2436"/>
      <c r="S452" s="2436"/>
      <c r="T452" s="2436"/>
      <c r="U452" s="2436"/>
      <c r="V452" s="2436"/>
      <c r="W452" s="2436"/>
      <c r="X452" s="2436"/>
      <c r="Y452" s="2436"/>
      <c r="Z452" s="2436"/>
      <c r="AA452" s="2436"/>
      <c r="AB452" s="2436"/>
      <c r="AC452" s="2436"/>
      <c r="AD452" s="2436"/>
      <c r="AE452" s="2436"/>
      <c r="AF452" s="592"/>
      <c r="AG452" s="592"/>
      <c r="AH452" s="592"/>
      <c r="AI452" s="592"/>
      <c r="AJ452" s="592"/>
      <c r="AK452" s="592"/>
      <c r="AL452" s="746"/>
      <c r="AM452" s="568"/>
      <c r="AN452" s="595"/>
    </row>
    <row r="453" spans="1:42" s="549" customFormat="1" ht="12.75" customHeight="1">
      <c r="A453" s="536"/>
      <c r="B453" s="14"/>
      <c r="C453" s="747"/>
      <c r="D453" s="726"/>
      <c r="E453" s="715"/>
      <c r="F453" s="2436"/>
      <c r="G453" s="2436"/>
      <c r="H453" s="2436"/>
      <c r="I453" s="2436"/>
      <c r="J453" s="2436"/>
      <c r="K453" s="2436"/>
      <c r="L453" s="2436"/>
      <c r="M453" s="2436"/>
      <c r="N453" s="2436"/>
      <c r="O453" s="2436"/>
      <c r="P453" s="2436"/>
      <c r="Q453" s="2436"/>
      <c r="R453" s="2436"/>
      <c r="S453" s="2436"/>
      <c r="T453" s="2436"/>
      <c r="U453" s="2436"/>
      <c r="V453" s="2436"/>
      <c r="W453" s="2436"/>
      <c r="X453" s="2436"/>
      <c r="Y453" s="2436"/>
      <c r="Z453" s="2436"/>
      <c r="AA453" s="2436"/>
      <c r="AB453" s="2436"/>
      <c r="AC453" s="2436"/>
      <c r="AD453" s="2436"/>
      <c r="AE453" s="2436"/>
      <c r="AF453" s="592"/>
      <c r="AG453" s="592"/>
      <c r="AH453" s="592"/>
      <c r="AI453" s="592"/>
      <c r="AJ453" s="592"/>
      <c r="AK453" s="592"/>
      <c r="AL453" s="746"/>
      <c r="AM453" s="568"/>
      <c r="AN453" s="595"/>
    </row>
    <row r="454" spans="1:42" s="549" customFormat="1" ht="17.25" customHeight="1">
      <c r="A454" s="536"/>
      <c r="B454" s="14"/>
      <c r="C454" s="747"/>
      <c r="D454" s="726"/>
      <c r="E454" s="715"/>
      <c r="F454" s="2436"/>
      <c r="G454" s="2436"/>
      <c r="H454" s="2436"/>
      <c r="I454" s="2436"/>
      <c r="J454" s="2436"/>
      <c r="K454" s="2436"/>
      <c r="L454" s="2436"/>
      <c r="M454" s="2436"/>
      <c r="N454" s="2436"/>
      <c r="O454" s="2436"/>
      <c r="P454" s="2436"/>
      <c r="Q454" s="2436"/>
      <c r="R454" s="2436"/>
      <c r="S454" s="2436"/>
      <c r="T454" s="2436"/>
      <c r="U454" s="2436"/>
      <c r="V454" s="2436"/>
      <c r="W454" s="2436"/>
      <c r="X454" s="2436"/>
      <c r="Y454" s="2436"/>
      <c r="Z454" s="2436"/>
      <c r="AA454" s="2436"/>
      <c r="AB454" s="2436"/>
      <c r="AC454" s="2436"/>
      <c r="AD454" s="2436"/>
      <c r="AE454" s="2436"/>
      <c r="AL454" s="728"/>
      <c r="AM454" s="568"/>
      <c r="AN454" s="595"/>
    </row>
    <row r="455" spans="1:42" s="549" customFormat="1" ht="12.75" customHeight="1">
      <c r="A455" s="536"/>
      <c r="B455" s="14"/>
      <c r="C455" s="2460" t="s">
        <v>590</v>
      </c>
      <c r="D455" s="2407"/>
      <c r="E455" s="715"/>
      <c r="F455" s="594" t="s">
        <v>1475</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86" t="s">
        <v>1451</v>
      </c>
      <c r="AG455" s="2386"/>
      <c r="AH455" s="2386"/>
      <c r="AI455" s="2386"/>
      <c r="AJ455" s="2386"/>
      <c r="AK455" s="2386"/>
      <c r="AL455" s="2467"/>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1476</v>
      </c>
      <c r="F458" s="2435" t="s">
        <v>1477</v>
      </c>
      <c r="G458" s="2435"/>
      <c r="H458" s="2435"/>
      <c r="I458" s="2435"/>
      <c r="J458" s="2435"/>
      <c r="K458" s="2435"/>
      <c r="L458" s="2435"/>
      <c r="M458" s="2435"/>
      <c r="N458" s="2435"/>
      <c r="O458" s="2435"/>
      <c r="P458" s="2435"/>
      <c r="Q458" s="2435"/>
      <c r="R458" s="2435"/>
      <c r="S458" s="2435"/>
      <c r="T458" s="2435"/>
      <c r="U458" s="2435"/>
      <c r="V458" s="2435"/>
      <c r="W458" s="2435"/>
      <c r="X458" s="2435"/>
      <c r="Y458" s="2435"/>
      <c r="Z458" s="2435"/>
      <c r="AA458" s="2435"/>
      <c r="AB458" s="2435"/>
      <c r="AC458" s="2435"/>
      <c r="AD458" s="2435"/>
      <c r="AE458" s="2435"/>
      <c r="AF458" s="710"/>
      <c r="AG458" s="710"/>
      <c r="AH458" s="710"/>
      <c r="AI458" s="710"/>
      <c r="AJ458" s="710"/>
      <c r="AK458" s="710"/>
      <c r="AL458" s="741"/>
      <c r="AM458" s="568"/>
      <c r="AN458" s="595"/>
    </row>
    <row r="459" spans="1:42" s="549" customFormat="1" ht="12.75" customHeight="1">
      <c r="A459" s="536"/>
      <c r="B459" s="14"/>
      <c r="C459" s="747"/>
      <c r="D459" s="726"/>
      <c r="E459" s="715"/>
      <c r="F459" s="2436"/>
      <c r="G459" s="2436"/>
      <c r="H459" s="2436"/>
      <c r="I459" s="2436"/>
      <c r="J459" s="2436"/>
      <c r="K459" s="2436"/>
      <c r="L459" s="2436"/>
      <c r="M459" s="2436"/>
      <c r="N459" s="2436"/>
      <c r="O459" s="2436"/>
      <c r="P459" s="2436"/>
      <c r="Q459" s="2436"/>
      <c r="R459" s="2436"/>
      <c r="S459" s="2436"/>
      <c r="T459" s="2436"/>
      <c r="U459" s="2436"/>
      <c r="V459" s="2436"/>
      <c r="W459" s="2436"/>
      <c r="X459" s="2436"/>
      <c r="Y459" s="2436"/>
      <c r="Z459" s="2436"/>
      <c r="AA459" s="2436"/>
      <c r="AB459" s="2436"/>
      <c r="AC459" s="2436"/>
      <c r="AD459" s="2436"/>
      <c r="AE459" s="2436"/>
      <c r="AF459" s="589"/>
      <c r="AG459" s="589"/>
      <c r="AH459" s="589"/>
      <c r="AI459" s="589"/>
      <c r="AJ459" s="589"/>
      <c r="AK459" s="589"/>
      <c r="AL459" s="716"/>
      <c r="AM459" s="568"/>
      <c r="AN459" s="595"/>
    </row>
    <row r="460" spans="1:42" s="549" customFormat="1" ht="12.75" customHeight="1">
      <c r="A460" s="536"/>
      <c r="B460" s="14"/>
      <c r="C460" s="747"/>
      <c r="D460" s="726"/>
      <c r="E460" s="715"/>
      <c r="F460" s="2436"/>
      <c r="G460" s="2436"/>
      <c r="H460" s="2436"/>
      <c r="I460" s="2436"/>
      <c r="J460" s="2436"/>
      <c r="K460" s="2436"/>
      <c r="L460" s="2436"/>
      <c r="M460" s="2436"/>
      <c r="N460" s="2436"/>
      <c r="O460" s="2436"/>
      <c r="P460" s="2436"/>
      <c r="Q460" s="2436"/>
      <c r="R460" s="2436"/>
      <c r="S460" s="2436"/>
      <c r="T460" s="2436"/>
      <c r="U460" s="2436"/>
      <c r="V460" s="2436"/>
      <c r="W460" s="2436"/>
      <c r="X460" s="2436"/>
      <c r="Y460" s="2436"/>
      <c r="Z460" s="2436"/>
      <c r="AA460" s="2436"/>
      <c r="AB460" s="2436"/>
      <c r="AC460" s="2436"/>
      <c r="AD460" s="2436"/>
      <c r="AE460" s="2436"/>
      <c r="AF460" s="589"/>
      <c r="AG460" s="589"/>
      <c r="AH460" s="589"/>
      <c r="AI460" s="589"/>
      <c r="AJ460" s="589"/>
      <c r="AK460" s="589"/>
      <c r="AL460" s="716"/>
      <c r="AM460" s="568"/>
      <c r="AN460" s="595"/>
    </row>
    <row r="461" spans="1:42" s="549" customFormat="1" ht="12.75" customHeight="1">
      <c r="A461" s="536"/>
      <c r="B461" s="14"/>
      <c r="C461" s="747"/>
      <c r="D461" s="726"/>
      <c r="E461" s="715"/>
      <c r="F461" s="2436"/>
      <c r="G461" s="2436"/>
      <c r="H461" s="2436"/>
      <c r="I461" s="2436"/>
      <c r="J461" s="2436"/>
      <c r="K461" s="2436"/>
      <c r="L461" s="2436"/>
      <c r="M461" s="2436"/>
      <c r="N461" s="2436"/>
      <c r="O461" s="2436"/>
      <c r="P461" s="2436"/>
      <c r="Q461" s="2436"/>
      <c r="R461" s="2436"/>
      <c r="S461" s="2436"/>
      <c r="T461" s="2436"/>
      <c r="U461" s="2436"/>
      <c r="V461" s="2436"/>
      <c r="W461" s="2436"/>
      <c r="X461" s="2436"/>
      <c r="Y461" s="2436"/>
      <c r="Z461" s="2436"/>
      <c r="AA461" s="2436"/>
      <c r="AB461" s="2436"/>
      <c r="AC461" s="2436"/>
      <c r="AD461" s="2436"/>
      <c r="AE461" s="2436"/>
      <c r="AL461" s="728"/>
      <c r="AM461" s="568"/>
      <c r="AN461" s="595"/>
    </row>
    <row r="462" spans="1:42" s="549" customFormat="1" ht="12.75" customHeight="1">
      <c r="A462" s="536"/>
      <c r="B462" s="14"/>
      <c r="C462" s="2460" t="s">
        <v>590</v>
      </c>
      <c r="D462" s="2407"/>
      <c r="E462" s="715"/>
      <c r="F462" s="717" t="s">
        <v>1481</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86" t="s">
        <v>1451</v>
      </c>
      <c r="AG462" s="2386"/>
      <c r="AH462" s="2386"/>
      <c r="AI462" s="2386"/>
      <c r="AJ462" s="2386"/>
      <c r="AK462" s="2386"/>
      <c r="AL462" s="2467"/>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1458</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45" t="s">
        <v>590</v>
      </c>
      <c r="D466" s="2546"/>
      <c r="E466" s="711" t="s">
        <v>1486</v>
      </c>
      <c r="F466" s="2435" t="s">
        <v>1487</v>
      </c>
      <c r="G466" s="2435"/>
      <c r="H466" s="2435"/>
      <c r="I466" s="2435"/>
      <c r="J466" s="2435"/>
      <c r="K466" s="2435"/>
      <c r="L466" s="2435"/>
      <c r="M466" s="2435"/>
      <c r="N466" s="2435"/>
      <c r="O466" s="2435"/>
      <c r="P466" s="2435"/>
      <c r="Q466" s="2435"/>
      <c r="R466" s="2435"/>
      <c r="S466" s="2435"/>
      <c r="T466" s="2435"/>
      <c r="U466" s="2435"/>
      <c r="V466" s="2435"/>
      <c r="W466" s="2435"/>
      <c r="X466" s="2435"/>
      <c r="Y466" s="2435"/>
      <c r="Z466" s="2435"/>
      <c r="AA466" s="2435"/>
      <c r="AB466" s="2435"/>
      <c r="AC466" s="2435"/>
      <c r="AD466" s="2435"/>
      <c r="AE466" s="2435"/>
      <c r="AF466" s="2463" t="s">
        <v>1451</v>
      </c>
      <c r="AG466" s="2463"/>
      <c r="AH466" s="2463"/>
      <c r="AI466" s="2463"/>
      <c r="AJ466" s="2463"/>
      <c r="AK466" s="2463"/>
      <c r="AL466" s="2464"/>
      <c r="AM466" s="568"/>
      <c r="AN466" s="749"/>
    </row>
    <row r="467" spans="1:40" s="549" customFormat="1" ht="12.75" customHeight="1">
      <c r="A467" s="536"/>
      <c r="B467" s="14"/>
      <c r="C467" s="747"/>
      <c r="D467" s="726"/>
      <c r="E467" s="715"/>
      <c r="F467" s="2436"/>
      <c r="G467" s="2436"/>
      <c r="H467" s="2436"/>
      <c r="I467" s="2436"/>
      <c r="J467" s="2436"/>
      <c r="K467" s="2436"/>
      <c r="L467" s="2436"/>
      <c r="M467" s="2436"/>
      <c r="N467" s="2436"/>
      <c r="O467" s="2436"/>
      <c r="P467" s="2436"/>
      <c r="Q467" s="2436"/>
      <c r="R467" s="2436"/>
      <c r="S467" s="2436"/>
      <c r="T467" s="2436"/>
      <c r="U467" s="2436"/>
      <c r="V467" s="2436"/>
      <c r="W467" s="2436"/>
      <c r="X467" s="2436"/>
      <c r="Y467" s="2436"/>
      <c r="Z467" s="2436"/>
      <c r="AA467" s="2436"/>
      <c r="AB467" s="2436"/>
      <c r="AC467" s="2436"/>
      <c r="AD467" s="2436"/>
      <c r="AE467" s="2436"/>
      <c r="AF467" s="589"/>
      <c r="AG467" s="589"/>
      <c r="AH467" s="589"/>
      <c r="AI467" s="589"/>
      <c r="AJ467" s="589"/>
      <c r="AK467" s="589"/>
      <c r="AL467" s="716"/>
      <c r="AM467" s="568"/>
      <c r="AN467" s="750"/>
    </row>
    <row r="468" spans="1:40" s="549" customFormat="1" ht="17.649999999999999" customHeight="1">
      <c r="A468" s="536"/>
      <c r="B468" s="14"/>
      <c r="C468" s="752"/>
      <c r="D468" s="719"/>
      <c r="E468" s="720"/>
      <c r="F468" s="2437"/>
      <c r="G468" s="2437"/>
      <c r="H468" s="2437"/>
      <c r="I468" s="2437"/>
      <c r="J468" s="2437"/>
      <c r="K468" s="2437"/>
      <c r="L468" s="2437"/>
      <c r="M468" s="2437"/>
      <c r="N468" s="2437"/>
      <c r="O468" s="2437"/>
      <c r="P468" s="2437"/>
      <c r="Q468" s="2437"/>
      <c r="R468" s="2437"/>
      <c r="S468" s="2437"/>
      <c r="T468" s="2437"/>
      <c r="U468" s="2437"/>
      <c r="V468" s="2437"/>
      <c r="W468" s="2437"/>
      <c r="X468" s="2437"/>
      <c r="Y468" s="2437"/>
      <c r="Z468" s="2437"/>
      <c r="AA468" s="2437"/>
      <c r="AB468" s="2437"/>
      <c r="AC468" s="2437"/>
      <c r="AD468" s="2437"/>
      <c r="AE468" s="2437"/>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0" t="s">
        <v>590</v>
      </c>
      <c r="D470" s="2407"/>
      <c r="E470" s="711" t="s">
        <v>1492</v>
      </c>
      <c r="F470" s="2435" t="s">
        <v>1493</v>
      </c>
      <c r="G470" s="2435"/>
      <c r="H470" s="2435"/>
      <c r="I470" s="2435"/>
      <c r="J470" s="2435"/>
      <c r="K470" s="2435"/>
      <c r="L470" s="2435"/>
      <c r="M470" s="2435"/>
      <c r="N470" s="2435"/>
      <c r="O470" s="2435"/>
      <c r="P470" s="2435"/>
      <c r="Q470" s="2435"/>
      <c r="R470" s="2435"/>
      <c r="S470" s="2435"/>
      <c r="T470" s="2435"/>
      <c r="U470" s="2435"/>
      <c r="V470" s="2435"/>
      <c r="W470" s="2435"/>
      <c r="X470" s="2435"/>
      <c r="Y470" s="2435"/>
      <c r="Z470" s="2435"/>
      <c r="AA470" s="2435"/>
      <c r="AB470" s="2435"/>
      <c r="AC470" s="2435"/>
      <c r="AD470" s="2435"/>
      <c r="AE470" s="2435"/>
      <c r="AF470" s="2463" t="s">
        <v>1451</v>
      </c>
      <c r="AG470" s="2463"/>
      <c r="AH470" s="2463"/>
      <c r="AI470" s="2463"/>
      <c r="AJ470" s="2463"/>
      <c r="AK470" s="2463"/>
      <c r="AL470" s="2464"/>
      <c r="AM470" s="568"/>
      <c r="AN470" s="535"/>
    </row>
    <row r="471" spans="1:40" s="549" customFormat="1" ht="12.75" customHeight="1">
      <c r="A471" s="536"/>
      <c r="B471" s="14"/>
      <c r="C471" s="727"/>
      <c r="D471" s="14"/>
      <c r="E471" s="687"/>
      <c r="F471" s="2436"/>
      <c r="G471" s="2436"/>
      <c r="H471" s="2436"/>
      <c r="I471" s="2436"/>
      <c r="J471" s="2436"/>
      <c r="K471" s="2436"/>
      <c r="L471" s="2436"/>
      <c r="M471" s="2436"/>
      <c r="N471" s="2436"/>
      <c r="O471" s="2436"/>
      <c r="P471" s="2436"/>
      <c r="Q471" s="2436"/>
      <c r="R471" s="2436"/>
      <c r="S471" s="2436"/>
      <c r="T471" s="2436"/>
      <c r="U471" s="2436"/>
      <c r="V471" s="2436"/>
      <c r="W471" s="2436"/>
      <c r="X471" s="2436"/>
      <c r="Y471" s="2436"/>
      <c r="Z471" s="2436"/>
      <c r="AA471" s="2436"/>
      <c r="AB471" s="2436"/>
      <c r="AC471" s="2436"/>
      <c r="AD471" s="2436"/>
      <c r="AE471" s="2436"/>
      <c r="AF471" s="539"/>
      <c r="AG471" s="536"/>
      <c r="AL471" s="728"/>
      <c r="AM471" s="568"/>
      <c r="AN471" s="535"/>
    </row>
    <row r="472" spans="1:40" s="549" customFormat="1" ht="12.75" customHeight="1">
      <c r="A472" s="536"/>
      <c r="B472" s="14"/>
      <c r="C472" s="727"/>
      <c r="D472" s="14"/>
      <c r="E472" s="687"/>
      <c r="F472" s="2436"/>
      <c r="G472" s="2436"/>
      <c r="H472" s="2436"/>
      <c r="I472" s="2436"/>
      <c r="J472" s="2436"/>
      <c r="K472" s="2436"/>
      <c r="L472" s="2436"/>
      <c r="M472" s="2436"/>
      <c r="N472" s="2436"/>
      <c r="O472" s="2436"/>
      <c r="P472" s="2436"/>
      <c r="Q472" s="2436"/>
      <c r="R472" s="2436"/>
      <c r="S472" s="2436"/>
      <c r="T472" s="2436"/>
      <c r="U472" s="2436"/>
      <c r="V472" s="2436"/>
      <c r="W472" s="2436"/>
      <c r="X472" s="2436"/>
      <c r="Y472" s="2436"/>
      <c r="Z472" s="2436"/>
      <c r="AA472" s="2436"/>
      <c r="AB472" s="2436"/>
      <c r="AC472" s="2436"/>
      <c r="AD472" s="2436"/>
      <c r="AE472" s="2436"/>
      <c r="AF472" s="539"/>
      <c r="AG472" s="536"/>
      <c r="AL472" s="728"/>
      <c r="AM472" s="568"/>
      <c r="AN472" s="535"/>
    </row>
    <row r="473" spans="1:40" s="549" customFormat="1" ht="12.75" customHeight="1">
      <c r="A473" s="536"/>
      <c r="B473" s="14"/>
      <c r="C473" s="752"/>
      <c r="D473" s="719"/>
      <c r="E473" s="720"/>
      <c r="F473" s="2437"/>
      <c r="G473" s="2437"/>
      <c r="H473" s="2437"/>
      <c r="I473" s="2437"/>
      <c r="J473" s="2437"/>
      <c r="K473" s="2437"/>
      <c r="L473" s="2437"/>
      <c r="M473" s="2437"/>
      <c r="N473" s="2437"/>
      <c r="O473" s="2437"/>
      <c r="P473" s="2437"/>
      <c r="Q473" s="2437"/>
      <c r="R473" s="2437"/>
      <c r="S473" s="2437"/>
      <c r="T473" s="2437"/>
      <c r="U473" s="2437"/>
      <c r="V473" s="2437"/>
      <c r="W473" s="2437"/>
      <c r="X473" s="2437"/>
      <c r="Y473" s="2437"/>
      <c r="Z473" s="2437"/>
      <c r="AA473" s="2437"/>
      <c r="AB473" s="2437"/>
      <c r="AC473" s="2437"/>
      <c r="AD473" s="2437"/>
      <c r="AE473" s="2437"/>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1495</v>
      </c>
      <c r="F475" s="2435" t="s">
        <v>1496</v>
      </c>
      <c r="G475" s="2435"/>
      <c r="H475" s="2435"/>
      <c r="I475" s="2435"/>
      <c r="J475" s="2435"/>
      <c r="K475" s="2435"/>
      <c r="L475" s="2435"/>
      <c r="M475" s="2435"/>
      <c r="N475" s="2435"/>
      <c r="O475" s="2435"/>
      <c r="P475" s="2435"/>
      <c r="Q475" s="2435"/>
      <c r="R475" s="2435"/>
      <c r="S475" s="2435"/>
      <c r="T475" s="2435"/>
      <c r="U475" s="2435"/>
      <c r="V475" s="2435"/>
      <c r="W475" s="2435"/>
      <c r="X475" s="2435"/>
      <c r="Y475" s="2435"/>
      <c r="Z475" s="2435"/>
      <c r="AA475" s="2435"/>
      <c r="AB475" s="2435"/>
      <c r="AC475" s="2435"/>
      <c r="AD475" s="2435"/>
      <c r="AE475" s="2435"/>
      <c r="AF475" s="2435"/>
      <c r="AG475" s="740"/>
      <c r="AH475" s="710"/>
      <c r="AI475" s="710"/>
      <c r="AJ475" s="710"/>
      <c r="AK475" s="710"/>
      <c r="AL475" s="741"/>
      <c r="AM475" s="568"/>
      <c r="AN475" s="595"/>
    </row>
    <row r="476" spans="1:40" s="549" customFormat="1" ht="12.75" customHeight="1">
      <c r="A476" s="536"/>
      <c r="B476" s="14"/>
      <c r="C476" s="727"/>
      <c r="D476" s="14"/>
      <c r="E476" s="687"/>
      <c r="F476" s="2436"/>
      <c r="G476" s="2436"/>
      <c r="H476" s="2436"/>
      <c r="I476" s="2436"/>
      <c r="J476" s="2436"/>
      <c r="K476" s="2436"/>
      <c r="L476" s="2436"/>
      <c r="M476" s="2436"/>
      <c r="N476" s="2436"/>
      <c r="O476" s="2436"/>
      <c r="P476" s="2436"/>
      <c r="Q476" s="2436"/>
      <c r="R476" s="2436"/>
      <c r="S476" s="2436"/>
      <c r="T476" s="2436"/>
      <c r="U476" s="2436"/>
      <c r="V476" s="2436"/>
      <c r="W476" s="2436"/>
      <c r="X476" s="2436"/>
      <c r="Y476" s="2436"/>
      <c r="Z476" s="2436"/>
      <c r="AA476" s="2436"/>
      <c r="AB476" s="2436"/>
      <c r="AC476" s="2436"/>
      <c r="AD476" s="2436"/>
      <c r="AE476" s="2436"/>
      <c r="AF476" s="2436"/>
      <c r="AL476" s="728"/>
      <c r="AM476" s="568"/>
      <c r="AN476" s="595"/>
    </row>
    <row r="477" spans="1:40" s="549" customFormat="1" ht="12.75" customHeight="1">
      <c r="A477" s="536"/>
      <c r="B477" s="14"/>
      <c r="C477" s="735"/>
      <c r="F477" s="2436"/>
      <c r="G477" s="2436"/>
      <c r="H477" s="2436"/>
      <c r="I477" s="2436"/>
      <c r="J477" s="2436"/>
      <c r="K477" s="2436"/>
      <c r="L477" s="2436"/>
      <c r="M477" s="2436"/>
      <c r="N477" s="2436"/>
      <c r="O477" s="2436"/>
      <c r="P477" s="2436"/>
      <c r="Q477" s="2436"/>
      <c r="R477" s="2436"/>
      <c r="S477" s="2436"/>
      <c r="T477" s="2436"/>
      <c r="U477" s="2436"/>
      <c r="V477" s="2436"/>
      <c r="W477" s="2436"/>
      <c r="X477" s="2436"/>
      <c r="Y477" s="2436"/>
      <c r="Z477" s="2436"/>
      <c r="AA477" s="2436"/>
      <c r="AB477" s="2436"/>
      <c r="AC477" s="2436"/>
      <c r="AD477" s="2436"/>
      <c r="AE477" s="2436"/>
      <c r="AF477" s="2436"/>
      <c r="AL477" s="728"/>
      <c r="AM477" s="568"/>
      <c r="AN477" s="595"/>
    </row>
    <row r="478" spans="1:40" s="549" customFormat="1" ht="12.75" customHeight="1">
      <c r="A478" s="536"/>
      <c r="B478" s="14"/>
      <c r="C478" s="735"/>
      <c r="F478" s="2436"/>
      <c r="G478" s="2436"/>
      <c r="H478" s="2436"/>
      <c r="I478" s="2436"/>
      <c r="J478" s="2436"/>
      <c r="K478" s="2436"/>
      <c r="L478" s="2436"/>
      <c r="M478" s="2436"/>
      <c r="N478" s="2436"/>
      <c r="O478" s="2436"/>
      <c r="P478" s="2436"/>
      <c r="Q478" s="2436"/>
      <c r="R478" s="2436"/>
      <c r="S478" s="2436"/>
      <c r="T478" s="2436"/>
      <c r="U478" s="2436"/>
      <c r="V478" s="2436"/>
      <c r="W478" s="2436"/>
      <c r="X478" s="2436"/>
      <c r="Y478" s="2436"/>
      <c r="Z478" s="2436"/>
      <c r="AA478" s="2436"/>
      <c r="AB478" s="2436"/>
      <c r="AC478" s="2436"/>
      <c r="AD478" s="2436"/>
      <c r="AE478" s="2436"/>
      <c r="AF478" s="2436"/>
      <c r="AL478" s="728"/>
      <c r="AM478" s="568"/>
      <c r="AN478" s="595"/>
    </row>
    <row r="479" spans="1:40" s="549" customFormat="1" ht="12.75" customHeight="1">
      <c r="A479" s="536"/>
      <c r="B479" s="14"/>
      <c r="C479" s="2460" t="s">
        <v>590</v>
      </c>
      <c r="D479" s="2407"/>
      <c r="E479" s="715"/>
      <c r="F479" s="717" t="s">
        <v>1468</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1" t="s">
        <v>1451</v>
      </c>
      <c r="AG479" s="2461"/>
      <c r="AH479" s="2461"/>
      <c r="AI479" s="2461"/>
      <c r="AJ479" s="2461"/>
      <c r="AK479" s="2461"/>
      <c r="AL479" s="2462"/>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1497</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1498</v>
      </c>
      <c r="AK482" s="2388">
        <f>IF(Application!D214="N/A",AS371,AS373)</f>
        <v>10</v>
      </c>
      <c r="AL482" s="2434"/>
      <c r="AM482" s="2389"/>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1499</v>
      </c>
      <c r="C485" s="539"/>
      <c r="E485" s="594"/>
      <c r="AE485" s="2461" t="s">
        <v>1500</v>
      </c>
      <c r="AF485" s="2461"/>
      <c r="AG485" s="2461"/>
      <c r="AH485" s="2461"/>
      <c r="AI485" s="2461"/>
      <c r="AJ485" s="2461"/>
      <c r="AK485" s="2461"/>
      <c r="AL485" s="589"/>
      <c r="AN485" s="595"/>
      <c r="AO485" s="549" t="s">
        <v>1478</v>
      </c>
      <c r="AP485" s="549">
        <v>5</v>
      </c>
      <c r="AT485" s="549" t="s">
        <v>1478</v>
      </c>
      <c r="AU485" s="549">
        <v>5</v>
      </c>
      <c r="AV485" s="748"/>
    </row>
    <row r="486" spans="1:59" s="549" customFormat="1" ht="12.75" hidden="1" customHeight="1">
      <c r="A486" s="539"/>
      <c r="B486" s="536" t="s">
        <v>1501</v>
      </c>
      <c r="C486" s="539"/>
      <c r="E486" s="594"/>
      <c r="AE486" s="589"/>
      <c r="AF486" s="589"/>
      <c r="AG486" s="589"/>
      <c r="AH486" s="589"/>
      <c r="AI486" s="589"/>
      <c r="AJ486" s="589"/>
      <c r="AK486" s="589"/>
      <c r="AL486" s="589"/>
      <c r="AN486" s="595"/>
      <c r="AO486" s="549" t="s">
        <v>1502</v>
      </c>
      <c r="AP486" s="549">
        <v>5</v>
      </c>
      <c r="AT486" s="549" t="s">
        <v>1479</v>
      </c>
      <c r="AU486" s="549">
        <v>5</v>
      </c>
      <c r="AV486" s="748"/>
    </row>
    <row r="487" spans="1:59" s="549" customFormat="1" ht="12.75" hidden="1" customHeight="1">
      <c r="A487" s="539"/>
      <c r="B487" s="539" t="s">
        <v>1503</v>
      </c>
      <c r="C487" s="539"/>
      <c r="E487" s="594"/>
      <c r="AE487" s="589"/>
      <c r="AF487" s="589"/>
      <c r="AG487" s="589"/>
      <c r="AH487" s="589"/>
      <c r="AI487" s="589"/>
      <c r="AJ487" s="589"/>
      <c r="AK487" s="589"/>
      <c r="AL487" s="589"/>
      <c r="AN487" s="595"/>
      <c r="AO487" s="549" t="s">
        <v>1480</v>
      </c>
      <c r="AP487" s="549">
        <v>5</v>
      </c>
      <c r="AQ487" s="539"/>
      <c r="AR487" s="539"/>
      <c r="AS487" s="751"/>
      <c r="AT487" s="549" t="s">
        <v>1480</v>
      </c>
      <c r="AU487" s="549">
        <v>5</v>
      </c>
      <c r="AV487" s="536"/>
    </row>
    <row r="488" spans="1:59" s="549" customFormat="1" ht="12.75" hidden="1" customHeight="1">
      <c r="A488" s="539"/>
      <c r="B488" s="539" t="s">
        <v>1504</v>
      </c>
      <c r="C488" s="539"/>
      <c r="E488" s="594"/>
      <c r="AE488" s="589"/>
      <c r="AF488" s="589"/>
      <c r="AG488" s="589"/>
      <c r="AH488" s="589"/>
      <c r="AI488" s="589"/>
      <c r="AJ488" s="589"/>
      <c r="AK488" s="589"/>
      <c r="AL488" s="589"/>
      <c r="AN488" s="595"/>
      <c r="AO488" s="549" t="s">
        <v>1482</v>
      </c>
      <c r="AP488" s="549">
        <v>5</v>
      </c>
      <c r="AQ488" s="539"/>
      <c r="AR488" s="539"/>
      <c r="AT488" s="549" t="s">
        <v>1482</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1483</v>
      </c>
      <c r="AP489" s="549">
        <v>5</v>
      </c>
      <c r="AQ489" s="539"/>
      <c r="AR489" s="539"/>
      <c r="AT489" s="549" t="s">
        <v>1483</v>
      </c>
      <c r="AU489" s="549">
        <v>5</v>
      </c>
    </row>
    <row r="490" spans="1:59" s="549" customFormat="1" ht="12.75" hidden="1" customHeight="1">
      <c r="A490" s="539"/>
      <c r="C490" s="708" t="s">
        <v>1505</v>
      </c>
      <c r="D490" s="568"/>
      <c r="AE490" s="589"/>
      <c r="AF490" s="589"/>
      <c r="AG490" s="594"/>
      <c r="AH490" s="594"/>
      <c r="AI490" s="594"/>
      <c r="AJ490" s="594"/>
      <c r="AK490" s="594"/>
      <c r="AL490" s="594"/>
      <c r="AN490" s="595"/>
      <c r="AO490" s="549" t="s">
        <v>1484</v>
      </c>
      <c r="AP490" s="549">
        <v>5</v>
      </c>
      <c r="AT490" s="549" t="s">
        <v>1484</v>
      </c>
      <c r="AU490" s="549">
        <v>5</v>
      </c>
    </row>
    <row r="491" spans="1:59" s="549" customFormat="1" ht="12.75" hidden="1" customHeight="1">
      <c r="A491" s="539"/>
      <c r="C491" s="2410" t="s">
        <v>590</v>
      </c>
      <c r="D491" s="2411"/>
      <c r="E491" s="757" t="s">
        <v>506</v>
      </c>
      <c r="F491" s="2446" t="s">
        <v>1506</v>
      </c>
      <c r="G491" s="2446"/>
      <c r="H491" s="2446"/>
      <c r="I491" s="2446"/>
      <c r="J491" s="2446"/>
      <c r="K491" s="2446"/>
      <c r="L491" s="2446"/>
      <c r="M491" s="2446"/>
      <c r="N491" s="2446"/>
      <c r="O491" s="2446"/>
      <c r="P491" s="2446"/>
      <c r="Q491" s="2446"/>
      <c r="R491" s="2446"/>
      <c r="S491" s="2446"/>
      <c r="T491" s="2446"/>
      <c r="U491" s="2446"/>
      <c r="V491" s="2446"/>
      <c r="W491" s="2446"/>
      <c r="X491" s="2446"/>
      <c r="Y491" s="2446"/>
      <c r="Z491" s="2446"/>
      <c r="AA491" s="2446"/>
      <c r="AB491" s="2446"/>
      <c r="AC491" s="2446"/>
      <c r="AD491" s="2446"/>
      <c r="AE491" s="2446"/>
      <c r="AF491" s="710"/>
      <c r="AG491" s="710"/>
      <c r="AH491" s="710"/>
      <c r="AI491" s="710"/>
      <c r="AJ491" s="710"/>
      <c r="AK491" s="741"/>
      <c r="AN491" s="595"/>
      <c r="AO491" s="549" t="s">
        <v>1507</v>
      </c>
      <c r="AP491" s="549">
        <v>5</v>
      </c>
      <c r="AS491" s="754"/>
      <c r="AT491" s="549" t="s">
        <v>1485</v>
      </c>
      <c r="AU491" s="549">
        <v>5</v>
      </c>
    </row>
    <row r="492" spans="1:59" s="549" customFormat="1" ht="12.75" hidden="1" customHeight="1">
      <c r="C492" s="758"/>
      <c r="E492" s="759"/>
      <c r="F492" s="2447"/>
      <c r="G492" s="2447"/>
      <c r="H492" s="2447"/>
      <c r="I492" s="2447"/>
      <c r="J492" s="2447"/>
      <c r="K492" s="2447"/>
      <c r="L492" s="2447"/>
      <c r="M492" s="2447"/>
      <c r="N492" s="2447"/>
      <c r="O492" s="2447"/>
      <c r="P492" s="2447"/>
      <c r="Q492" s="2447"/>
      <c r="R492" s="2447"/>
      <c r="S492" s="2447"/>
      <c r="T492" s="2447"/>
      <c r="U492" s="2447"/>
      <c r="V492" s="2447"/>
      <c r="W492" s="2447"/>
      <c r="X492" s="2447"/>
      <c r="Y492" s="2447"/>
      <c r="Z492" s="2447"/>
      <c r="AA492" s="2447"/>
      <c r="AB492" s="2447"/>
      <c r="AC492" s="2447"/>
      <c r="AD492" s="2447"/>
      <c r="AE492" s="2447"/>
      <c r="AG492" s="550"/>
      <c r="AH492" s="550"/>
      <c r="AI492" s="550"/>
      <c r="AJ492" s="550"/>
      <c r="AK492" s="728"/>
      <c r="AN492" s="595"/>
      <c r="AO492" s="549" t="s">
        <v>1488</v>
      </c>
      <c r="AP492" s="549">
        <v>1</v>
      </c>
      <c r="AT492" s="549" t="s">
        <v>1488</v>
      </c>
      <c r="AU492" s="549">
        <v>1</v>
      </c>
    </row>
    <row r="493" spans="1:59" s="549" customFormat="1" ht="12.75" hidden="1" customHeight="1">
      <c r="C493" s="760"/>
      <c r="D493" s="723"/>
      <c r="E493" s="761"/>
      <c r="F493" s="2444" t="s">
        <v>590</v>
      </c>
      <c r="G493" s="2444"/>
      <c r="H493" s="2444"/>
      <c r="I493" s="2444"/>
      <c r="J493" s="2444"/>
      <c r="K493" s="2444"/>
      <c r="L493" s="2444"/>
      <c r="M493" s="2444"/>
      <c r="N493" s="2444"/>
      <c r="O493" s="2444"/>
      <c r="P493" s="2444"/>
      <c r="Q493" s="2444"/>
      <c r="R493" s="2444"/>
      <c r="S493" s="2444"/>
      <c r="T493" s="2444"/>
      <c r="U493" s="2444"/>
      <c r="V493" s="2444"/>
      <c r="W493" s="2444"/>
      <c r="X493" s="2444"/>
      <c r="Y493" s="2444"/>
      <c r="Z493" s="2444"/>
      <c r="AA493" s="762"/>
      <c r="AB493" s="654"/>
      <c r="AC493" s="654"/>
      <c r="AD493" s="723"/>
      <c r="AE493" s="723"/>
      <c r="AF493" s="723"/>
      <c r="AG493" s="763">
        <f>IF($C$491="Yes",(VLOOKUP($F$493,$AT$484:$AU$492,2,FALSE)),0)</f>
        <v>0</v>
      </c>
      <c r="AH493" s="764" t="s">
        <v>1320</v>
      </c>
      <c r="AI493" s="763"/>
      <c r="AJ493" s="763"/>
      <c r="AK493" s="738"/>
      <c r="AN493" s="595"/>
      <c r="AS493" s="751"/>
      <c r="AX493" s="751"/>
      <c r="BB493" s="751" t="s">
        <v>1489</v>
      </c>
      <c r="BF493" s="751" t="s">
        <v>1490</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413" t="s">
        <v>544</v>
      </c>
      <c r="D495" s="2414"/>
      <c r="E495" s="757" t="s">
        <v>756</v>
      </c>
      <c r="F495" s="765" t="s">
        <v>1508</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1491</v>
      </c>
      <c r="AX495" s="635">
        <v>3</v>
      </c>
      <c r="AY495" s="591"/>
      <c r="BB495" s="754">
        <v>0.4</v>
      </c>
      <c r="BC495" s="591">
        <v>3</v>
      </c>
      <c r="BF495" s="754">
        <v>0.4</v>
      </c>
      <c r="BG495" s="591">
        <v>4</v>
      </c>
    </row>
    <row r="496" spans="1:59" s="549" customFormat="1" ht="12.75" hidden="1" customHeight="1">
      <c r="C496" s="766" t="s">
        <v>1509</v>
      </c>
      <c r="F496" s="767" t="s">
        <v>1510</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1494</v>
      </c>
      <c r="AX496" s="635">
        <v>5</v>
      </c>
      <c r="AY496" s="591"/>
      <c r="BB496" s="754">
        <v>0.6</v>
      </c>
      <c r="BC496" s="591">
        <v>4</v>
      </c>
      <c r="BF496" s="754">
        <v>0.6</v>
      </c>
      <c r="BG496" s="591">
        <v>5</v>
      </c>
    </row>
    <row r="497" spans="1:81" s="549" customFormat="1" ht="12.75" hidden="1" customHeight="1">
      <c r="C497" s="747"/>
      <c r="D497" s="726"/>
      <c r="E497" s="768"/>
      <c r="F497" s="767" t="s">
        <v>1511</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1512</v>
      </c>
      <c r="G498" s="549"/>
      <c r="H498" s="549"/>
      <c r="I498" s="767"/>
      <c r="J498" s="767"/>
      <c r="K498" s="767"/>
      <c r="L498" s="767"/>
      <c r="M498" s="767"/>
      <c r="N498" s="767"/>
      <c r="O498" s="767"/>
      <c r="P498" s="767"/>
      <c r="Q498" s="767"/>
      <c r="R498" s="767"/>
      <c r="S498" s="767"/>
      <c r="T498" s="767"/>
      <c r="U498" s="767"/>
      <c r="V498" s="2443" t="s">
        <v>590</v>
      </c>
      <c r="W498" s="2443"/>
      <c r="X498" s="2443"/>
      <c r="Y498" s="767"/>
      <c r="Z498" s="767"/>
      <c r="AA498" s="767"/>
      <c r="AB498" s="767"/>
      <c r="AC498" s="767"/>
      <c r="AD498" s="607"/>
      <c r="AE498" s="607"/>
      <c r="AF498" s="607"/>
      <c r="AG498" s="611">
        <f>IF(AND($C$495="Yes",$V$500="N/A",$V$505="N/A",$V$509="N/A",$V$511="N/A"),(VLOOKUP(V498,$AW$494:$AX$496,2,FALSE)),0)</f>
        <v>0</v>
      </c>
      <c r="AH498" s="638" t="s">
        <v>1320</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1513</v>
      </c>
      <c r="G500" s="549"/>
      <c r="H500" s="549"/>
      <c r="I500" s="767"/>
      <c r="J500" s="767"/>
      <c r="K500" s="767"/>
      <c r="L500" s="767"/>
      <c r="M500" s="767"/>
      <c r="N500" s="767"/>
      <c r="O500" s="767"/>
      <c r="P500" s="767"/>
      <c r="Q500" s="767"/>
      <c r="R500" s="767"/>
      <c r="S500" s="767"/>
      <c r="T500" s="767"/>
      <c r="U500" s="767"/>
      <c r="V500" s="2443" t="s">
        <v>590</v>
      </c>
      <c r="W500" s="2443"/>
      <c r="X500" s="2443"/>
      <c r="Y500" s="767"/>
      <c r="Z500" s="767"/>
      <c r="AA500" s="767"/>
      <c r="AB500" s="767"/>
      <c r="AC500" s="767"/>
      <c r="AD500" s="607"/>
      <c r="AE500" s="607"/>
      <c r="AF500" s="607"/>
      <c r="AG500" s="611">
        <f>IF(AND($C$495="Yes",$V$498="N/A", $V$505="N/A",$V$509="N/A",$V$511="N/A"),(VLOOKUP(V500,$AT$494:$AU$496,2,FALSE)),0)</f>
        <v>0</v>
      </c>
      <c r="AH500" s="638" t="s">
        <v>1320</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1514</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1515</v>
      </c>
      <c r="AP502" s="635">
        <v>2</v>
      </c>
    </row>
    <row r="503" spans="1:81" s="549" customFormat="1" ht="12.75" hidden="1" customHeight="1">
      <c r="C503" s="758"/>
      <c r="F503" s="607" t="s">
        <v>1516</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1517</v>
      </c>
      <c r="AP503" s="549">
        <v>2</v>
      </c>
    </row>
    <row r="504" spans="1:81" s="594" customFormat="1" ht="12.75" hidden="1" customHeight="1">
      <c r="A504" s="549"/>
      <c r="B504" s="549"/>
      <c r="C504" s="735"/>
      <c r="D504" s="568"/>
      <c r="E504" s="568"/>
      <c r="F504" s="607" t="s">
        <v>1518</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1519</v>
      </c>
      <c r="AP504" s="549">
        <v>2</v>
      </c>
    </row>
    <row r="505" spans="1:81" s="549" customFormat="1" ht="12.75" hidden="1" customHeight="1">
      <c r="C505" s="773"/>
      <c r="F505" s="771" t="s">
        <v>1520</v>
      </c>
      <c r="M505" s="759"/>
      <c r="N505" s="759"/>
      <c r="O505" s="759"/>
      <c r="P505" s="759"/>
      <c r="Q505" s="550"/>
      <c r="R505" s="550"/>
      <c r="S505" s="550"/>
      <c r="T505" s="550"/>
      <c r="U505" s="550"/>
      <c r="V505" s="2443" t="s">
        <v>590</v>
      </c>
      <c r="W505" s="2443"/>
      <c r="X505" s="2443"/>
      <c r="Y505" s="550"/>
      <c r="Z505" s="550"/>
      <c r="AA505" s="550"/>
      <c r="AB505" s="550"/>
      <c r="AC505" s="550"/>
      <c r="AG505" s="611">
        <f>IF(AND($C$495="Yes",$V$498="N/A",$V$500="N/A", $V$509="N/A",$V$511="N/A"),(VLOOKUP($V$505,$AT$498:$AU$500,2,FALSE)),0)</f>
        <v>0</v>
      </c>
      <c r="AH505" s="638" t="s">
        <v>1320</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1521</v>
      </c>
      <c r="D507" s="710"/>
      <c r="E507" s="710"/>
      <c r="F507" s="776" t="s">
        <v>1522</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412"/>
      <c r="E508" s="2412"/>
      <c r="F508" s="767" t="s">
        <v>1523</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1524</v>
      </c>
      <c r="AP508" s="635">
        <v>5</v>
      </c>
      <c r="AQ508" s="539"/>
    </row>
    <row r="509" spans="1:81" s="568" customFormat="1" ht="12.75" hidden="1" customHeight="1">
      <c r="A509" s="675"/>
      <c r="B509" s="549"/>
      <c r="C509" s="758"/>
      <c r="D509" s="549"/>
      <c r="E509" s="549"/>
      <c r="F509" s="778" t="s">
        <v>1512</v>
      </c>
      <c r="G509" s="549"/>
      <c r="H509" s="549"/>
      <c r="I509" s="549"/>
      <c r="J509" s="549"/>
      <c r="K509" s="549"/>
      <c r="L509" s="549"/>
      <c r="M509" s="549"/>
      <c r="N509" s="549"/>
      <c r="O509" s="549"/>
      <c r="P509" s="549"/>
      <c r="Q509" s="549"/>
      <c r="R509" s="549"/>
      <c r="S509" s="549"/>
      <c r="T509" s="549"/>
      <c r="U509" s="549"/>
      <c r="V509" s="2443" t="s">
        <v>590</v>
      </c>
      <c r="W509" s="2443"/>
      <c r="X509" s="2443"/>
      <c r="Y509" s="549"/>
      <c r="Z509" s="549"/>
      <c r="AA509" s="549"/>
      <c r="AB509" s="549"/>
      <c r="AC509" s="549"/>
      <c r="AD509" s="549"/>
      <c r="AE509" s="549"/>
      <c r="AF509" s="549"/>
      <c r="AG509" s="611">
        <f>IF(AND($C$495="Yes",$V$498="N/A",V500="N/A",$V$505="N/A",$V$511="N/A"),(VLOOKUP($V$509,$BB$494:$BC$497,2,FALSE)),0)</f>
        <v>0</v>
      </c>
      <c r="AH509" s="638" t="s">
        <v>1320</v>
      </c>
      <c r="AI509" s="550"/>
      <c r="AJ509" s="549"/>
      <c r="AK509" s="728"/>
      <c r="AL509" s="549"/>
      <c r="AM509" s="549"/>
      <c r="AN509" s="680"/>
      <c r="AO509" s="549" t="s">
        <v>1525</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1526</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1513</v>
      </c>
      <c r="G511" s="762"/>
      <c r="H511" s="762"/>
      <c r="I511" s="723"/>
      <c r="J511" s="723"/>
      <c r="K511" s="723"/>
      <c r="L511" s="723"/>
      <c r="M511" s="723"/>
      <c r="N511" s="723"/>
      <c r="O511" s="723"/>
      <c r="P511" s="723"/>
      <c r="Q511" s="723"/>
      <c r="R511" s="723"/>
      <c r="S511" s="723"/>
      <c r="T511" s="723"/>
      <c r="U511" s="723"/>
      <c r="V511" s="2443" t="s">
        <v>590</v>
      </c>
      <c r="W511" s="2443"/>
      <c r="X511" s="2443"/>
      <c r="Y511" s="723"/>
      <c r="Z511" s="723"/>
      <c r="AA511" s="723"/>
      <c r="AB511" s="723"/>
      <c r="AC511" s="723"/>
      <c r="AD511" s="723"/>
      <c r="AE511" s="723"/>
      <c r="AF511" s="723"/>
      <c r="AG511" s="779">
        <f>IF(AND($C$495="Yes",$V$498="N/A",$V$500="N/A",$V$505="N/A",$V$509="N/A"),(VLOOKUP($V$511,$BF$494:$BG$496,2,FALSE)),0)</f>
        <v>0</v>
      </c>
      <c r="AH511" s="764" t="s">
        <v>1320</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1527</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0" t="s">
        <v>590</v>
      </c>
      <c r="D514" s="2411"/>
      <c r="E514" s="757" t="s">
        <v>506</v>
      </c>
      <c r="F514" s="2446" t="s">
        <v>1506</v>
      </c>
      <c r="G514" s="2446"/>
      <c r="H514" s="2446"/>
      <c r="I514" s="2446"/>
      <c r="J514" s="2446"/>
      <c r="K514" s="2446"/>
      <c r="L514" s="2446"/>
      <c r="M514" s="2446"/>
      <c r="N514" s="2446"/>
      <c r="O514" s="2446"/>
      <c r="P514" s="2446"/>
      <c r="Q514" s="2446"/>
      <c r="R514" s="2446"/>
      <c r="S514" s="2446"/>
      <c r="T514" s="2446"/>
      <c r="U514" s="2446"/>
      <c r="V514" s="2446"/>
      <c r="W514" s="2446"/>
      <c r="X514" s="2446"/>
      <c r="Y514" s="2446"/>
      <c r="Z514" s="2446"/>
      <c r="AA514" s="2446"/>
      <c r="AB514" s="2446"/>
      <c r="AC514" s="2446"/>
      <c r="AD514" s="2446"/>
      <c r="AE514" s="2446"/>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47"/>
      <c r="G515" s="2447"/>
      <c r="H515" s="2447"/>
      <c r="I515" s="2447"/>
      <c r="J515" s="2447"/>
      <c r="K515" s="2447"/>
      <c r="L515" s="2447"/>
      <c r="M515" s="2447"/>
      <c r="N515" s="2447"/>
      <c r="O515" s="2447"/>
      <c r="P515" s="2447"/>
      <c r="Q515" s="2447"/>
      <c r="R515" s="2447"/>
      <c r="S515" s="2447"/>
      <c r="T515" s="2447"/>
      <c r="U515" s="2447"/>
      <c r="V515" s="2447"/>
      <c r="W515" s="2447"/>
      <c r="X515" s="2447"/>
      <c r="Y515" s="2447"/>
      <c r="Z515" s="2447"/>
      <c r="AA515" s="2447"/>
      <c r="AB515" s="2447"/>
      <c r="AC515" s="2447"/>
      <c r="AD515" s="2447"/>
      <c r="AE515" s="2447"/>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39" t="s">
        <v>590</v>
      </c>
      <c r="G516" s="2439"/>
      <c r="H516" s="2439"/>
      <c r="I516" s="2439"/>
      <c r="J516" s="2439"/>
      <c r="K516" s="2439"/>
      <c r="L516" s="2439"/>
      <c r="M516" s="2439"/>
      <c r="N516" s="2439"/>
      <c r="O516" s="2439"/>
      <c r="P516" s="2439"/>
      <c r="Q516" s="2439"/>
      <c r="R516" s="2439"/>
      <c r="S516" s="2439"/>
      <c r="T516" s="2439"/>
      <c r="U516" s="2439"/>
      <c r="V516" s="2439"/>
      <c r="W516" s="2439"/>
      <c r="X516" s="2439"/>
      <c r="Y516" s="2439"/>
      <c r="Z516" s="2439"/>
      <c r="AA516" s="762"/>
      <c r="AB516" s="654"/>
      <c r="AC516" s="654"/>
      <c r="AD516" s="723"/>
      <c r="AE516" s="723"/>
      <c r="AF516" s="723"/>
      <c r="AG516" s="763">
        <f>IF($C$514="Yes",(VLOOKUP($F$516,$AO$484:$AP$492,2,FALSE)),0)</f>
        <v>0</v>
      </c>
      <c r="AH516" s="764" t="s">
        <v>1320</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0" t="s">
        <v>590</v>
      </c>
      <c r="D518" s="2411"/>
      <c r="E518" s="757" t="s">
        <v>756</v>
      </c>
      <c r="F518" s="2440" t="s">
        <v>1528</v>
      </c>
      <c r="G518" s="2440"/>
      <c r="H518" s="2440"/>
      <c r="I518" s="2440"/>
      <c r="J518" s="2440"/>
      <c r="K518" s="2440"/>
      <c r="L518" s="2440"/>
      <c r="M518" s="2440"/>
      <c r="N518" s="2440"/>
      <c r="O518" s="2440"/>
      <c r="P518" s="2440"/>
      <c r="Q518" s="2440"/>
      <c r="R518" s="2440"/>
      <c r="S518" s="2440"/>
      <c r="T518" s="2440"/>
      <c r="U518" s="2440"/>
      <c r="V518" s="2440"/>
      <c r="W518" s="2440"/>
      <c r="X518" s="2440"/>
      <c r="Y518" s="2440"/>
      <c r="Z518" s="2440"/>
      <c r="AA518" s="2440"/>
      <c r="AB518" s="2440"/>
      <c r="AC518" s="2440"/>
      <c r="AD518" s="2440"/>
      <c r="AE518" s="2440"/>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1"/>
      <c r="G519" s="2441"/>
      <c r="H519" s="2441"/>
      <c r="I519" s="2441"/>
      <c r="J519" s="2441"/>
      <c r="K519" s="2441"/>
      <c r="L519" s="2441"/>
      <c r="M519" s="2441"/>
      <c r="N519" s="2441"/>
      <c r="O519" s="2441"/>
      <c r="P519" s="2441"/>
      <c r="Q519" s="2441"/>
      <c r="R519" s="2441"/>
      <c r="S519" s="2441"/>
      <c r="T519" s="2441"/>
      <c r="U519" s="2441"/>
      <c r="V519" s="2441"/>
      <c r="W519" s="2441"/>
      <c r="X519" s="2441"/>
      <c r="Y519" s="2441"/>
      <c r="Z519" s="2441"/>
      <c r="AA519" s="2441"/>
      <c r="AB519" s="2441"/>
      <c r="AC519" s="2441"/>
      <c r="AD519" s="2441"/>
      <c r="AE519" s="2441"/>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1529</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t="13" hidden="1">
      <c r="A521" s="549"/>
      <c r="B521" s="549"/>
      <c r="C521" s="760"/>
      <c r="D521" s="723"/>
      <c r="E521" s="761"/>
      <c r="F521" s="2442" t="s">
        <v>590</v>
      </c>
      <c r="G521" s="2442"/>
      <c r="H521" s="2442"/>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1320</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t="13"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t="13" hidden="1">
      <c r="A523" s="549"/>
      <c r="B523" s="549"/>
      <c r="C523" s="2410" t="s">
        <v>590</v>
      </c>
      <c r="D523" s="2411"/>
      <c r="E523" s="757" t="s">
        <v>1530</v>
      </c>
      <c r="F523" s="776" t="s">
        <v>1531</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t="13" hidden="1">
      <c r="A525" s="549"/>
      <c r="B525" s="549"/>
      <c r="C525" s="2468"/>
      <c r="D525" s="2412"/>
      <c r="E525" s="768"/>
      <c r="F525" s="550" t="s">
        <v>1532</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1320</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69" t="s">
        <v>590</v>
      </c>
      <c r="H526" s="2469"/>
      <c r="I526" s="2469"/>
      <c r="J526" s="2469"/>
      <c r="K526" s="2469"/>
      <c r="L526" s="2469"/>
      <c r="M526" s="2469"/>
      <c r="N526" s="2469"/>
      <c r="O526" s="2469"/>
      <c r="P526" s="2469"/>
      <c r="Q526" s="2469"/>
      <c r="R526" s="2469"/>
      <c r="S526" s="2469"/>
      <c r="T526" s="2469"/>
      <c r="U526" s="2469"/>
      <c r="V526" s="2469"/>
      <c r="W526" s="2469"/>
      <c r="X526" s="2469"/>
      <c r="Y526" s="2469"/>
      <c r="Z526" s="2469"/>
      <c r="AA526" s="2469"/>
      <c r="AB526" s="2469"/>
      <c r="AC526" s="2469"/>
      <c r="AD526" s="2469"/>
      <c r="AE526" s="2469"/>
      <c r="AF526" s="2469"/>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0" t="s">
        <v>590</v>
      </c>
      <c r="D528" s="2471"/>
      <c r="F528" s="550" t="s">
        <v>1533</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1320</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t="13" hidden="1">
      <c r="A529" s="14"/>
      <c r="B529" s="549"/>
      <c r="C529" s="777"/>
      <c r="D529" s="726"/>
      <c r="E529" s="726"/>
      <c r="F529" s="550"/>
      <c r="G529" s="550" t="s">
        <v>1534</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1535</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0" t="s">
        <v>590</v>
      </c>
      <c r="D532" s="2471"/>
      <c r="F532" s="791" t="s">
        <v>1536</v>
      </c>
      <c r="G532" s="2436" t="s">
        <v>1537</v>
      </c>
      <c r="H532" s="2436"/>
      <c r="I532" s="2436"/>
      <c r="J532" s="2436"/>
      <c r="K532" s="2436"/>
      <c r="L532" s="2436"/>
      <c r="M532" s="2436"/>
      <c r="N532" s="2436"/>
      <c r="O532" s="2436"/>
      <c r="P532" s="2436"/>
      <c r="Q532" s="2436"/>
      <c r="R532" s="2436"/>
      <c r="S532" s="2436"/>
      <c r="T532" s="2436"/>
      <c r="U532" s="2436"/>
      <c r="V532" s="2436"/>
      <c r="W532" s="2436"/>
      <c r="X532" s="2436"/>
      <c r="Y532" s="2436"/>
      <c r="Z532" s="2436"/>
      <c r="AA532" s="2436"/>
      <c r="AB532" s="2436"/>
      <c r="AC532" s="2436"/>
      <c r="AD532" s="2436"/>
      <c r="AE532" s="2436"/>
      <c r="AF532" s="2436"/>
      <c r="AG532" s="611">
        <f>IF(AND($C$532="Yes",$C$523="Yes"),2,0)</f>
        <v>0</v>
      </c>
      <c r="AH532" s="638" t="s">
        <v>1320</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37"/>
      <c r="H533" s="2437"/>
      <c r="I533" s="2437"/>
      <c r="J533" s="2437"/>
      <c r="K533" s="2437"/>
      <c r="L533" s="2437"/>
      <c r="M533" s="2437"/>
      <c r="N533" s="2437"/>
      <c r="O533" s="2437"/>
      <c r="P533" s="2437"/>
      <c r="Q533" s="2437"/>
      <c r="R533" s="2437"/>
      <c r="S533" s="2437"/>
      <c r="T533" s="2437"/>
      <c r="U533" s="2437"/>
      <c r="V533" s="2437"/>
      <c r="W533" s="2437"/>
      <c r="X533" s="2437"/>
      <c r="Y533" s="2437"/>
      <c r="Z533" s="2437"/>
      <c r="AA533" s="2437"/>
      <c r="AB533" s="2437"/>
      <c r="AC533" s="2437"/>
      <c r="AD533" s="2437"/>
      <c r="AE533" s="2437"/>
      <c r="AF533" s="2437"/>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1538</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2" t="s">
        <v>590</v>
      </c>
      <c r="D536" s="2473"/>
      <c r="E536" s="798" t="s">
        <v>1539</v>
      </c>
      <c r="F536" s="767" t="s">
        <v>1540</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1320</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74" t="s">
        <v>590</v>
      </c>
      <c r="G537" s="2474"/>
      <c r="H537" s="2474"/>
      <c r="I537" s="2474"/>
      <c r="J537" s="2474"/>
      <c r="K537" s="2474"/>
      <c r="L537" s="2474"/>
      <c r="M537" s="2474"/>
      <c r="N537" s="2474"/>
      <c r="O537" s="2474"/>
      <c r="P537" s="2474"/>
      <c r="Q537" s="2474"/>
      <c r="R537" s="2474"/>
      <c r="S537" s="2474"/>
      <c r="T537" s="2474"/>
      <c r="U537" s="2474"/>
      <c r="V537" s="2474"/>
      <c r="W537" s="2474"/>
      <c r="X537" s="2474"/>
      <c r="Y537" s="2474"/>
      <c r="Z537" s="2474"/>
      <c r="AA537" s="2474"/>
      <c r="AB537" s="2474"/>
      <c r="AC537" s="2474"/>
      <c r="AD537" s="2474"/>
      <c r="AE537" s="2474"/>
      <c r="AF537" s="2474"/>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75"/>
      <c r="G538" s="2475"/>
      <c r="H538" s="2475"/>
      <c r="I538" s="2475"/>
      <c r="J538" s="2475"/>
      <c r="K538" s="2475"/>
      <c r="L538" s="2475"/>
      <c r="M538" s="2475"/>
      <c r="N538" s="2475"/>
      <c r="O538" s="2475"/>
      <c r="P538" s="2475"/>
      <c r="Q538" s="2475"/>
      <c r="R538" s="2475"/>
      <c r="S538" s="2475"/>
      <c r="T538" s="2475"/>
      <c r="U538" s="2475"/>
      <c r="V538" s="2475"/>
      <c r="W538" s="2475"/>
      <c r="X538" s="2475"/>
      <c r="Y538" s="2475"/>
      <c r="Z538" s="2475"/>
      <c r="AA538" s="2475"/>
      <c r="AB538" s="2475"/>
      <c r="AC538" s="2475"/>
      <c r="AD538" s="2475"/>
      <c r="AE538" s="2475"/>
      <c r="AF538" s="2475"/>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1541</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1542</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1988</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1543</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1989</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1544</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1545</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1546</v>
      </c>
      <c r="AK548" s="2388">
        <f>SUM(AG492:AG537)</f>
        <v>0</v>
      </c>
      <c r="AL548" s="2434"/>
      <c r="AM548" s="2389"/>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 thickTop="1"/>
    <row r="551" spans="1:81" s="549" customFormat="1" ht="12.75" customHeight="1">
      <c r="A551" s="539" t="s">
        <v>1442</v>
      </c>
      <c r="B551" s="539" t="s">
        <v>1548</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45" t="s">
        <v>1549</v>
      </c>
      <c r="AF551" s="2445"/>
      <c r="AG551" s="2445"/>
      <c r="AH551" s="2445"/>
      <c r="AI551" s="2445"/>
      <c r="AJ551" s="2445"/>
      <c r="AK551" s="2445"/>
      <c r="AL551" s="593"/>
      <c r="AM551" s="593"/>
      <c r="AN551" s="595"/>
    </row>
    <row r="552" spans="1:81" s="549" customFormat="1" ht="12.75" customHeight="1">
      <c r="A552" s="539"/>
      <c r="B552" s="539" t="s">
        <v>1316</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07" t="s">
        <v>590</v>
      </c>
      <c r="D554" s="2407"/>
      <c r="E554" s="550"/>
      <c r="F554" s="2547" t="s">
        <v>1550</v>
      </c>
      <c r="G554" s="2548"/>
      <c r="H554" s="2548"/>
      <c r="I554" s="2548"/>
      <c r="J554" s="2548"/>
      <c r="K554" s="2548"/>
      <c r="L554" s="2548"/>
      <c r="M554" s="2548"/>
      <c r="N554" s="2548"/>
      <c r="O554" s="2548"/>
      <c r="P554" s="2548"/>
      <c r="Q554" s="2548"/>
      <c r="R554" s="2548"/>
      <c r="S554" s="2548"/>
      <c r="T554" s="2548"/>
      <c r="U554" s="2548"/>
      <c r="V554" s="2548"/>
      <c r="W554" s="2548"/>
      <c r="X554" s="2548"/>
      <c r="Y554" s="2548"/>
      <c r="Z554" s="2548"/>
      <c r="AA554" s="2548"/>
      <c r="AB554" s="2548"/>
      <c r="AC554" s="2548"/>
      <c r="AD554" s="2548"/>
      <c r="AE554" s="2548"/>
      <c r="AF554" s="2548"/>
      <c r="AG554" s="2548"/>
      <c r="AH554" s="2548"/>
      <c r="AI554" s="2548"/>
      <c r="AJ554" s="2548"/>
      <c r="AK554" s="2548"/>
      <c r="AL554" s="2549"/>
      <c r="AM554" s="593"/>
      <c r="AN554" s="595"/>
    </row>
    <row r="555" spans="1:81" s="549" customFormat="1" ht="12.75" customHeight="1">
      <c r="B555" s="539"/>
      <c r="C555" s="550"/>
      <c r="D555" s="550"/>
      <c r="E555" s="550"/>
      <c r="F555" s="2550"/>
      <c r="G555" s="2551"/>
      <c r="H555" s="2551"/>
      <c r="I555" s="2551"/>
      <c r="J555" s="2551"/>
      <c r="K555" s="2551"/>
      <c r="L555" s="2551"/>
      <c r="M555" s="2551"/>
      <c r="N555" s="2551"/>
      <c r="O555" s="2551"/>
      <c r="P555" s="2551"/>
      <c r="Q555" s="2551"/>
      <c r="R555" s="2551"/>
      <c r="S555" s="2551"/>
      <c r="T555" s="2551"/>
      <c r="U555" s="2551"/>
      <c r="V555" s="2551"/>
      <c r="W555" s="2551"/>
      <c r="X555" s="2551"/>
      <c r="Y555" s="2551"/>
      <c r="Z555" s="2551"/>
      <c r="AA555" s="2551"/>
      <c r="AB555" s="2551"/>
      <c r="AC555" s="2551"/>
      <c r="AD555" s="2551"/>
      <c r="AE555" s="2551"/>
      <c r="AF555" s="2551"/>
      <c r="AG555" s="2551"/>
      <c r="AH555" s="2551"/>
      <c r="AI555" s="2551"/>
      <c r="AJ555" s="2551"/>
      <c r="AK555" s="2551"/>
      <c r="AL555" s="2552"/>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07" t="s">
        <v>544</v>
      </c>
      <c r="D557" s="2407"/>
      <c r="E557" s="802"/>
      <c r="F557" s="642" t="s">
        <v>1551</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27" t="s">
        <v>2626</v>
      </c>
      <c r="G558" s="2385"/>
      <c r="H558" s="2385"/>
      <c r="I558" s="2385"/>
      <c r="J558" s="2385"/>
      <c r="K558" s="2385"/>
      <c r="L558" s="2385"/>
      <c r="M558" s="2385"/>
      <c r="N558" s="2385"/>
      <c r="O558" s="2385"/>
      <c r="P558" s="2385"/>
      <c r="Q558" s="2385"/>
      <c r="R558" s="2385"/>
      <c r="S558" s="2385"/>
      <c r="T558" s="2385"/>
      <c r="U558" s="2385"/>
      <c r="V558" s="2385"/>
      <c r="W558" s="2385"/>
      <c r="X558" s="2385"/>
      <c r="Y558" s="2385"/>
      <c r="Z558" s="2385"/>
      <c r="AA558" s="2385"/>
      <c r="AB558" s="2385"/>
      <c r="AC558" s="2385"/>
      <c r="AD558" s="2385"/>
      <c r="AE558" s="2385"/>
      <c r="AF558" s="2385"/>
      <c r="AG558" s="2385"/>
      <c r="AH558" s="2385"/>
      <c r="AI558" s="2385"/>
      <c r="AJ558" s="2385"/>
      <c r="AK558" s="2385"/>
      <c r="AL558" s="2428"/>
      <c r="AM558" s="593"/>
      <c r="AN558" s="595"/>
      <c r="AS558" s="866"/>
      <c r="AT558" s="866"/>
      <c r="AU558" s="866"/>
      <c r="AV558" s="866"/>
      <c r="AW558" s="866"/>
    </row>
    <row r="559" spans="1:81" s="549" customFormat="1" ht="12.75" customHeight="1">
      <c r="B559" s="802"/>
      <c r="C559" s="802"/>
      <c r="D559" s="802"/>
      <c r="E559" s="802"/>
      <c r="F559" s="2427"/>
      <c r="G559" s="2385"/>
      <c r="H559" s="2385"/>
      <c r="I559" s="2385"/>
      <c r="J559" s="2385"/>
      <c r="K559" s="2385"/>
      <c r="L559" s="2385"/>
      <c r="M559" s="2385"/>
      <c r="N559" s="2385"/>
      <c r="O559" s="2385"/>
      <c r="P559" s="2385"/>
      <c r="Q559" s="2385"/>
      <c r="R559" s="2385"/>
      <c r="S559" s="2385"/>
      <c r="T559" s="2385"/>
      <c r="U559" s="2385"/>
      <c r="V559" s="2385"/>
      <c r="W559" s="2385"/>
      <c r="X559" s="2385"/>
      <c r="Y559" s="2385"/>
      <c r="Z559" s="2385"/>
      <c r="AA559" s="2385"/>
      <c r="AB559" s="2385"/>
      <c r="AC559" s="2385"/>
      <c r="AD559" s="2385"/>
      <c r="AE559" s="2385"/>
      <c r="AF559" s="2385"/>
      <c r="AG559" s="2385"/>
      <c r="AH559" s="2385"/>
      <c r="AI559" s="2385"/>
      <c r="AJ559" s="2385"/>
      <c r="AK559" s="2385"/>
      <c r="AL559" s="2428"/>
      <c r="AM559" s="593"/>
      <c r="AN559" s="595"/>
    </row>
    <row r="560" spans="1:81" s="549" customFormat="1" ht="12.75" customHeight="1">
      <c r="B560" s="802"/>
      <c r="C560" s="802"/>
      <c r="D560" s="802"/>
      <c r="E560" s="802"/>
      <c r="F560" s="807" t="s">
        <v>1990</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27" t="s">
        <v>1552</v>
      </c>
      <c r="G561" s="2385"/>
      <c r="H561" s="2385"/>
      <c r="I561" s="2385"/>
      <c r="J561" s="2385"/>
      <c r="K561" s="2385"/>
      <c r="L561" s="2385"/>
      <c r="M561" s="2385"/>
      <c r="N561" s="2385"/>
      <c r="O561" s="2385"/>
      <c r="P561" s="2385"/>
      <c r="Q561" s="2385"/>
      <c r="R561" s="2385"/>
      <c r="S561" s="2385"/>
      <c r="T561" s="2385"/>
      <c r="U561" s="2385"/>
      <c r="V561" s="2385"/>
      <c r="W561" s="2385"/>
      <c r="X561" s="2385"/>
      <c r="Y561" s="2385"/>
      <c r="Z561" s="2385"/>
      <c r="AA561" s="2385"/>
      <c r="AB561" s="2385"/>
      <c r="AC561" s="2385"/>
      <c r="AD561" s="2385"/>
      <c r="AE561" s="2385"/>
      <c r="AF561" s="2385"/>
      <c r="AG561" s="2385"/>
      <c r="AH561" s="2385"/>
      <c r="AI561" s="2385"/>
      <c r="AJ561" s="2385"/>
      <c r="AK561" s="2385"/>
      <c r="AL561" s="809"/>
      <c r="AM561" s="593"/>
      <c r="AN561" s="595"/>
    </row>
    <row r="562" spans="1:45" s="549" customFormat="1" ht="12.75" customHeight="1">
      <c r="B562" s="802"/>
      <c r="C562" s="802"/>
      <c r="D562" s="802"/>
      <c r="E562" s="802"/>
      <c r="F562" s="2429"/>
      <c r="G562" s="2430"/>
      <c r="H562" s="2430"/>
      <c r="I562" s="2430"/>
      <c r="J562" s="2430"/>
      <c r="K562" s="2430"/>
      <c r="L562" s="2430"/>
      <c r="M562" s="2430"/>
      <c r="N562" s="2430"/>
      <c r="O562" s="2430"/>
      <c r="P562" s="2430"/>
      <c r="Q562" s="2430"/>
      <c r="R562" s="2430"/>
      <c r="S562" s="2430"/>
      <c r="T562" s="2430"/>
      <c r="U562" s="2430"/>
      <c r="V562" s="2430"/>
      <c r="W562" s="2430"/>
      <c r="X562" s="2430"/>
      <c r="Y562" s="2430"/>
      <c r="Z562" s="2430"/>
      <c r="AA562" s="2430"/>
      <c r="AB562" s="2430"/>
      <c r="AC562" s="2430"/>
      <c r="AD562" s="2430"/>
      <c r="AE562" s="2430"/>
      <c r="AF562" s="2430"/>
      <c r="AG562" s="2430"/>
      <c r="AH562" s="2430"/>
      <c r="AI562" s="2430"/>
      <c r="AJ562" s="2430"/>
      <c r="AK562" s="2430"/>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26">
        <f>Application!AJ1001</f>
        <v>92350886</v>
      </c>
      <c r="AQ563" s="2426"/>
      <c r="AR563" s="2426"/>
      <c r="AS563" s="549" t="s">
        <v>2122</v>
      </c>
    </row>
    <row r="564" spans="1:45" s="549" customFormat="1" ht="12.75" customHeight="1">
      <c r="A564" s="498"/>
      <c r="B564" s="447" t="s">
        <v>1553</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1">
        <f>'Sources and Uses Budget'!S107+'Sources and Uses Budget'!T107</f>
        <v>66330762</v>
      </c>
      <c r="AG564" s="2431"/>
      <c r="AH564" s="2431"/>
      <c r="AI564" s="2431"/>
      <c r="AJ564" s="2431"/>
      <c r="AK564" s="593"/>
      <c r="AL564" s="593"/>
      <c r="AM564" s="593"/>
      <c r="AN564" s="595"/>
    </row>
    <row r="565" spans="1:45" s="549" customFormat="1" ht="12.75" customHeight="1">
      <c r="A565" s="623"/>
      <c r="B565" s="623" t="s">
        <v>1554</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2">
        <f>IFERROR(AP572,0)</f>
        <v>156227104.44</v>
      </c>
      <c r="AG565" s="2432"/>
      <c r="AH565" s="2432"/>
      <c r="AI565" s="2432"/>
      <c r="AJ565" s="2432"/>
      <c r="AK565" s="593"/>
      <c r="AL565" s="593"/>
      <c r="AM565" s="593"/>
      <c r="AN565" s="595"/>
      <c r="AP565" s="2426">
        <f>Application!AJ1054</f>
        <v>18470177.199999999</v>
      </c>
      <c r="AQ565" s="2426"/>
      <c r="AR565" s="2426"/>
      <c r="AS565" s="549" t="s">
        <v>1837</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3">
        <f>IFERROR(ROUNDDOWN(IF(C557="YES",((1-(AF564/AF565))*2),(1-(AF564/AF565))),2),0)</f>
        <v>1.1499999999999999</v>
      </c>
      <c r="AG566" s="2433"/>
      <c r="AH566" s="2433"/>
      <c r="AI566" s="2433"/>
      <c r="AJ566" s="2433"/>
      <c r="AK566" s="593"/>
      <c r="AL566" s="593"/>
      <c r="AM566" s="593"/>
      <c r="AN566" s="595"/>
      <c r="AP566" s="2424">
        <f>Application!AJ1058</f>
        <v>31399301.240000002</v>
      </c>
      <c r="AQ566" s="2424"/>
      <c r="AR566" s="2424"/>
      <c r="AS566" s="549" t="s">
        <v>2123</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54">
        <f>IF(((AP565+AP566)/AP563)&gt;0.8,0.8,((AP565+AP566)/AP563))</f>
        <v>0.53999999999999992</v>
      </c>
      <c r="AQ567" s="2454"/>
      <c r="AR567" s="2454"/>
      <c r="AS567" s="549" t="s">
        <v>2124</v>
      </c>
    </row>
    <row r="568" spans="1:45" s="549" customFormat="1" ht="12.75" customHeight="1">
      <c r="A568" s="622"/>
      <c r="B568" s="2504" t="s">
        <v>1991</v>
      </c>
      <c r="C568" s="2505"/>
      <c r="D568" s="2505"/>
      <c r="E568" s="2505"/>
      <c r="F568" s="2505"/>
      <c r="G568" s="2505"/>
      <c r="H568" s="2505"/>
      <c r="I568" s="2505"/>
      <c r="J568" s="2505"/>
      <c r="K568" s="2505"/>
      <c r="L568" s="2505"/>
      <c r="M568" s="2505"/>
      <c r="N568" s="2505"/>
      <c r="O568" s="2505"/>
      <c r="P568" s="2505"/>
      <c r="Q568" s="2505"/>
      <c r="R568" s="2505"/>
      <c r="S568" s="2505"/>
      <c r="T568" s="2505"/>
      <c r="U568" s="2505"/>
      <c r="V568" s="2505"/>
      <c r="W568" s="2505"/>
      <c r="X568" s="2505"/>
      <c r="Y568" s="2505"/>
      <c r="Z568" s="2505"/>
      <c r="AA568" s="2505"/>
      <c r="AB568" s="2505"/>
      <c r="AC568" s="2505"/>
      <c r="AD568" s="2505"/>
      <c r="AE568" s="2505"/>
      <c r="AF568" s="2505"/>
      <c r="AG568" s="2505"/>
      <c r="AH568" s="2505"/>
      <c r="AI568" s="2505"/>
      <c r="AJ568" s="2506"/>
      <c r="AK568" s="593"/>
      <c r="AL568" s="593"/>
      <c r="AM568" s="593"/>
      <c r="AN568" s="595"/>
    </row>
    <row r="569" spans="1:45" s="549" customFormat="1" ht="12.75" customHeight="1">
      <c r="A569" s="622"/>
      <c r="B569" s="2507"/>
      <c r="C569" s="2508"/>
      <c r="D569" s="2508"/>
      <c r="E569" s="2508"/>
      <c r="F569" s="2508"/>
      <c r="G569" s="2508"/>
      <c r="H569" s="2508"/>
      <c r="I569" s="2508"/>
      <c r="J569" s="2508"/>
      <c r="K569" s="2508"/>
      <c r="L569" s="2508"/>
      <c r="M569" s="2508"/>
      <c r="N569" s="2508"/>
      <c r="O569" s="2508"/>
      <c r="P569" s="2508"/>
      <c r="Q569" s="2508"/>
      <c r="R569" s="2508"/>
      <c r="S569" s="2508"/>
      <c r="T569" s="2508"/>
      <c r="U569" s="2508"/>
      <c r="V569" s="2508"/>
      <c r="W569" s="2508"/>
      <c r="X569" s="2508"/>
      <c r="Y569" s="2508"/>
      <c r="Z569" s="2508"/>
      <c r="AA569" s="2508"/>
      <c r="AB569" s="2508"/>
      <c r="AC569" s="2508"/>
      <c r="AD569" s="2508"/>
      <c r="AE569" s="2508"/>
      <c r="AF569" s="2508"/>
      <c r="AG569" s="2508"/>
      <c r="AH569" s="2508"/>
      <c r="AI569" s="2508"/>
      <c r="AJ569" s="2509"/>
      <c r="AK569" s="593"/>
      <c r="AL569" s="593"/>
      <c r="AM569" s="593"/>
      <c r="AN569" s="595"/>
      <c r="AP569" s="2426">
        <f>AP570-AP565-AP566</f>
        <v>106357626</v>
      </c>
      <c r="AQ569" s="2455"/>
      <c r="AR569" s="2455"/>
      <c r="AS569" s="549" t="s">
        <v>2126</v>
      </c>
    </row>
    <row r="570" spans="1:45" s="549" customFormat="1" ht="12.75" customHeight="1">
      <c r="A570" s="622"/>
      <c r="B570" s="2510"/>
      <c r="C570" s="2511"/>
      <c r="D570" s="2511"/>
      <c r="E570" s="2511"/>
      <c r="F570" s="2511"/>
      <c r="G570" s="2511"/>
      <c r="H570" s="2511"/>
      <c r="I570" s="2511"/>
      <c r="J570" s="2511"/>
      <c r="K570" s="2511"/>
      <c r="L570" s="2511"/>
      <c r="M570" s="2511"/>
      <c r="N570" s="2511"/>
      <c r="O570" s="2511"/>
      <c r="P570" s="2511"/>
      <c r="Q570" s="2511"/>
      <c r="R570" s="2511"/>
      <c r="S570" s="2511"/>
      <c r="T570" s="2511"/>
      <c r="U570" s="2511"/>
      <c r="V570" s="2511"/>
      <c r="W570" s="2511"/>
      <c r="X570" s="2511"/>
      <c r="Y570" s="2511"/>
      <c r="Z570" s="2511"/>
      <c r="AA570" s="2511"/>
      <c r="AB570" s="2511"/>
      <c r="AC570" s="2511"/>
      <c r="AD570" s="2511"/>
      <c r="AE570" s="2511"/>
      <c r="AF570" s="2511"/>
      <c r="AG570" s="2511"/>
      <c r="AH570" s="2511"/>
      <c r="AI570" s="2511"/>
      <c r="AJ570" s="2512"/>
      <c r="AK570" s="593"/>
      <c r="AL570" s="593"/>
      <c r="AM570" s="593"/>
      <c r="AN570" s="595"/>
      <c r="AP570" s="2426">
        <f>Application!AJ1062</f>
        <v>156227104.44</v>
      </c>
      <c r="AQ570" s="2426"/>
      <c r="AR570" s="2426"/>
      <c r="AS570" s="549" t="s">
        <v>2125</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1555</v>
      </c>
      <c r="AK572" s="2513">
        <f>IFERROR(IF(AND(C554="N/A",C557="N/A"),0,IF(AF566=0,0,IF((AF566*100)&gt;12,12,(AF566*100)))),0)</f>
        <v>12</v>
      </c>
      <c r="AL572" s="2513"/>
      <c r="AM572" s="2514"/>
      <c r="AN572" s="595"/>
      <c r="AP572" s="2415">
        <f>AP569+(AP563*AP567)</f>
        <v>156227104.44</v>
      </c>
      <c r="AQ572" s="2416"/>
      <c r="AR572" s="2417"/>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1547</v>
      </c>
      <c r="B575" s="539" t="s">
        <v>2569</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45" t="s">
        <v>1306</v>
      </c>
      <c r="AF575" s="2445"/>
      <c r="AG575" s="2445"/>
      <c r="AH575" s="2445"/>
      <c r="AI575" s="2445"/>
      <c r="AJ575" s="2445"/>
      <c r="AK575" s="2445"/>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85" t="s">
        <v>1983</v>
      </c>
      <c r="C577" s="2385"/>
      <c r="D577" s="2385"/>
      <c r="E577" s="2385"/>
      <c r="F577" s="2385"/>
      <c r="G577" s="2385"/>
      <c r="H577" s="2385"/>
      <c r="I577" s="2385"/>
      <c r="J577" s="2385"/>
      <c r="K577" s="2385"/>
      <c r="L577" s="2385"/>
      <c r="M577" s="2385"/>
      <c r="N577" s="2385"/>
      <c r="O577" s="2385"/>
      <c r="P577" s="2385"/>
      <c r="Q577" s="2385"/>
      <c r="R577" s="2385"/>
      <c r="S577" s="2385"/>
      <c r="T577" s="2385"/>
      <c r="U577" s="2385"/>
      <c r="V577" s="2385"/>
      <c r="W577" s="2385"/>
      <c r="X577" s="2385"/>
      <c r="Y577" s="2385"/>
      <c r="Z577" s="2385"/>
      <c r="AA577" s="2385"/>
      <c r="AB577" s="2385"/>
      <c r="AC577" s="2385"/>
      <c r="AD577" s="2385"/>
      <c r="AE577" s="2385"/>
      <c r="AF577" s="2385"/>
      <c r="AG577" s="2385"/>
      <c r="AH577" s="2385"/>
      <c r="AI577" s="2385"/>
      <c r="AJ577" s="2385"/>
      <c r="AK577" s="640"/>
      <c r="AL577" s="571"/>
      <c r="AM577" s="601"/>
      <c r="AN577" s="595"/>
    </row>
    <row r="578" spans="1:42" s="549" customFormat="1" ht="12.75" customHeight="1">
      <c r="A578" s="601"/>
      <c r="B578" s="2385"/>
      <c r="C578" s="2385"/>
      <c r="D578" s="2385"/>
      <c r="E578" s="2385"/>
      <c r="F578" s="2385"/>
      <c r="G578" s="2385"/>
      <c r="H578" s="2385"/>
      <c r="I578" s="2385"/>
      <c r="J578" s="2385"/>
      <c r="K578" s="2385"/>
      <c r="L578" s="2385"/>
      <c r="M578" s="2385"/>
      <c r="N578" s="2385"/>
      <c r="O578" s="2385"/>
      <c r="P578" s="2385"/>
      <c r="Q578" s="2385"/>
      <c r="R578" s="2385"/>
      <c r="S578" s="2385"/>
      <c r="T578" s="2385"/>
      <c r="U578" s="2385"/>
      <c r="V578" s="2385"/>
      <c r="W578" s="2385"/>
      <c r="X578" s="2385"/>
      <c r="Y578" s="2385"/>
      <c r="Z578" s="2385"/>
      <c r="AA578" s="2385"/>
      <c r="AB578" s="2385"/>
      <c r="AC578" s="2385"/>
      <c r="AD578" s="2385"/>
      <c r="AE578" s="2385"/>
      <c r="AF578" s="2385"/>
      <c r="AG578" s="2385"/>
      <c r="AH578" s="2385"/>
      <c r="AI578" s="2385"/>
      <c r="AJ578" s="2385"/>
      <c r="AK578" s="640"/>
      <c r="AL578" s="571"/>
      <c r="AM578" s="601"/>
      <c r="AN578" s="595"/>
    </row>
    <row r="579" spans="1:42" s="549" customFormat="1" ht="12.75" customHeight="1">
      <c r="A579" s="601"/>
      <c r="B579" s="2385"/>
      <c r="C579" s="2385"/>
      <c r="D579" s="2385"/>
      <c r="E579" s="2385"/>
      <c r="F579" s="2385"/>
      <c r="G579" s="2385"/>
      <c r="H579" s="2385"/>
      <c r="I579" s="2385"/>
      <c r="J579" s="2385"/>
      <c r="K579" s="2385"/>
      <c r="L579" s="2385"/>
      <c r="M579" s="2385"/>
      <c r="N579" s="2385"/>
      <c r="O579" s="2385"/>
      <c r="P579" s="2385"/>
      <c r="Q579" s="2385"/>
      <c r="R579" s="2385"/>
      <c r="S579" s="2385"/>
      <c r="T579" s="2385"/>
      <c r="U579" s="2385"/>
      <c r="V579" s="2385"/>
      <c r="W579" s="2385"/>
      <c r="X579" s="2385"/>
      <c r="Y579" s="2385"/>
      <c r="Z579" s="2385"/>
      <c r="AA579" s="2385"/>
      <c r="AB579" s="2385"/>
      <c r="AC579" s="2385"/>
      <c r="AD579" s="2385"/>
      <c r="AE579" s="2385"/>
      <c r="AF579" s="2385"/>
      <c r="AG579" s="2385"/>
      <c r="AH579" s="2385"/>
      <c r="AI579" s="2385"/>
      <c r="AJ579" s="2385"/>
      <c r="AK579" s="640"/>
      <c r="AL579" s="571"/>
      <c r="AM579" s="601"/>
      <c r="AN579" s="595"/>
    </row>
    <row r="580" spans="1:42" s="549" customFormat="1" ht="12.75" customHeight="1">
      <c r="A580" s="601"/>
      <c r="B580" s="2385"/>
      <c r="C580" s="2385"/>
      <c r="D580" s="2385"/>
      <c r="E580" s="2385"/>
      <c r="F580" s="2385"/>
      <c r="G580" s="2385"/>
      <c r="H580" s="2385"/>
      <c r="I580" s="2385"/>
      <c r="J580" s="2385"/>
      <c r="K580" s="2385"/>
      <c r="L580" s="2385"/>
      <c r="M580" s="2385"/>
      <c r="N580" s="2385"/>
      <c r="O580" s="2385"/>
      <c r="P580" s="2385"/>
      <c r="Q580" s="2385"/>
      <c r="R580" s="2385"/>
      <c r="S580" s="2385"/>
      <c r="T580" s="2385"/>
      <c r="U580" s="2385"/>
      <c r="V580" s="2385"/>
      <c r="W580" s="2385"/>
      <c r="X580" s="2385"/>
      <c r="Y580" s="2385"/>
      <c r="Z580" s="2385"/>
      <c r="AA580" s="2385"/>
      <c r="AB580" s="2385"/>
      <c r="AC580" s="2385"/>
      <c r="AD580" s="2385"/>
      <c r="AE580" s="2385"/>
      <c r="AF580" s="2385"/>
      <c r="AG580" s="2385"/>
      <c r="AH580" s="2385"/>
      <c r="AI580" s="2385"/>
      <c r="AJ580" s="2385"/>
      <c r="AK580" s="640"/>
      <c r="AL580" s="571"/>
      <c r="AM580" s="601"/>
      <c r="AN580" s="595"/>
    </row>
    <row r="581" spans="1:42" s="549" customFormat="1" ht="12.75" customHeight="1">
      <c r="A581" s="601"/>
      <c r="B581" s="2385"/>
      <c r="C581" s="2385"/>
      <c r="D581" s="2385"/>
      <c r="E581" s="2385"/>
      <c r="F581" s="2385"/>
      <c r="G581" s="2385"/>
      <c r="H581" s="2385"/>
      <c r="I581" s="2385"/>
      <c r="J581" s="2385"/>
      <c r="K581" s="2385"/>
      <c r="L581" s="2385"/>
      <c r="M581" s="2385"/>
      <c r="N581" s="2385"/>
      <c r="O581" s="2385"/>
      <c r="P581" s="2385"/>
      <c r="Q581" s="2385"/>
      <c r="R581" s="2385"/>
      <c r="S581" s="2385"/>
      <c r="T581" s="2385"/>
      <c r="U581" s="2385"/>
      <c r="V581" s="2385"/>
      <c r="W581" s="2385"/>
      <c r="X581" s="2385"/>
      <c r="Y581" s="2385"/>
      <c r="Z581" s="2385"/>
      <c r="AA581" s="2385"/>
      <c r="AB581" s="2385"/>
      <c r="AC581" s="2385"/>
      <c r="AD581" s="2385"/>
      <c r="AE581" s="2385"/>
      <c r="AF581" s="2385"/>
      <c r="AG581" s="2385"/>
      <c r="AH581" s="2385"/>
      <c r="AI581" s="2385"/>
      <c r="AJ581" s="2385"/>
      <c r="AK581" s="640"/>
      <c r="AL581" s="571"/>
      <c r="AM581" s="601"/>
      <c r="AN581" s="595"/>
    </row>
    <row r="582" spans="1:42" s="549" customFormat="1" ht="12.75" customHeight="1">
      <c r="A582" s="601"/>
      <c r="B582" s="2385"/>
      <c r="C582" s="2385"/>
      <c r="D582" s="2385"/>
      <c r="E582" s="2385"/>
      <c r="F582" s="2385"/>
      <c r="G582" s="2385"/>
      <c r="H582" s="2385"/>
      <c r="I582" s="2385"/>
      <c r="J582" s="2385"/>
      <c r="K582" s="2385"/>
      <c r="L582" s="2385"/>
      <c r="M582" s="2385"/>
      <c r="N582" s="2385"/>
      <c r="O582" s="2385"/>
      <c r="P582" s="2385"/>
      <c r="Q582" s="2385"/>
      <c r="R582" s="2385"/>
      <c r="S582" s="2385"/>
      <c r="T582" s="2385"/>
      <c r="U582" s="2385"/>
      <c r="V582" s="2385"/>
      <c r="W582" s="2385"/>
      <c r="X582" s="2385"/>
      <c r="Y582" s="2385"/>
      <c r="Z582" s="2385"/>
      <c r="AA582" s="2385"/>
      <c r="AB582" s="2385"/>
      <c r="AC582" s="2385"/>
      <c r="AD582" s="2385"/>
      <c r="AE582" s="2385"/>
      <c r="AF582" s="2385"/>
      <c r="AG582" s="2385"/>
      <c r="AH582" s="2385"/>
      <c r="AI582" s="2385"/>
      <c r="AJ582" s="2385"/>
      <c r="AK582" s="640"/>
      <c r="AL582" s="571"/>
      <c r="AM582" s="601"/>
      <c r="AN582" s="595"/>
    </row>
    <row r="583" spans="1:42" s="549" customFormat="1" ht="12.75" customHeight="1">
      <c r="A583" s="601"/>
      <c r="B583" s="2385"/>
      <c r="C583" s="2385"/>
      <c r="D583" s="2385"/>
      <c r="E583" s="2385"/>
      <c r="F583" s="2385"/>
      <c r="G583" s="2385"/>
      <c r="H583" s="2385"/>
      <c r="I583" s="2385"/>
      <c r="J583" s="2385"/>
      <c r="K583" s="2385"/>
      <c r="L583" s="2385"/>
      <c r="M583" s="2385"/>
      <c r="N583" s="2385"/>
      <c r="O583" s="2385"/>
      <c r="P583" s="2385"/>
      <c r="Q583" s="2385"/>
      <c r="R583" s="2385"/>
      <c r="S583" s="2385"/>
      <c r="T583" s="2385"/>
      <c r="U583" s="2385"/>
      <c r="V583" s="2385"/>
      <c r="W583" s="2385"/>
      <c r="X583" s="2385"/>
      <c r="Y583" s="2385"/>
      <c r="Z583" s="2385"/>
      <c r="AA583" s="2385"/>
      <c r="AB583" s="2385"/>
      <c r="AC583" s="2385"/>
      <c r="AD583" s="2385"/>
      <c r="AE583" s="2385"/>
      <c r="AF583" s="2385"/>
      <c r="AG583" s="2385"/>
      <c r="AH583" s="2385"/>
      <c r="AI583" s="2385"/>
      <c r="AJ583" s="2385"/>
      <c r="AK583" s="640"/>
      <c r="AL583" s="571"/>
      <c r="AM583" s="601"/>
      <c r="AN583" s="595"/>
    </row>
    <row r="584" spans="1:42" ht="12.75" customHeight="1">
      <c r="A584" s="601"/>
      <c r="B584" s="2385"/>
      <c r="C584" s="2385"/>
      <c r="D584" s="2385"/>
      <c r="E584" s="2385"/>
      <c r="F584" s="2385"/>
      <c r="G584" s="2385"/>
      <c r="H584" s="2385"/>
      <c r="I584" s="2385"/>
      <c r="J584" s="2385"/>
      <c r="K584" s="2385"/>
      <c r="L584" s="2385"/>
      <c r="M584" s="2385"/>
      <c r="N584" s="2385"/>
      <c r="O584" s="2385"/>
      <c r="P584" s="2385"/>
      <c r="Q584" s="2385"/>
      <c r="R584" s="2385"/>
      <c r="S584" s="2385"/>
      <c r="T584" s="2385"/>
      <c r="U584" s="2385"/>
      <c r="V584" s="2385"/>
      <c r="W584" s="2385"/>
      <c r="X584" s="2385"/>
      <c r="Y584" s="2385"/>
      <c r="Z584" s="2385"/>
      <c r="AA584" s="2385"/>
      <c r="AB584" s="2385"/>
      <c r="AC584" s="2385"/>
      <c r="AD584" s="2385"/>
      <c r="AE584" s="2385"/>
      <c r="AF584" s="2385"/>
      <c r="AG584" s="2385"/>
      <c r="AH584" s="2385"/>
      <c r="AI584" s="2385"/>
      <c r="AJ584" s="2385"/>
      <c r="AK584" s="640"/>
      <c r="AL584" s="571"/>
      <c r="AM584" s="601"/>
    </row>
    <row r="585" spans="1:42" s="549" customFormat="1" ht="12.75" customHeight="1">
      <c r="B585" s="2385"/>
      <c r="C585" s="2385"/>
      <c r="D585" s="2385"/>
      <c r="E585" s="2385"/>
      <c r="F585" s="2385"/>
      <c r="G585" s="2385"/>
      <c r="H585" s="2385"/>
      <c r="I585" s="2385"/>
      <c r="J585" s="2385"/>
      <c r="K585" s="2385"/>
      <c r="L585" s="2385"/>
      <c r="M585" s="2385"/>
      <c r="N585" s="2385"/>
      <c r="O585" s="2385"/>
      <c r="P585" s="2385"/>
      <c r="Q585" s="2385"/>
      <c r="R585" s="2385"/>
      <c r="S585" s="2385"/>
      <c r="T585" s="2385"/>
      <c r="U585" s="2385"/>
      <c r="V585" s="2385"/>
      <c r="W585" s="2385"/>
      <c r="X585" s="2385"/>
      <c r="Y585" s="2385"/>
      <c r="Z585" s="2385"/>
      <c r="AA585" s="2385"/>
      <c r="AB585" s="2385"/>
      <c r="AC585" s="2385"/>
      <c r="AD585" s="2385"/>
      <c r="AE585" s="2385"/>
      <c r="AF585" s="2385"/>
      <c r="AG585" s="2385"/>
      <c r="AH585" s="2385"/>
      <c r="AI585" s="2385"/>
      <c r="AJ585" s="2385"/>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1384</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1385</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686</v>
      </c>
      <c r="E591" s="834" t="s">
        <v>1685</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86" t="s">
        <v>1330</v>
      </c>
      <c r="AG591" s="2386"/>
      <c r="AH591" s="2386"/>
      <c r="AI591" s="2386"/>
      <c r="AJ591" s="2386"/>
      <c r="AK591" s="2386"/>
      <c r="AL591" s="2386"/>
      <c r="AN591" s="595"/>
    </row>
    <row r="592" spans="1:42" s="549" customFormat="1" ht="12.75" customHeight="1">
      <c r="B592" s="536"/>
      <c r="C592" s="614"/>
      <c r="D592" s="659"/>
      <c r="E592" s="834" t="s">
        <v>1686</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1687</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1688</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1689</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2127</v>
      </c>
      <c r="AP595" s="549" t="b">
        <f>IF(Application!AF427&gt;=25,TRUE,FALSE)</f>
        <v>1</v>
      </c>
    </row>
    <row r="596" spans="1:42" s="549" customFormat="1" ht="12.75" customHeight="1">
      <c r="B596" s="536"/>
      <c r="C596" s="614"/>
      <c r="D596" s="659"/>
      <c r="E596" s="834" t="s">
        <v>1690</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2128</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1691</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86" t="s">
        <v>1386</v>
      </c>
      <c r="AG598" s="2386"/>
      <c r="AH598" s="2386"/>
      <c r="AI598" s="2386"/>
      <c r="AJ598" s="2386"/>
      <c r="AK598" s="2386"/>
      <c r="AL598" s="2386"/>
      <c r="AN598" s="595"/>
    </row>
    <row r="599" spans="1:42" s="549" customFormat="1" ht="12.75" customHeight="1">
      <c r="B599" s="536"/>
      <c r="C599" s="929"/>
      <c r="D599" s="659"/>
      <c r="E599" s="834" t="s">
        <v>1692</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1693</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686</v>
      </c>
      <c r="AP600" s="549">
        <f>7*AP595</f>
        <v>7</v>
      </c>
    </row>
    <row r="601" spans="1:42" s="549" customFormat="1" ht="12.75" customHeight="1">
      <c r="B601" s="608"/>
      <c r="C601" s="927"/>
      <c r="D601" s="659"/>
      <c r="E601" s="834" t="s">
        <v>1695</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1694</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277</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1387</v>
      </c>
      <c r="AP603" s="549">
        <v>4</v>
      </c>
    </row>
    <row r="604" spans="1:42" s="549" customFormat="1" ht="12.75" customHeight="1">
      <c r="B604" s="536"/>
      <c r="C604" s="927"/>
      <c r="D604" s="659" t="s">
        <v>277</v>
      </c>
      <c r="E604" s="834" t="s">
        <v>1696</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86" t="s">
        <v>1369</v>
      </c>
      <c r="AG604" s="2386"/>
      <c r="AH604" s="2386"/>
      <c r="AI604" s="2386"/>
      <c r="AJ604" s="2386"/>
      <c r="AK604" s="2386"/>
      <c r="AL604" s="2386"/>
      <c r="AN604" s="595"/>
      <c r="AO604" s="609" t="s">
        <v>1388</v>
      </c>
      <c r="AP604" s="549">
        <v>3</v>
      </c>
    </row>
    <row r="605" spans="1:42" s="549" customFormat="1" ht="12.75" customHeight="1">
      <c r="B605" s="536"/>
      <c r="C605" s="929"/>
      <c r="D605" s="659"/>
      <c r="E605" s="834" t="s">
        <v>1692</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1693</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2130</v>
      </c>
    </row>
    <row r="607" spans="1:42" s="549" customFormat="1" ht="12.75" customHeight="1">
      <c r="B607" s="536"/>
      <c r="C607" s="929"/>
      <c r="D607" s="659"/>
      <c r="E607" s="834" t="s">
        <v>1695</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2131</v>
      </c>
    </row>
    <row r="608" spans="1:42" s="549" customFormat="1" ht="12.75" customHeight="1">
      <c r="B608" s="536"/>
      <c r="C608" s="929"/>
      <c r="D608" s="659"/>
      <c r="E608" s="834" t="s">
        <v>1694</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2132</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1387</v>
      </c>
      <c r="E610" s="834" t="s">
        <v>1697</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86" t="s">
        <v>1389</v>
      </c>
      <c r="AG610" s="2386"/>
      <c r="AH610" s="2386"/>
      <c r="AI610" s="2386"/>
      <c r="AJ610" s="2386"/>
      <c r="AK610" s="2386"/>
      <c r="AL610" s="2386"/>
      <c r="AN610" s="595"/>
      <c r="AO610" s="549" t="str">
        <f>X647</f>
        <v>N/A</v>
      </c>
    </row>
    <row r="611" spans="1:53" s="549" customFormat="1" ht="12.75" customHeight="1">
      <c r="B611" s="536"/>
      <c r="C611" s="929"/>
      <c r="D611" s="659"/>
      <c r="E611" s="834" t="s">
        <v>1698</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1699</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2133</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2134</v>
      </c>
    </row>
    <row r="614" spans="1:53" s="549" customFormat="1" ht="12.75" customHeight="1">
      <c r="B614" s="608"/>
      <c r="C614" s="927"/>
      <c r="D614" s="659"/>
      <c r="E614" s="536" t="s">
        <v>1838</v>
      </c>
      <c r="O614" s="2531" t="s">
        <v>1182</v>
      </c>
      <c r="P614" s="2531"/>
      <c r="Q614" s="2531"/>
      <c r="R614" s="2531"/>
      <c r="S614" s="2531"/>
      <c r="T614" s="2531"/>
      <c r="U614" s="2531"/>
      <c r="V614" s="2531"/>
      <c r="W614" s="2531"/>
      <c r="X614" s="2531"/>
      <c r="Y614" s="2531"/>
      <c r="Z614" s="2531"/>
      <c r="AA614" s="2531"/>
      <c r="AB614" s="2531"/>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1388</v>
      </c>
      <c r="E616" s="834" t="s">
        <v>1701</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86" t="s">
        <v>1344</v>
      </c>
      <c r="AG616" s="2386"/>
      <c r="AH616" s="2386"/>
      <c r="AI616" s="2386"/>
      <c r="AJ616" s="2386"/>
      <c r="AK616" s="2386"/>
      <c r="AL616" s="2386"/>
      <c r="AN616" s="595"/>
    </row>
    <row r="617" spans="1:53" s="549" customFormat="1" ht="12.75" customHeight="1">
      <c r="B617" s="536"/>
      <c r="C617" s="927"/>
      <c r="D617" s="659"/>
      <c r="E617" s="834" t="s">
        <v>1700</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1390</v>
      </c>
      <c r="E619" s="932"/>
      <c r="F619" s="932"/>
      <c r="G619" s="932"/>
      <c r="H619" s="2387" t="s">
        <v>686</v>
      </c>
      <c r="I619" s="2387"/>
      <c r="J619" s="932"/>
      <c r="K619" s="932"/>
      <c r="L619" s="932"/>
      <c r="N619" s="22"/>
      <c r="O619" s="22"/>
      <c r="P619" s="22"/>
      <c r="Q619" s="1145" t="s">
        <v>2129</v>
      </c>
      <c r="R619" s="2532"/>
      <c r="S619" s="2532"/>
      <c r="T619" s="2532"/>
      <c r="U619" s="2532"/>
      <c r="V619" s="2532"/>
      <c r="W619" s="2532"/>
      <c r="X619" s="536"/>
      <c r="Y619" s="536"/>
      <c r="Z619" s="536"/>
      <c r="AA619" s="536"/>
      <c r="AB619" s="536"/>
      <c r="AC619" s="536"/>
      <c r="AD619" s="536"/>
      <c r="AE619" s="536"/>
      <c r="AF619" s="536"/>
      <c r="AG619" s="536"/>
      <c r="AH619" s="536"/>
      <c r="AI619" s="536"/>
      <c r="AJ619" s="536"/>
      <c r="AK619" s="536"/>
      <c r="AL619" s="536"/>
      <c r="AN619" s="595"/>
      <c r="AO619" s="609" t="s">
        <v>686</v>
      </c>
      <c r="AP619" s="549">
        <v>3</v>
      </c>
      <c r="AT619" s="609" t="s">
        <v>686</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3" t="str">
        <f>IF(AND(H619="(i)",NOT(AP595)),AO612,IF(AND(H619="(iv)",OR(R619=AO608,R619=AO607),NOT(AP596)),AO613,""))</f>
        <v/>
      </c>
      <c r="Z620" s="2533"/>
      <c r="AA620" s="2533"/>
      <c r="AB620" s="2533"/>
      <c r="AC620" s="2533"/>
      <c r="AD620" s="2533"/>
      <c r="AE620" s="2533"/>
      <c r="AF620" s="2533"/>
      <c r="AG620" s="2533"/>
      <c r="AH620" s="2533"/>
      <c r="AI620" s="2533"/>
      <c r="AJ620" s="2533"/>
      <c r="AK620" s="2533"/>
      <c r="AL620" s="2533"/>
      <c r="AM620" s="2534"/>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3"/>
      <c r="Z621" s="2533"/>
      <c r="AA621" s="2533"/>
      <c r="AB621" s="2533"/>
      <c r="AC621" s="2533"/>
      <c r="AD621" s="2533"/>
      <c r="AE621" s="2533"/>
      <c r="AF621" s="2533"/>
      <c r="AG621" s="2533"/>
      <c r="AH621" s="2533"/>
      <c r="AI621" s="2533"/>
      <c r="AJ621" s="2533"/>
      <c r="AK621" s="2533"/>
      <c r="AL621" s="2533"/>
      <c r="AM621" s="2534"/>
      <c r="AN621" s="595"/>
      <c r="AO621" s="609"/>
      <c r="AT621" s="609"/>
    </row>
    <row r="622" spans="1:53" s="549" customFormat="1" ht="12.75" customHeight="1">
      <c r="B622" s="536"/>
      <c r="C622" s="929"/>
      <c r="D622" s="536" t="s">
        <v>1702</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1703</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1704</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1705</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1390</v>
      </c>
      <c r="F627" s="932"/>
      <c r="G627" s="932"/>
      <c r="I627" s="2530" t="s">
        <v>590</v>
      </c>
      <c r="J627" s="2530"/>
      <c r="K627" s="2530"/>
      <c r="L627" s="2530"/>
      <c r="M627" s="2530"/>
      <c r="N627" s="2530"/>
      <c r="O627" s="2530"/>
      <c r="P627" s="2530"/>
      <c r="Q627" s="2530"/>
      <c r="R627" s="2530"/>
      <c r="S627" s="2530"/>
      <c r="T627" s="2530"/>
      <c r="U627" s="2530"/>
      <c r="V627" s="2530"/>
      <c r="W627" s="2530"/>
      <c r="X627" s="2530"/>
      <c r="Y627" s="2530"/>
      <c r="Z627" s="2530"/>
      <c r="AA627" s="2530"/>
      <c r="AB627" s="2530"/>
      <c r="AC627" s="2530"/>
      <c r="AD627" s="2530"/>
      <c r="AE627" s="2530"/>
      <c r="AF627" s="536"/>
      <c r="AG627" s="536"/>
      <c r="AH627" s="536"/>
      <c r="AI627" s="536"/>
      <c r="AJ627" s="536"/>
      <c r="AK627" s="536"/>
      <c r="AL627" s="536"/>
      <c r="AN627" s="595"/>
      <c r="AO627" s="549" t="s">
        <v>1391</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1392</v>
      </c>
      <c r="AP628" s="549">
        <v>2</v>
      </c>
    </row>
    <row r="629" spans="1:42" s="549" customFormat="1" ht="12.75" customHeight="1">
      <c r="B629" s="2393" t="s">
        <v>590</v>
      </c>
      <c r="C629" s="2393"/>
      <c r="D629" s="640"/>
      <c r="E629" s="2385" t="s">
        <v>1393</v>
      </c>
      <c r="F629" s="2385"/>
      <c r="G629" s="2385"/>
      <c r="H629" s="2385"/>
      <c r="I629" s="2385"/>
      <c r="J629" s="2385"/>
      <c r="K629" s="2385"/>
      <c r="L629" s="2385"/>
      <c r="M629" s="2385"/>
      <c r="N629" s="2385"/>
      <c r="O629" s="2385"/>
      <c r="P629" s="2385"/>
      <c r="Q629" s="2385"/>
      <c r="R629" s="2385"/>
      <c r="S629" s="2385"/>
      <c r="T629" s="2385"/>
      <c r="U629" s="2385"/>
      <c r="V629" s="2385"/>
      <c r="W629" s="2385"/>
      <c r="X629" s="2385"/>
      <c r="Y629" s="2385"/>
      <c r="Z629" s="2385"/>
      <c r="AA629" s="2385"/>
      <c r="AB629" s="2385"/>
      <c r="AC629" s="2385"/>
      <c r="AD629" s="2385"/>
      <c r="AE629" s="2385"/>
      <c r="AF629" s="2385"/>
      <c r="AG629" s="2385"/>
      <c r="AH629" s="640"/>
      <c r="AI629" s="640"/>
      <c r="AJ629" s="640"/>
      <c r="AK629" s="640"/>
      <c r="AL629" s="640"/>
      <c r="AN629" s="595"/>
    </row>
    <row r="630" spans="1:42" s="549" customFormat="1" ht="12.75" customHeight="1">
      <c r="B630" s="536"/>
      <c r="C630" s="929"/>
      <c r="D630" s="640"/>
      <c r="E630" s="2385"/>
      <c r="F630" s="2385"/>
      <c r="G630" s="2385"/>
      <c r="H630" s="2385"/>
      <c r="I630" s="2385"/>
      <c r="J630" s="2385"/>
      <c r="K630" s="2385"/>
      <c r="L630" s="2385"/>
      <c r="M630" s="2385"/>
      <c r="N630" s="2385"/>
      <c r="O630" s="2385"/>
      <c r="P630" s="2385"/>
      <c r="Q630" s="2385"/>
      <c r="R630" s="2385"/>
      <c r="S630" s="2385"/>
      <c r="T630" s="2385"/>
      <c r="U630" s="2385"/>
      <c r="V630" s="2385"/>
      <c r="W630" s="2385"/>
      <c r="X630" s="2385"/>
      <c r="Y630" s="2385"/>
      <c r="Z630" s="2385"/>
      <c r="AA630" s="2385"/>
      <c r="AB630" s="2385"/>
      <c r="AC630" s="2385"/>
      <c r="AD630" s="2385"/>
      <c r="AE630" s="2385"/>
      <c r="AF630" s="2385"/>
      <c r="AG630" s="2385"/>
      <c r="AH630" s="640"/>
      <c r="AI630" s="640"/>
      <c r="AJ630" s="640"/>
      <c r="AK630" s="640"/>
      <c r="AL630" s="640"/>
      <c r="AN630" s="595"/>
    </row>
    <row r="631" spans="1:42" s="549" customFormat="1" ht="12.75" customHeight="1">
      <c r="B631" s="536"/>
      <c r="C631" s="929"/>
      <c r="D631" s="640"/>
      <c r="E631" s="2385"/>
      <c r="F631" s="2385"/>
      <c r="G631" s="2385"/>
      <c r="H631" s="2385"/>
      <c r="I631" s="2385"/>
      <c r="J631" s="2385"/>
      <c r="K631" s="2385"/>
      <c r="L631" s="2385"/>
      <c r="M631" s="2385"/>
      <c r="N631" s="2385"/>
      <c r="O631" s="2385"/>
      <c r="P631" s="2385"/>
      <c r="Q631" s="2385"/>
      <c r="R631" s="2385"/>
      <c r="S631" s="2385"/>
      <c r="T631" s="2385"/>
      <c r="U631" s="2385"/>
      <c r="V631" s="2385"/>
      <c r="W631" s="2385"/>
      <c r="X631" s="2385"/>
      <c r="Y631" s="2385"/>
      <c r="Z631" s="2385"/>
      <c r="AA631" s="2385"/>
      <c r="AB631" s="2385"/>
      <c r="AC631" s="2385"/>
      <c r="AD631" s="2385"/>
      <c r="AE631" s="2385"/>
      <c r="AF631" s="2385"/>
      <c r="AG631" s="2385"/>
      <c r="AH631" s="640"/>
      <c r="AI631" s="640"/>
      <c r="AJ631" s="640"/>
      <c r="AK631" s="640"/>
      <c r="AL631" s="640"/>
      <c r="AN631" s="595"/>
    </row>
    <row r="632" spans="1:42" s="549" customFormat="1" ht="12.75" customHeight="1">
      <c r="B632" s="536"/>
      <c r="C632" s="929"/>
      <c r="D632" s="640"/>
      <c r="E632" s="2385"/>
      <c r="F632" s="2385"/>
      <c r="G632" s="2385"/>
      <c r="H632" s="2385"/>
      <c r="I632" s="2385"/>
      <c r="J632" s="2385"/>
      <c r="K632" s="2385"/>
      <c r="L632" s="2385"/>
      <c r="M632" s="2385"/>
      <c r="N632" s="2385"/>
      <c r="O632" s="2385"/>
      <c r="P632" s="2385"/>
      <c r="Q632" s="2385"/>
      <c r="R632" s="2385"/>
      <c r="S632" s="2385"/>
      <c r="T632" s="2385"/>
      <c r="U632" s="2385"/>
      <c r="V632" s="2385"/>
      <c r="W632" s="2385"/>
      <c r="X632" s="2385"/>
      <c r="Y632" s="2385"/>
      <c r="Z632" s="2385"/>
      <c r="AA632" s="2385"/>
      <c r="AB632" s="2385"/>
      <c r="AC632" s="2385"/>
      <c r="AD632" s="2385"/>
      <c r="AE632" s="2385"/>
      <c r="AF632" s="2385"/>
      <c r="AG632" s="2385"/>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1394</v>
      </c>
      <c r="AJ634" s="2388">
        <f>VLOOKUP($H$619,$AO$599:$AP$604,2,FALSE)+IF(R619=AO607,0,VLOOKUP($I$627,$AO$626:$AP$628,2,FALSE))</f>
        <v>7</v>
      </c>
      <c r="AK634" s="2389"/>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1395</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686</v>
      </c>
      <c r="E638" s="2529" t="s">
        <v>1681</v>
      </c>
      <c r="F638" s="2529"/>
      <c r="G638" s="2529"/>
      <c r="H638" s="2529"/>
      <c r="I638" s="2529"/>
      <c r="J638" s="2529"/>
      <c r="K638" s="2529"/>
      <c r="L638" s="2529"/>
      <c r="M638" s="2529"/>
      <c r="N638" s="2529"/>
      <c r="O638" s="2529"/>
      <c r="P638" s="2529"/>
      <c r="Q638" s="2529"/>
      <c r="R638" s="2529"/>
      <c r="S638" s="2529"/>
      <c r="T638" s="2529"/>
      <c r="U638" s="2529"/>
      <c r="V638" s="2529"/>
      <c r="W638" s="2529"/>
      <c r="X638" s="2529"/>
      <c r="Y638" s="2529"/>
      <c r="Z638" s="2529"/>
      <c r="AA638" s="2529"/>
      <c r="AB638" s="2529"/>
      <c r="AC638" s="2529"/>
      <c r="AD638" s="2529"/>
      <c r="AE638" s="539"/>
      <c r="AF638" s="2386" t="s">
        <v>1344</v>
      </c>
      <c r="AG638" s="2386"/>
      <c r="AH638" s="2386"/>
      <c r="AI638" s="2386"/>
      <c r="AJ638" s="2386"/>
      <c r="AK638" s="2386"/>
      <c r="AL638" s="2386"/>
      <c r="AM638" s="549"/>
      <c r="AN638" s="674"/>
    </row>
    <row r="639" spans="1:42" s="549" customFormat="1" ht="12.75" customHeight="1">
      <c r="A639" s="675"/>
      <c r="B639" s="536"/>
      <c r="C639" s="929"/>
      <c r="D639" s="659"/>
      <c r="E639" s="2529"/>
      <c r="F639" s="2529"/>
      <c r="G639" s="2529"/>
      <c r="H639" s="2529"/>
      <c r="I639" s="2529"/>
      <c r="J639" s="2529"/>
      <c r="K639" s="2529"/>
      <c r="L639" s="2529"/>
      <c r="M639" s="2529"/>
      <c r="N639" s="2529"/>
      <c r="O639" s="2529"/>
      <c r="P639" s="2529"/>
      <c r="Q639" s="2529"/>
      <c r="R639" s="2529"/>
      <c r="S639" s="2529"/>
      <c r="T639" s="2529"/>
      <c r="U639" s="2529"/>
      <c r="V639" s="2529"/>
      <c r="W639" s="2529"/>
      <c r="X639" s="2529"/>
      <c r="Y639" s="2529"/>
      <c r="Z639" s="2529"/>
      <c r="AA639" s="2529"/>
      <c r="AB639" s="2529"/>
      <c r="AC639" s="2529"/>
      <c r="AD639" s="2529"/>
      <c r="AE639" s="536"/>
      <c r="AF639" s="536"/>
      <c r="AG639" s="536"/>
      <c r="AH639" s="536"/>
      <c r="AI639" s="536"/>
      <c r="AJ639" s="536"/>
      <c r="AK639" s="536"/>
      <c r="AL639" s="536"/>
      <c r="AN639" s="595"/>
    </row>
    <row r="640" spans="1:42" s="549" customFormat="1" ht="12.75" customHeight="1">
      <c r="B640" s="536"/>
      <c r="C640" s="927"/>
      <c r="D640" s="659"/>
      <c r="E640" s="2529"/>
      <c r="F640" s="2529"/>
      <c r="G640" s="2529"/>
      <c r="H640" s="2529"/>
      <c r="I640" s="2529"/>
      <c r="J640" s="2529"/>
      <c r="K640" s="2529"/>
      <c r="L640" s="2529"/>
      <c r="M640" s="2529"/>
      <c r="N640" s="2529"/>
      <c r="O640" s="2529"/>
      <c r="P640" s="2529"/>
      <c r="Q640" s="2529"/>
      <c r="R640" s="2529"/>
      <c r="S640" s="2529"/>
      <c r="T640" s="2529"/>
      <c r="U640" s="2529"/>
      <c r="V640" s="2529"/>
      <c r="W640" s="2529"/>
      <c r="X640" s="2529"/>
      <c r="Y640" s="2529"/>
      <c r="Z640" s="2529"/>
      <c r="AA640" s="2529"/>
      <c r="AB640" s="2529"/>
      <c r="AC640" s="2529"/>
      <c r="AD640" s="2529"/>
      <c r="AE640" s="536"/>
      <c r="AF640" s="536"/>
      <c r="AG640" s="536"/>
      <c r="AH640" s="536"/>
      <c r="AI640" s="536"/>
      <c r="AJ640" s="536"/>
      <c r="AK640" s="536"/>
      <c r="AL640" s="536"/>
      <c r="AN640" s="595"/>
    </row>
    <row r="641" spans="1:42" s="549" customFormat="1" ht="12.75" customHeight="1">
      <c r="B641" s="536"/>
      <c r="C641" s="927"/>
      <c r="D641" s="659"/>
      <c r="E641" s="2529"/>
      <c r="F641" s="2529"/>
      <c r="G641" s="2529"/>
      <c r="H641" s="2529"/>
      <c r="I641" s="2529"/>
      <c r="J641" s="2529"/>
      <c r="K641" s="2529"/>
      <c r="L641" s="2529"/>
      <c r="M641" s="2529"/>
      <c r="N641" s="2529"/>
      <c r="O641" s="2529"/>
      <c r="P641" s="2529"/>
      <c r="Q641" s="2529"/>
      <c r="R641" s="2529"/>
      <c r="S641" s="2529"/>
      <c r="T641" s="2529"/>
      <c r="U641" s="2529"/>
      <c r="V641" s="2529"/>
      <c r="W641" s="2529"/>
      <c r="X641" s="2529"/>
      <c r="Y641" s="2529"/>
      <c r="Z641" s="2529"/>
      <c r="AA641" s="2529"/>
      <c r="AB641" s="2529"/>
      <c r="AC641" s="2529"/>
      <c r="AD641" s="2529"/>
      <c r="AE641" s="536"/>
      <c r="AF641" s="536"/>
      <c r="AG641" s="536"/>
      <c r="AH641" s="536"/>
      <c r="AI641" s="536"/>
      <c r="AJ641" s="536"/>
      <c r="AK641" s="536"/>
      <c r="AL641" s="536"/>
      <c r="AN641" s="595"/>
    </row>
    <row r="642" spans="1:42" s="549" customFormat="1" ht="12.75" customHeight="1">
      <c r="B642" s="536"/>
      <c r="C642" s="927"/>
      <c r="D642" s="659"/>
      <c r="E642" s="2529"/>
      <c r="F642" s="2529"/>
      <c r="G642" s="2529"/>
      <c r="H642" s="2529"/>
      <c r="I642" s="2529"/>
      <c r="J642" s="2529"/>
      <c r="K642" s="2529"/>
      <c r="L642" s="2529"/>
      <c r="M642" s="2529"/>
      <c r="N642" s="2529"/>
      <c r="O642" s="2529"/>
      <c r="P642" s="2529"/>
      <c r="Q642" s="2529"/>
      <c r="R642" s="2529"/>
      <c r="S642" s="2529"/>
      <c r="T642" s="2529"/>
      <c r="U642" s="2529"/>
      <c r="V642" s="2529"/>
      <c r="W642" s="2529"/>
      <c r="X642" s="2529"/>
      <c r="Y642" s="2529"/>
      <c r="Z642" s="2529"/>
      <c r="AA642" s="2529"/>
      <c r="AB642" s="2529"/>
      <c r="AC642" s="2529"/>
      <c r="AD642" s="2529"/>
      <c r="AE642" s="536"/>
      <c r="AF642" s="536"/>
      <c r="AG642" s="536"/>
      <c r="AH642" s="536"/>
      <c r="AI642" s="536"/>
      <c r="AJ642" s="536"/>
      <c r="AK642" s="536"/>
      <c r="AL642" s="536"/>
      <c r="AN642" s="595"/>
    </row>
    <row r="643" spans="1:42" s="549" customFormat="1" ht="12.75" customHeight="1">
      <c r="B643" s="536"/>
      <c r="C643" s="927"/>
      <c r="D643" s="659"/>
      <c r="E643" s="2529"/>
      <c r="F643" s="2529"/>
      <c r="G643" s="2529"/>
      <c r="H643" s="2529"/>
      <c r="I643" s="2529"/>
      <c r="J643" s="2529"/>
      <c r="K643" s="2529"/>
      <c r="L643" s="2529"/>
      <c r="M643" s="2529"/>
      <c r="N643" s="2529"/>
      <c r="O643" s="2529"/>
      <c r="P643" s="2529"/>
      <c r="Q643" s="2529"/>
      <c r="R643" s="2529"/>
      <c r="S643" s="2529"/>
      <c r="T643" s="2529"/>
      <c r="U643" s="2529"/>
      <c r="V643" s="2529"/>
      <c r="W643" s="2529"/>
      <c r="X643" s="2529"/>
      <c r="Y643" s="2529"/>
      <c r="Z643" s="2529"/>
      <c r="AA643" s="2529"/>
      <c r="AB643" s="2529"/>
      <c r="AC643" s="2529"/>
      <c r="AD643" s="2529"/>
      <c r="AE643" s="536"/>
      <c r="AF643" s="536"/>
      <c r="AG643" s="536"/>
      <c r="AH643" s="536"/>
      <c r="AI643" s="536"/>
      <c r="AJ643" s="536"/>
      <c r="AK643" s="536"/>
      <c r="AL643" s="536"/>
      <c r="AN643" s="595"/>
    </row>
    <row r="644" spans="1:42" s="549" customFormat="1" ht="12.75" customHeight="1">
      <c r="A644" s="635"/>
      <c r="B644" s="614"/>
      <c r="C644" s="936"/>
      <c r="D644" s="659"/>
      <c r="E644" s="2529"/>
      <c r="F644" s="2529"/>
      <c r="G644" s="2529"/>
      <c r="H644" s="2529"/>
      <c r="I644" s="2529"/>
      <c r="J644" s="2529"/>
      <c r="K644" s="2529"/>
      <c r="L644" s="2529"/>
      <c r="M644" s="2529"/>
      <c r="N644" s="2529"/>
      <c r="O644" s="2529"/>
      <c r="P644" s="2529"/>
      <c r="Q644" s="2529"/>
      <c r="R644" s="2529"/>
      <c r="S644" s="2529"/>
      <c r="T644" s="2529"/>
      <c r="U644" s="2529"/>
      <c r="V644" s="2529"/>
      <c r="W644" s="2529"/>
      <c r="X644" s="2529"/>
      <c r="Y644" s="2529"/>
      <c r="Z644" s="2529"/>
      <c r="AA644" s="2529"/>
      <c r="AB644" s="2529"/>
      <c r="AC644" s="2529"/>
      <c r="AD644" s="2529"/>
      <c r="AE644" s="614"/>
      <c r="AF644" s="614"/>
      <c r="AG644" s="614"/>
      <c r="AH644" s="614"/>
      <c r="AI644" s="614"/>
      <c r="AJ644" s="614"/>
      <c r="AK644" s="536"/>
      <c r="AL644" s="536"/>
      <c r="AN644" s="595"/>
    </row>
    <row r="645" spans="1:42" s="549" customFormat="1" ht="12.75" customHeight="1">
      <c r="B645" s="614"/>
      <c r="C645" s="936"/>
      <c r="D645" s="659"/>
      <c r="E645" s="2529"/>
      <c r="F645" s="2529"/>
      <c r="G645" s="2529"/>
      <c r="H645" s="2529"/>
      <c r="I645" s="2529"/>
      <c r="J645" s="2529"/>
      <c r="K645" s="2529"/>
      <c r="L645" s="2529"/>
      <c r="M645" s="2529"/>
      <c r="N645" s="2529"/>
      <c r="O645" s="2529"/>
      <c r="P645" s="2529"/>
      <c r="Q645" s="2529"/>
      <c r="R645" s="2529"/>
      <c r="S645" s="2529"/>
      <c r="T645" s="2529"/>
      <c r="U645" s="2529"/>
      <c r="V645" s="2529"/>
      <c r="W645" s="2529"/>
      <c r="X645" s="2529"/>
      <c r="Y645" s="2529"/>
      <c r="Z645" s="2529"/>
      <c r="AA645" s="2529"/>
      <c r="AB645" s="2529"/>
      <c r="AC645" s="2529"/>
      <c r="AD645" s="2529"/>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1396</v>
      </c>
      <c r="F647" s="937"/>
      <c r="G647" s="937"/>
      <c r="H647" s="937"/>
      <c r="I647" s="937"/>
      <c r="J647" s="937"/>
      <c r="K647" s="937"/>
      <c r="L647" s="937"/>
      <c r="M647" s="937"/>
      <c r="N647" s="937"/>
      <c r="O647" s="937"/>
      <c r="P647" s="937"/>
      <c r="Q647" s="937"/>
      <c r="R647" s="937"/>
      <c r="U647" s="937"/>
      <c r="V647" s="937"/>
      <c r="W647" s="937"/>
      <c r="X647" s="2393" t="s">
        <v>590</v>
      </c>
      <c r="Y647" s="2393"/>
      <c r="Z647" s="937"/>
      <c r="AA647" s="937"/>
      <c r="AB647" s="937"/>
      <c r="AC647" s="937"/>
      <c r="AD647" s="937"/>
      <c r="AE647" s="536"/>
      <c r="AF647" s="614"/>
      <c r="AG647" s="614"/>
      <c r="AH647" s="614"/>
      <c r="AI647" s="614"/>
      <c r="AJ647" s="614"/>
      <c r="AK647" s="536"/>
      <c r="AL647" s="536"/>
      <c r="AN647" s="595"/>
      <c r="AO647" s="609" t="s">
        <v>686</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1397</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86" t="s">
        <v>1398</v>
      </c>
      <c r="AG649" s="2386"/>
      <c r="AH649" s="2386"/>
      <c r="AI649" s="2386"/>
      <c r="AJ649" s="2386"/>
      <c r="AK649" s="2386"/>
      <c r="AL649" s="2386"/>
      <c r="AN649" s="595"/>
      <c r="AO649" s="609" t="s">
        <v>277</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1387</v>
      </c>
      <c r="AP650" s="676">
        <v>4</v>
      </c>
    </row>
    <row r="651" spans="1:42" s="549" customFormat="1" ht="12.75" customHeight="1">
      <c r="B651" s="536"/>
      <c r="C651" s="927"/>
      <c r="D651" s="536" t="s">
        <v>1390</v>
      </c>
      <c r="E651" s="932"/>
      <c r="F651" s="932"/>
      <c r="G651" s="932"/>
      <c r="H651" s="2387" t="s">
        <v>508</v>
      </c>
      <c r="I651" s="2387"/>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1388</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1399</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1400</v>
      </c>
      <c r="AJ653" s="2388">
        <f>VLOOKUP($H$651,$AO$618:$AP$620,2,FALSE)</f>
        <v>2</v>
      </c>
      <c r="AK653" s="2389"/>
      <c r="AL653" s="593"/>
      <c r="AN653" s="595"/>
      <c r="AO653" s="609" t="s">
        <v>1401</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1402</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686</v>
      </c>
      <c r="E657" s="2385" t="s">
        <v>2051</v>
      </c>
      <c r="F657" s="2385"/>
      <c r="G657" s="2385"/>
      <c r="H657" s="2385"/>
      <c r="I657" s="2385"/>
      <c r="J657" s="2385"/>
      <c r="K657" s="2385"/>
      <c r="L657" s="2385"/>
      <c r="M657" s="2385"/>
      <c r="N657" s="2385"/>
      <c r="O657" s="2385"/>
      <c r="P657" s="2385"/>
      <c r="Q657" s="2385"/>
      <c r="R657" s="2385"/>
      <c r="S657" s="2385"/>
      <c r="T657" s="2385"/>
      <c r="U657" s="2385"/>
      <c r="V657" s="2385"/>
      <c r="W657" s="2385"/>
      <c r="X657" s="2385"/>
      <c r="Y657" s="2385"/>
      <c r="Z657" s="2385"/>
      <c r="AA657" s="2385"/>
      <c r="AB657" s="2385"/>
      <c r="AC657" s="2385"/>
      <c r="AD657" s="2385"/>
      <c r="AE657" s="536"/>
      <c r="AF657" s="2386" t="s">
        <v>1344</v>
      </c>
      <c r="AG657" s="2386"/>
      <c r="AH657" s="2386"/>
      <c r="AI657" s="2386"/>
      <c r="AJ657" s="2386"/>
      <c r="AK657" s="2386"/>
      <c r="AL657" s="2386"/>
      <c r="AN657" s="595"/>
    </row>
    <row r="658" spans="1:42" s="549" customFormat="1" ht="12.75" customHeight="1">
      <c r="B658" s="536"/>
      <c r="C658" s="536"/>
      <c r="D658" s="659"/>
      <c r="E658" s="2385"/>
      <c r="F658" s="2385"/>
      <c r="G658" s="2385"/>
      <c r="H658" s="2385"/>
      <c r="I658" s="2385"/>
      <c r="J658" s="2385"/>
      <c r="K658" s="2385"/>
      <c r="L658" s="2385"/>
      <c r="M658" s="2385"/>
      <c r="N658" s="2385"/>
      <c r="O658" s="2385"/>
      <c r="P658" s="2385"/>
      <c r="Q658" s="2385"/>
      <c r="R658" s="2385"/>
      <c r="S658" s="2385"/>
      <c r="T658" s="2385"/>
      <c r="U658" s="2385"/>
      <c r="V658" s="2385"/>
      <c r="W658" s="2385"/>
      <c r="X658" s="2385"/>
      <c r="Y658" s="2385"/>
      <c r="Z658" s="2385"/>
      <c r="AA658" s="2385"/>
      <c r="AB658" s="2385"/>
      <c r="AC658" s="2385"/>
      <c r="AD658" s="2385"/>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1403</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86" t="s">
        <v>1398</v>
      </c>
      <c r="AG660" s="2386"/>
      <c r="AH660" s="2386"/>
      <c r="AI660" s="2386"/>
      <c r="AJ660" s="2386"/>
      <c r="AK660" s="2386"/>
      <c r="AL660" s="2386"/>
      <c r="AN660" s="595"/>
    </row>
    <row r="661" spans="1:42" s="549" customFormat="1" ht="12.75" customHeight="1">
      <c r="B661" s="536"/>
      <c r="C661" s="927"/>
      <c r="D661" s="659"/>
      <c r="E661" s="614" t="s">
        <v>1404</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1390</v>
      </c>
      <c r="E663" s="932"/>
      <c r="F663" s="932"/>
      <c r="G663" s="932"/>
      <c r="H663" s="2387" t="s">
        <v>590</v>
      </c>
      <c r="I663" s="2387"/>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1405</v>
      </c>
      <c r="AJ665" s="2388">
        <f>VLOOKUP(H663,AT618:AU620,2,FALSE)</f>
        <v>0</v>
      </c>
      <c r="AK665" s="2389"/>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1406</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1407</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686</v>
      </c>
      <c r="E670" s="2385" t="s">
        <v>1408</v>
      </c>
      <c r="F670" s="2385"/>
      <c r="G670" s="2385"/>
      <c r="H670" s="2385"/>
      <c r="I670" s="2385"/>
      <c r="J670" s="2385"/>
      <c r="K670" s="2385"/>
      <c r="L670" s="2385"/>
      <c r="M670" s="2385"/>
      <c r="N670" s="2385"/>
      <c r="O670" s="2385"/>
      <c r="P670" s="2385"/>
      <c r="Q670" s="2385"/>
      <c r="R670" s="2385"/>
      <c r="S670" s="2385"/>
      <c r="T670" s="2385"/>
      <c r="U670" s="2385"/>
      <c r="V670" s="2385"/>
      <c r="W670" s="2385"/>
      <c r="X670" s="2385"/>
      <c r="Y670" s="2385"/>
      <c r="Z670" s="2385"/>
      <c r="AA670" s="2385"/>
      <c r="AB670" s="2385"/>
      <c r="AC670" s="2385"/>
      <c r="AD670" s="536"/>
      <c r="AE670" s="536"/>
      <c r="AF670" s="2386" t="s">
        <v>1369</v>
      </c>
      <c r="AG670" s="2386"/>
      <c r="AH670" s="2386"/>
      <c r="AI670" s="2386"/>
      <c r="AJ670" s="2386"/>
      <c r="AK670" s="2386"/>
      <c r="AL670" s="2386"/>
      <c r="AN670" s="595"/>
    </row>
    <row r="671" spans="1:42" s="549" customFormat="1" ht="12.75" customHeight="1">
      <c r="B671" s="536"/>
      <c r="C671" s="539"/>
      <c r="D671" s="536"/>
      <c r="E671" s="2385"/>
      <c r="F671" s="2385"/>
      <c r="G671" s="2385"/>
      <c r="H671" s="2385"/>
      <c r="I671" s="2385"/>
      <c r="J671" s="2385"/>
      <c r="K671" s="2385"/>
      <c r="L671" s="2385"/>
      <c r="M671" s="2385"/>
      <c r="N671" s="2385"/>
      <c r="O671" s="2385"/>
      <c r="P671" s="2385"/>
      <c r="Q671" s="2385"/>
      <c r="R671" s="2385"/>
      <c r="S671" s="2385"/>
      <c r="T671" s="2385"/>
      <c r="U671" s="2385"/>
      <c r="V671" s="2385"/>
      <c r="W671" s="2385"/>
      <c r="X671" s="2385"/>
      <c r="Y671" s="2385"/>
      <c r="Z671" s="2385"/>
      <c r="AA671" s="2385"/>
      <c r="AB671" s="2385"/>
      <c r="AC671" s="2385"/>
      <c r="AD671" s="536"/>
      <c r="AE671" s="536"/>
      <c r="AF671" s="536"/>
      <c r="AG671" s="536"/>
      <c r="AH671" s="536"/>
      <c r="AI671" s="536"/>
      <c r="AJ671" s="536"/>
      <c r="AK671" s="536"/>
      <c r="AL671" s="536"/>
      <c r="AN671" s="595"/>
    </row>
    <row r="672" spans="1:42" s="549" customFormat="1" ht="12.75" customHeight="1">
      <c r="B672" s="536"/>
      <c r="C672" s="539"/>
      <c r="D672" s="659"/>
      <c r="E672" s="2385"/>
      <c r="F672" s="2385"/>
      <c r="G672" s="2385"/>
      <c r="H672" s="2385"/>
      <c r="I672" s="2385"/>
      <c r="J672" s="2385"/>
      <c r="K672" s="2385"/>
      <c r="L672" s="2385"/>
      <c r="M672" s="2385"/>
      <c r="N672" s="2385"/>
      <c r="O672" s="2385"/>
      <c r="P672" s="2385"/>
      <c r="Q672" s="2385"/>
      <c r="R672" s="2385"/>
      <c r="S672" s="2385"/>
      <c r="T672" s="2385"/>
      <c r="U672" s="2385"/>
      <c r="V672" s="2385"/>
      <c r="W672" s="2385"/>
      <c r="X672" s="2385"/>
      <c r="Y672" s="2385"/>
      <c r="Z672" s="2385"/>
      <c r="AA672" s="2385"/>
      <c r="AB672" s="2385"/>
      <c r="AC672" s="2385"/>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385" t="s">
        <v>1409</v>
      </c>
      <c r="F674" s="2385"/>
      <c r="G674" s="2385"/>
      <c r="H674" s="2385"/>
      <c r="I674" s="2385"/>
      <c r="J674" s="2385"/>
      <c r="K674" s="2385"/>
      <c r="L674" s="2385"/>
      <c r="M674" s="2385"/>
      <c r="N674" s="2385"/>
      <c r="O674" s="2385"/>
      <c r="P674" s="2385"/>
      <c r="Q674" s="2385"/>
      <c r="R674" s="2385"/>
      <c r="S674" s="2385"/>
      <c r="T674" s="2385"/>
      <c r="U674" s="2385"/>
      <c r="V674" s="2385"/>
      <c r="W674" s="2385"/>
      <c r="X674" s="2385"/>
      <c r="Y674" s="2385"/>
      <c r="Z674" s="2385"/>
      <c r="AA674" s="2385"/>
      <c r="AB674" s="2385"/>
      <c r="AC674" s="2385"/>
      <c r="AD674" s="536"/>
      <c r="AE674" s="536"/>
      <c r="AF674" s="2386" t="s">
        <v>1389</v>
      </c>
      <c r="AG674" s="2386"/>
      <c r="AH674" s="2386"/>
      <c r="AI674" s="2386"/>
      <c r="AJ674" s="2386"/>
      <c r="AK674" s="2386"/>
      <c r="AL674" s="2386"/>
      <c r="AN674" s="595"/>
    </row>
    <row r="675" spans="1:42" s="549" customFormat="1" ht="12.75" customHeight="1">
      <c r="B675" s="536"/>
      <c r="C675" s="539"/>
      <c r="D675" s="536"/>
      <c r="E675" s="2385"/>
      <c r="F675" s="2385"/>
      <c r="G675" s="2385"/>
      <c r="H675" s="2385"/>
      <c r="I675" s="2385"/>
      <c r="J675" s="2385"/>
      <c r="K675" s="2385"/>
      <c r="L675" s="2385"/>
      <c r="M675" s="2385"/>
      <c r="N675" s="2385"/>
      <c r="O675" s="2385"/>
      <c r="P675" s="2385"/>
      <c r="Q675" s="2385"/>
      <c r="R675" s="2385"/>
      <c r="S675" s="2385"/>
      <c r="T675" s="2385"/>
      <c r="U675" s="2385"/>
      <c r="V675" s="2385"/>
      <c r="W675" s="2385"/>
      <c r="X675" s="2385"/>
      <c r="Y675" s="2385"/>
      <c r="Z675" s="2385"/>
      <c r="AA675" s="2385"/>
      <c r="AB675" s="2385"/>
      <c r="AC675" s="2385"/>
      <c r="AD675" s="536"/>
      <c r="AE675" s="536"/>
      <c r="AF675" s="536"/>
      <c r="AG675" s="536"/>
      <c r="AH675" s="536"/>
      <c r="AI675" s="536"/>
      <c r="AJ675" s="536"/>
      <c r="AK675" s="536"/>
      <c r="AL675" s="536"/>
      <c r="AN675" s="595"/>
    </row>
    <row r="676" spans="1:42" s="549" customFormat="1" ht="15" customHeight="1">
      <c r="B676" s="536"/>
      <c r="C676" s="539"/>
      <c r="D676" s="659"/>
      <c r="E676" s="2385"/>
      <c r="F676" s="2385"/>
      <c r="G676" s="2385"/>
      <c r="H676" s="2385"/>
      <c r="I676" s="2385"/>
      <c r="J676" s="2385"/>
      <c r="K676" s="2385"/>
      <c r="L676" s="2385"/>
      <c r="M676" s="2385"/>
      <c r="N676" s="2385"/>
      <c r="O676" s="2385"/>
      <c r="P676" s="2385"/>
      <c r="Q676" s="2385"/>
      <c r="R676" s="2385"/>
      <c r="S676" s="2385"/>
      <c r="T676" s="2385"/>
      <c r="U676" s="2385"/>
      <c r="V676" s="2385"/>
      <c r="W676" s="2385"/>
      <c r="X676" s="2385"/>
      <c r="Y676" s="2385"/>
      <c r="Z676" s="2385"/>
      <c r="AA676" s="2385"/>
      <c r="AB676" s="2385"/>
      <c r="AC676" s="2385"/>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277</v>
      </c>
      <c r="E678" s="2385" t="s">
        <v>1410</v>
      </c>
      <c r="F678" s="2385"/>
      <c r="G678" s="2385"/>
      <c r="H678" s="2385"/>
      <c r="I678" s="2385"/>
      <c r="J678" s="2385"/>
      <c r="K678" s="2385"/>
      <c r="L678" s="2385"/>
      <c r="M678" s="2385"/>
      <c r="N678" s="2385"/>
      <c r="O678" s="2385"/>
      <c r="P678" s="2385"/>
      <c r="Q678" s="2385"/>
      <c r="R678" s="2385"/>
      <c r="S678" s="2385"/>
      <c r="T678" s="2385"/>
      <c r="U678" s="2385"/>
      <c r="V678" s="2385"/>
      <c r="W678" s="2385"/>
      <c r="X678" s="2385"/>
      <c r="Y678" s="2385"/>
      <c r="Z678" s="2385"/>
      <c r="AA678" s="2385"/>
      <c r="AB678" s="2385"/>
      <c r="AC678" s="2385"/>
      <c r="AD678" s="536"/>
      <c r="AE678" s="536"/>
      <c r="AF678" s="2386" t="s">
        <v>1344</v>
      </c>
      <c r="AG678" s="2386"/>
      <c r="AH678" s="2386"/>
      <c r="AI678" s="2386"/>
      <c r="AJ678" s="2386"/>
      <c r="AK678" s="2386"/>
      <c r="AL678" s="2386"/>
      <c r="AN678" s="595"/>
    </row>
    <row r="679" spans="1:42" s="549" customFormat="1" ht="12.75" customHeight="1">
      <c r="B679" s="536"/>
      <c r="C679" s="927"/>
      <c r="D679" s="536"/>
      <c r="E679" s="2385"/>
      <c r="F679" s="2385"/>
      <c r="G679" s="2385"/>
      <c r="H679" s="2385"/>
      <c r="I679" s="2385"/>
      <c r="J679" s="2385"/>
      <c r="K679" s="2385"/>
      <c r="L679" s="2385"/>
      <c r="M679" s="2385"/>
      <c r="N679" s="2385"/>
      <c r="O679" s="2385"/>
      <c r="P679" s="2385"/>
      <c r="Q679" s="2385"/>
      <c r="R679" s="2385"/>
      <c r="S679" s="2385"/>
      <c r="T679" s="2385"/>
      <c r="U679" s="2385"/>
      <c r="V679" s="2385"/>
      <c r="W679" s="2385"/>
      <c r="X679" s="2385"/>
      <c r="Y679" s="2385"/>
      <c r="Z679" s="2385"/>
      <c r="AA679" s="2385"/>
      <c r="AB679" s="2385"/>
      <c r="AC679" s="2385"/>
      <c r="AD679" s="536"/>
      <c r="AE679" s="2386"/>
      <c r="AF679" s="2386"/>
      <c r="AG679" s="2386"/>
      <c r="AH679" s="2386"/>
      <c r="AI679" s="2386"/>
      <c r="AJ679" s="2386"/>
      <c r="AK679" s="2386"/>
      <c r="AL679" s="592"/>
      <c r="AN679" s="595"/>
      <c r="AO679" s="549" t="s">
        <v>590</v>
      </c>
      <c r="AP679" s="669">
        <v>0</v>
      </c>
    </row>
    <row r="680" spans="1:42" s="549" customFormat="1" ht="12.75" customHeight="1">
      <c r="A680" s="675"/>
      <c r="B680" s="536"/>
      <c r="C680" s="536"/>
      <c r="D680" s="659"/>
      <c r="E680" s="2385"/>
      <c r="F680" s="2385"/>
      <c r="G680" s="2385"/>
      <c r="H680" s="2385"/>
      <c r="I680" s="2385"/>
      <c r="J680" s="2385"/>
      <c r="K680" s="2385"/>
      <c r="L680" s="2385"/>
      <c r="M680" s="2385"/>
      <c r="N680" s="2385"/>
      <c r="O680" s="2385"/>
      <c r="P680" s="2385"/>
      <c r="Q680" s="2385"/>
      <c r="R680" s="2385"/>
      <c r="S680" s="2385"/>
      <c r="T680" s="2385"/>
      <c r="U680" s="2385"/>
      <c r="V680" s="2385"/>
      <c r="W680" s="2385"/>
      <c r="X680" s="2385"/>
      <c r="Y680" s="2385"/>
      <c r="Z680" s="2385"/>
      <c r="AA680" s="2385"/>
      <c r="AB680" s="2385"/>
      <c r="AC680" s="2385"/>
      <c r="AD680" s="536"/>
      <c r="AE680" s="536"/>
      <c r="AF680" s="536"/>
      <c r="AG680" s="536"/>
      <c r="AH680" s="536"/>
      <c r="AI680" s="536"/>
      <c r="AJ680" s="536"/>
      <c r="AK680" s="536"/>
      <c r="AL680" s="536"/>
      <c r="AN680" s="595"/>
      <c r="AO680" s="609" t="s">
        <v>686</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1387</v>
      </c>
      <c r="E682" s="2385" t="s">
        <v>1411</v>
      </c>
      <c r="F682" s="2385"/>
      <c r="G682" s="2385"/>
      <c r="H682" s="2385"/>
      <c r="I682" s="2385"/>
      <c r="J682" s="2385"/>
      <c r="K682" s="2385"/>
      <c r="L682" s="2385"/>
      <c r="M682" s="2385"/>
      <c r="N682" s="2385"/>
      <c r="O682" s="2385"/>
      <c r="P682" s="2385"/>
      <c r="Q682" s="2385"/>
      <c r="R682" s="2385"/>
      <c r="S682" s="2385"/>
      <c r="T682" s="2385"/>
      <c r="U682" s="2385"/>
      <c r="V682" s="2385"/>
      <c r="W682" s="2385"/>
      <c r="X682" s="2385"/>
      <c r="Y682" s="2385"/>
      <c r="Z682" s="2385"/>
      <c r="AA682" s="2385"/>
      <c r="AB682" s="2385"/>
      <c r="AC682" s="2385"/>
      <c r="AD682" s="536"/>
      <c r="AE682" s="536"/>
      <c r="AF682" s="2386" t="s">
        <v>1389</v>
      </c>
      <c r="AG682" s="2386"/>
      <c r="AH682" s="2386"/>
      <c r="AI682" s="2386"/>
      <c r="AJ682" s="2386"/>
      <c r="AK682" s="2386"/>
      <c r="AL682" s="2386"/>
      <c r="AN682" s="595"/>
    </row>
    <row r="683" spans="1:42" s="549" customFormat="1" ht="12.75" customHeight="1">
      <c r="A683" s="666"/>
      <c r="B683" s="536"/>
      <c r="C683" s="943"/>
      <c r="D683" s="659"/>
      <c r="E683" s="2385"/>
      <c r="F683" s="2385"/>
      <c r="G683" s="2385"/>
      <c r="H683" s="2385"/>
      <c r="I683" s="2385"/>
      <c r="J683" s="2385"/>
      <c r="K683" s="2385"/>
      <c r="L683" s="2385"/>
      <c r="M683" s="2385"/>
      <c r="N683" s="2385"/>
      <c r="O683" s="2385"/>
      <c r="P683" s="2385"/>
      <c r="Q683" s="2385"/>
      <c r="R683" s="2385"/>
      <c r="S683" s="2385"/>
      <c r="T683" s="2385"/>
      <c r="U683" s="2385"/>
      <c r="V683" s="2385"/>
      <c r="W683" s="2385"/>
      <c r="X683" s="2385"/>
      <c r="Y683" s="2385"/>
      <c r="Z683" s="2385"/>
      <c r="AA683" s="2385"/>
      <c r="AB683" s="2385"/>
      <c r="AC683" s="2385"/>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85"/>
      <c r="F684" s="2385"/>
      <c r="G684" s="2385"/>
      <c r="H684" s="2385"/>
      <c r="I684" s="2385"/>
      <c r="J684" s="2385"/>
      <c r="K684" s="2385"/>
      <c r="L684" s="2385"/>
      <c r="M684" s="2385"/>
      <c r="N684" s="2385"/>
      <c r="O684" s="2385"/>
      <c r="P684" s="2385"/>
      <c r="Q684" s="2385"/>
      <c r="R684" s="2385"/>
      <c r="S684" s="2385"/>
      <c r="T684" s="2385"/>
      <c r="U684" s="2385"/>
      <c r="V684" s="2385"/>
      <c r="W684" s="2385"/>
      <c r="X684" s="2385"/>
      <c r="Y684" s="2385"/>
      <c r="Z684" s="2385"/>
      <c r="AA684" s="2385"/>
      <c r="AB684" s="2385"/>
      <c r="AC684" s="2385"/>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1388</v>
      </c>
      <c r="E686" s="2385" t="s">
        <v>1412</v>
      </c>
      <c r="F686" s="2385"/>
      <c r="G686" s="2385"/>
      <c r="H686" s="2385"/>
      <c r="I686" s="2385"/>
      <c r="J686" s="2385"/>
      <c r="K686" s="2385"/>
      <c r="L686" s="2385"/>
      <c r="M686" s="2385"/>
      <c r="N686" s="2385"/>
      <c r="O686" s="2385"/>
      <c r="P686" s="2385"/>
      <c r="Q686" s="2385"/>
      <c r="R686" s="2385"/>
      <c r="S686" s="2385"/>
      <c r="T686" s="2385"/>
      <c r="U686" s="2385"/>
      <c r="V686" s="2385"/>
      <c r="W686" s="2385"/>
      <c r="X686" s="2385"/>
      <c r="Y686" s="2385"/>
      <c r="Z686" s="2385"/>
      <c r="AA686" s="2385"/>
      <c r="AB686" s="2385"/>
      <c r="AC686" s="2385"/>
      <c r="AD686" s="536"/>
      <c r="AE686" s="536"/>
      <c r="AF686" s="2386" t="s">
        <v>1344</v>
      </c>
      <c r="AG686" s="2386"/>
      <c r="AH686" s="2386"/>
      <c r="AI686" s="2386"/>
      <c r="AJ686" s="2386"/>
      <c r="AK686" s="2386"/>
      <c r="AL686" s="2386"/>
      <c r="AM686" s="594"/>
      <c r="AN686" s="595"/>
    </row>
    <row r="687" spans="1:42" s="549" customFormat="1" ht="12.75" customHeight="1">
      <c r="B687" s="536"/>
      <c r="C687" s="927"/>
      <c r="D687" s="659"/>
      <c r="E687" s="2385"/>
      <c r="F687" s="2385"/>
      <c r="G687" s="2385"/>
      <c r="H687" s="2385"/>
      <c r="I687" s="2385"/>
      <c r="J687" s="2385"/>
      <c r="K687" s="2385"/>
      <c r="L687" s="2385"/>
      <c r="M687" s="2385"/>
      <c r="N687" s="2385"/>
      <c r="O687" s="2385"/>
      <c r="P687" s="2385"/>
      <c r="Q687" s="2385"/>
      <c r="R687" s="2385"/>
      <c r="S687" s="2385"/>
      <c r="T687" s="2385"/>
      <c r="U687" s="2385"/>
      <c r="V687" s="2385"/>
      <c r="W687" s="2385"/>
      <c r="X687" s="2385"/>
      <c r="Y687" s="2385"/>
      <c r="Z687" s="2385"/>
      <c r="AA687" s="2385"/>
      <c r="AB687" s="2385"/>
      <c r="AC687" s="2385"/>
      <c r="AD687" s="536"/>
      <c r="AE687" s="536"/>
      <c r="AF687" s="536"/>
      <c r="AG687" s="536"/>
      <c r="AH687" s="536"/>
      <c r="AI687" s="536"/>
      <c r="AJ687" s="536"/>
      <c r="AK687" s="536"/>
      <c r="AL687" s="536"/>
      <c r="AM687" s="594"/>
      <c r="AN687" s="595"/>
    </row>
    <row r="688" spans="1:42" s="549" customFormat="1" ht="12.75" customHeight="1">
      <c r="B688" s="536"/>
      <c r="C688" s="927"/>
      <c r="D688" s="659"/>
      <c r="E688" s="2385"/>
      <c r="F688" s="2385"/>
      <c r="G688" s="2385"/>
      <c r="H688" s="2385"/>
      <c r="I688" s="2385"/>
      <c r="J688" s="2385"/>
      <c r="K688" s="2385"/>
      <c r="L688" s="2385"/>
      <c r="M688" s="2385"/>
      <c r="N688" s="2385"/>
      <c r="O688" s="2385"/>
      <c r="P688" s="2385"/>
      <c r="Q688" s="2385"/>
      <c r="R688" s="2385"/>
      <c r="S688" s="2385"/>
      <c r="T688" s="2385"/>
      <c r="U688" s="2385"/>
      <c r="V688" s="2385"/>
      <c r="W688" s="2385"/>
      <c r="X688" s="2385"/>
      <c r="Y688" s="2385"/>
      <c r="Z688" s="2385"/>
      <c r="AA688" s="2385"/>
      <c r="AB688" s="2385"/>
      <c r="AC688" s="2385"/>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1399</v>
      </c>
      <c r="E690" s="2385" t="s">
        <v>1413</v>
      </c>
      <c r="F690" s="2385"/>
      <c r="G690" s="2385"/>
      <c r="H690" s="2385"/>
      <c r="I690" s="2385"/>
      <c r="J690" s="2385"/>
      <c r="K690" s="2385"/>
      <c r="L690" s="2385"/>
      <c r="M690" s="2385"/>
      <c r="N690" s="2385"/>
      <c r="O690" s="2385"/>
      <c r="P690" s="2385"/>
      <c r="Q690" s="2385"/>
      <c r="R690" s="2385"/>
      <c r="S690" s="2385"/>
      <c r="T690" s="2385"/>
      <c r="U690" s="2385"/>
      <c r="V690" s="2385"/>
      <c r="W690" s="2385"/>
      <c r="X690" s="2385"/>
      <c r="Y690" s="2385"/>
      <c r="Z690" s="2385"/>
      <c r="AA690" s="2385"/>
      <c r="AB690" s="2385"/>
      <c r="AC690" s="2385"/>
      <c r="AD690" s="536"/>
      <c r="AE690" s="536"/>
      <c r="AF690" s="2386" t="s">
        <v>1398</v>
      </c>
      <c r="AG690" s="2386"/>
      <c r="AH690" s="2386"/>
      <c r="AI690" s="2386"/>
      <c r="AJ690" s="2386"/>
      <c r="AK690" s="2386"/>
      <c r="AL690" s="2386"/>
      <c r="AM690" s="594"/>
      <c r="AN690" s="595"/>
    </row>
    <row r="691" spans="1:50" s="549" customFormat="1" ht="12.75" customHeight="1">
      <c r="A691" s="675"/>
      <c r="B691" s="536"/>
      <c r="C691" s="927"/>
      <c r="D691" s="659"/>
      <c r="E691" s="2385"/>
      <c r="F691" s="2385"/>
      <c r="G691" s="2385"/>
      <c r="H691" s="2385"/>
      <c r="I691" s="2385"/>
      <c r="J691" s="2385"/>
      <c r="K691" s="2385"/>
      <c r="L691" s="2385"/>
      <c r="M691" s="2385"/>
      <c r="N691" s="2385"/>
      <c r="O691" s="2385"/>
      <c r="P691" s="2385"/>
      <c r="Q691" s="2385"/>
      <c r="R691" s="2385"/>
      <c r="S691" s="2385"/>
      <c r="T691" s="2385"/>
      <c r="U691" s="2385"/>
      <c r="V691" s="2385"/>
      <c r="W691" s="2385"/>
      <c r="X691" s="2385"/>
      <c r="Y691" s="2385"/>
      <c r="Z691" s="2385"/>
      <c r="AA691" s="2385"/>
      <c r="AB691" s="2385"/>
      <c r="AC691" s="2385"/>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85"/>
      <c r="F692" s="2385"/>
      <c r="G692" s="2385"/>
      <c r="H692" s="2385"/>
      <c r="I692" s="2385"/>
      <c r="J692" s="2385"/>
      <c r="K692" s="2385"/>
      <c r="L692" s="2385"/>
      <c r="M692" s="2385"/>
      <c r="N692" s="2385"/>
      <c r="O692" s="2385"/>
      <c r="P692" s="2385"/>
      <c r="Q692" s="2385"/>
      <c r="R692" s="2385"/>
      <c r="S692" s="2385"/>
      <c r="T692" s="2385"/>
      <c r="U692" s="2385"/>
      <c r="V692" s="2385"/>
      <c r="W692" s="2385"/>
      <c r="X692" s="2385"/>
      <c r="Y692" s="2385"/>
      <c r="Z692" s="2385"/>
      <c r="AA692" s="2385"/>
      <c r="AB692" s="2385"/>
      <c r="AC692" s="2385"/>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1401</v>
      </c>
      <c r="E694" s="2385" t="s">
        <v>1414</v>
      </c>
      <c r="F694" s="2385"/>
      <c r="G694" s="2385"/>
      <c r="H694" s="2385"/>
      <c r="I694" s="2385"/>
      <c r="J694" s="2385"/>
      <c r="K694" s="2385"/>
      <c r="L694" s="2385"/>
      <c r="M694" s="2385"/>
      <c r="N694" s="2385"/>
      <c r="O694" s="2385"/>
      <c r="P694" s="2385"/>
      <c r="Q694" s="2385"/>
      <c r="R694" s="2385"/>
      <c r="S694" s="2385"/>
      <c r="T694" s="2385"/>
      <c r="U694" s="2385"/>
      <c r="V694" s="2385"/>
      <c r="W694" s="2385"/>
      <c r="X694" s="2385"/>
      <c r="Y694" s="2385"/>
      <c r="Z694" s="2385"/>
      <c r="AA694" s="2385"/>
      <c r="AB694" s="2385"/>
      <c r="AC694" s="2385"/>
      <c r="AD694" s="536"/>
      <c r="AE694" s="536"/>
      <c r="AF694" s="2386" t="s">
        <v>1415</v>
      </c>
      <c r="AG694" s="2386"/>
      <c r="AH694" s="2386"/>
      <c r="AI694" s="2386"/>
      <c r="AJ694" s="2386"/>
      <c r="AK694" s="2386"/>
      <c r="AL694" s="2386"/>
      <c r="AM694" s="594"/>
      <c r="AN694" s="595"/>
      <c r="AO694" s="609" t="s">
        <v>686</v>
      </c>
      <c r="AP694" s="549">
        <v>3</v>
      </c>
    </row>
    <row r="695" spans="1:50" s="549" customFormat="1" ht="12.75" customHeight="1">
      <c r="A695" s="675"/>
      <c r="B695" s="536"/>
      <c r="C695" s="927"/>
      <c r="D695" s="659"/>
      <c r="E695" s="2385"/>
      <c r="F695" s="2385"/>
      <c r="G695" s="2385"/>
      <c r="H695" s="2385"/>
      <c r="I695" s="2385"/>
      <c r="J695" s="2385"/>
      <c r="K695" s="2385"/>
      <c r="L695" s="2385"/>
      <c r="M695" s="2385"/>
      <c r="N695" s="2385"/>
      <c r="O695" s="2385"/>
      <c r="P695" s="2385"/>
      <c r="Q695" s="2385"/>
      <c r="R695" s="2385"/>
      <c r="S695" s="2385"/>
      <c r="T695" s="2385"/>
      <c r="U695" s="2385"/>
      <c r="V695" s="2385"/>
      <c r="W695" s="2385"/>
      <c r="X695" s="2385"/>
      <c r="Y695" s="2385"/>
      <c r="Z695" s="2385"/>
      <c r="AA695" s="2385"/>
      <c r="AB695" s="2385"/>
      <c r="AC695" s="2385"/>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385"/>
      <c r="F696" s="2385"/>
      <c r="G696" s="2385"/>
      <c r="H696" s="2385"/>
      <c r="I696" s="2385"/>
      <c r="J696" s="2385"/>
      <c r="K696" s="2385"/>
      <c r="L696" s="2385"/>
      <c r="M696" s="2385"/>
      <c r="N696" s="2385"/>
      <c r="O696" s="2385"/>
      <c r="P696" s="2385"/>
      <c r="Q696" s="2385"/>
      <c r="R696" s="2385"/>
      <c r="S696" s="2385"/>
      <c r="T696" s="2385"/>
      <c r="U696" s="2385"/>
      <c r="V696" s="2385"/>
      <c r="W696" s="2385"/>
      <c r="X696" s="2385"/>
      <c r="Y696" s="2385"/>
      <c r="Z696" s="2385"/>
      <c r="AA696" s="2385"/>
      <c r="AB696" s="2385"/>
      <c r="AC696" s="2385"/>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1390</v>
      </c>
      <c r="E698" s="932"/>
      <c r="F698" s="932"/>
      <c r="G698" s="932"/>
      <c r="H698" s="2387" t="s">
        <v>686</v>
      </c>
      <c r="I698" s="2387"/>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1416</v>
      </c>
      <c r="AJ700" s="2388">
        <f>VLOOKUP($H$698,$AO$646:$AP$653,2,FALSE)</f>
        <v>5</v>
      </c>
      <c r="AK700" s="2389"/>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2089</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2135</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2136</v>
      </c>
      <c r="AX703" s="1146">
        <f>Application!G761</f>
        <v>130</v>
      </c>
    </row>
    <row r="704" spans="1:50" s="549" customFormat="1" ht="12.75" customHeight="1">
      <c r="A704" s="675"/>
      <c r="B704" s="536"/>
      <c r="C704" s="944"/>
      <c r="D704" s="659" t="s">
        <v>686</v>
      </c>
      <c r="E704" s="2391" t="s">
        <v>2142</v>
      </c>
      <c r="F704" s="2391"/>
      <c r="G704" s="2391"/>
      <c r="H704" s="2391"/>
      <c r="I704" s="2391"/>
      <c r="J704" s="2391"/>
      <c r="K704" s="2391"/>
      <c r="L704" s="2391"/>
      <c r="M704" s="2391"/>
      <c r="N704" s="2391"/>
      <c r="O704" s="2391"/>
      <c r="P704" s="2391"/>
      <c r="Q704" s="2391"/>
      <c r="R704" s="2391"/>
      <c r="S704" s="2391"/>
      <c r="T704" s="2391"/>
      <c r="U704" s="2391"/>
      <c r="V704" s="2391"/>
      <c r="W704" s="2391"/>
      <c r="X704" s="2391"/>
      <c r="Y704" s="2391"/>
      <c r="Z704" s="2391"/>
      <c r="AA704" s="2391"/>
      <c r="AB704" s="2391"/>
      <c r="AC704" s="536"/>
      <c r="AD704" s="536"/>
      <c r="AE704" s="536"/>
      <c r="AF704" s="2386" t="s">
        <v>1344</v>
      </c>
      <c r="AG704" s="2386"/>
      <c r="AH704" s="2386"/>
      <c r="AI704" s="2386"/>
      <c r="AJ704" s="2386"/>
      <c r="AK704" s="2386"/>
      <c r="AL704" s="2386"/>
      <c r="AN704" s="595"/>
      <c r="AW704" s="22" t="s">
        <v>2137</v>
      </c>
      <c r="AX704" s="549">
        <f>Application!DE761</f>
        <v>42</v>
      </c>
    </row>
    <row r="705" spans="1:51" s="549" customFormat="1" ht="12.75" customHeight="1">
      <c r="A705" s="675"/>
      <c r="B705" s="536"/>
      <c r="C705" s="944"/>
      <c r="D705" s="659"/>
      <c r="E705" s="2391"/>
      <c r="F705" s="2391"/>
      <c r="G705" s="2391"/>
      <c r="H705" s="2391"/>
      <c r="I705" s="2391"/>
      <c r="J705" s="2391"/>
      <c r="K705" s="2391"/>
      <c r="L705" s="2391"/>
      <c r="M705" s="2391"/>
      <c r="N705" s="2391"/>
      <c r="O705" s="2391"/>
      <c r="P705" s="2391"/>
      <c r="Q705" s="2391"/>
      <c r="R705" s="2391"/>
      <c r="S705" s="2391"/>
      <c r="T705" s="2391"/>
      <c r="U705" s="2391"/>
      <c r="V705" s="2391"/>
      <c r="W705" s="2391"/>
      <c r="X705" s="2391"/>
      <c r="Y705" s="2391"/>
      <c r="Z705" s="2391"/>
      <c r="AA705" s="2391"/>
      <c r="AB705" s="2391"/>
      <c r="AC705" s="536"/>
      <c r="AD705" s="536"/>
      <c r="AE705" s="536"/>
      <c r="AF705" s="536"/>
      <c r="AG705" s="536"/>
      <c r="AH705" s="536"/>
      <c r="AI705" s="536"/>
      <c r="AJ705" s="536"/>
      <c r="AK705" s="536"/>
      <c r="AL705" s="536"/>
      <c r="AN705" s="595"/>
      <c r="AW705" s="22" t="s">
        <v>2138</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2139</v>
      </c>
      <c r="AX706" s="549">
        <f>Application!DO761</f>
        <v>0</v>
      </c>
    </row>
    <row r="707" spans="1:51" s="549" customFormat="1" ht="12.75" customHeight="1">
      <c r="B707" s="536"/>
      <c r="C707" s="927"/>
      <c r="D707" s="659" t="s">
        <v>508</v>
      </c>
      <c r="E707" s="2385" t="s">
        <v>2087</v>
      </c>
      <c r="F707" s="2385"/>
      <c r="G707" s="2385"/>
      <c r="H707" s="2385"/>
      <c r="I707" s="2385"/>
      <c r="J707" s="2385"/>
      <c r="K707" s="2385"/>
      <c r="L707" s="2385"/>
      <c r="M707" s="2385"/>
      <c r="N707" s="2385"/>
      <c r="O707" s="2385"/>
      <c r="P707" s="2385"/>
      <c r="Q707" s="2385"/>
      <c r="R707" s="2385"/>
      <c r="S707" s="2385"/>
      <c r="T707" s="2385"/>
      <c r="U707" s="2385"/>
      <c r="V707" s="2385"/>
      <c r="W707" s="2385"/>
      <c r="X707" s="2385"/>
      <c r="Y707" s="2385"/>
      <c r="Z707" s="2385"/>
      <c r="AA707" s="2385"/>
      <c r="AB707" s="2385"/>
      <c r="AC707" s="536"/>
      <c r="AD707" s="536"/>
      <c r="AE707" s="536"/>
      <c r="AF707" s="2386" t="s">
        <v>1344</v>
      </c>
      <c r="AG707" s="2386"/>
      <c r="AH707" s="2386"/>
      <c r="AI707" s="2386"/>
      <c r="AJ707" s="2386"/>
      <c r="AK707" s="2386"/>
      <c r="AL707" s="2386"/>
      <c r="AN707" s="595"/>
      <c r="AW707" s="22" t="s">
        <v>2140</v>
      </c>
      <c r="AX707" s="549">
        <f>AX704+AX705+AX706</f>
        <v>42</v>
      </c>
    </row>
    <row r="708" spans="1:51" s="549" customFormat="1" ht="12.75" customHeight="1">
      <c r="B708" s="536"/>
      <c r="C708" s="936"/>
      <c r="D708" s="659"/>
      <c r="E708" s="2385"/>
      <c r="F708" s="2385"/>
      <c r="G708" s="2385"/>
      <c r="H708" s="2385"/>
      <c r="I708" s="2385"/>
      <c r="J708" s="2385"/>
      <c r="K708" s="2385"/>
      <c r="L708" s="2385"/>
      <c r="M708" s="2385"/>
      <c r="N708" s="2385"/>
      <c r="O708" s="2385"/>
      <c r="P708" s="2385"/>
      <c r="Q708" s="2385"/>
      <c r="R708" s="2385"/>
      <c r="S708" s="2385"/>
      <c r="T708" s="2385"/>
      <c r="U708" s="2385"/>
      <c r="V708" s="2385"/>
      <c r="W708" s="2385"/>
      <c r="X708" s="2385"/>
      <c r="Y708" s="2385"/>
      <c r="Z708" s="2385"/>
      <c r="AA708" s="2385"/>
      <c r="AB708" s="2385"/>
      <c r="AC708" s="536"/>
      <c r="AD708" s="536"/>
      <c r="AE708" s="614"/>
      <c r="AF708" s="536"/>
      <c r="AG708" s="536"/>
      <c r="AH708" s="536"/>
      <c r="AI708" s="536"/>
      <c r="AJ708" s="536"/>
      <c r="AK708" s="536"/>
      <c r="AL708" s="536"/>
      <c r="AN708" s="595"/>
      <c r="AO708" s="2455" t="b">
        <f>IF(Application!D211="Special Needs",IF(AY708&gt;=0.25,TRUE,FALSE),IF(AX708&gt;=0.25,TRUE,FALSE))</f>
        <v>1</v>
      </c>
      <c r="AP708" s="2455"/>
      <c r="AW708" s="22" t="s">
        <v>2141</v>
      </c>
      <c r="AX708" s="549">
        <f>IFERROR(AX707/AX703,0)</f>
        <v>0.32307692307692309</v>
      </c>
      <c r="AY708" s="549">
        <f>IFERROR(AX707/(AX703-AX702),0)</f>
        <v>0.32307692307692309</v>
      </c>
    </row>
    <row r="709" spans="1:51" s="549" customFormat="1" ht="12.75" customHeight="1">
      <c r="B709" s="536"/>
      <c r="C709" s="936"/>
      <c r="E709" s="2385"/>
      <c r="F709" s="2385"/>
      <c r="G709" s="2385"/>
      <c r="H709" s="2385"/>
      <c r="I709" s="2385"/>
      <c r="J709" s="2385"/>
      <c r="K709" s="2385"/>
      <c r="L709" s="2385"/>
      <c r="M709" s="2385"/>
      <c r="N709" s="2385"/>
      <c r="O709" s="2385"/>
      <c r="P709" s="2385"/>
      <c r="Q709" s="2385"/>
      <c r="R709" s="2385"/>
      <c r="S709" s="2385"/>
      <c r="T709" s="2385"/>
      <c r="U709" s="2385"/>
      <c r="V709" s="2385"/>
      <c r="W709" s="2385"/>
      <c r="X709" s="2385"/>
      <c r="Y709" s="2385"/>
      <c r="Z709" s="2385"/>
      <c r="AA709" s="2385"/>
      <c r="AB709" s="2385"/>
      <c r="AC709" s="536"/>
      <c r="AD709" s="536"/>
      <c r="AE709" s="614"/>
      <c r="AF709" s="614"/>
      <c r="AG709" s="614"/>
      <c r="AH709" s="614"/>
      <c r="AI709" s="614"/>
      <c r="AJ709" s="614"/>
      <c r="AK709" s="614"/>
      <c r="AL709" s="614"/>
      <c r="AN709" s="595"/>
      <c r="AW709" s="14"/>
    </row>
    <row r="710" spans="1:51" s="549" customFormat="1" ht="28.5" customHeight="1">
      <c r="B710" s="536"/>
      <c r="C710" s="936"/>
      <c r="D710" s="536"/>
      <c r="E710" s="2385"/>
      <c r="F710" s="2385"/>
      <c r="G710" s="2385"/>
      <c r="H710" s="2385"/>
      <c r="I710" s="2385"/>
      <c r="J710" s="2385"/>
      <c r="K710" s="2385"/>
      <c r="L710" s="2385"/>
      <c r="M710" s="2385"/>
      <c r="N710" s="2385"/>
      <c r="O710" s="2385"/>
      <c r="P710" s="2385"/>
      <c r="Q710" s="2385"/>
      <c r="R710" s="2385"/>
      <c r="S710" s="2385"/>
      <c r="T710" s="2385"/>
      <c r="U710" s="2385"/>
      <c r="V710" s="2385"/>
      <c r="W710" s="2385"/>
      <c r="X710" s="2385"/>
      <c r="Y710" s="2385"/>
      <c r="Z710" s="2385"/>
      <c r="AA710" s="2385"/>
      <c r="AB710" s="2385"/>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686</v>
      </c>
      <c r="AP711" s="549">
        <v>2</v>
      </c>
    </row>
    <row r="712" spans="1:51" s="549" customFormat="1" ht="12.75" customHeight="1">
      <c r="B712" s="536"/>
      <c r="C712" s="927"/>
      <c r="D712" s="659" t="s">
        <v>277</v>
      </c>
      <c r="E712" s="2385" t="s">
        <v>2088</v>
      </c>
      <c r="F712" s="2385"/>
      <c r="G712" s="2385"/>
      <c r="H712" s="2385"/>
      <c r="I712" s="2385"/>
      <c r="J712" s="2385"/>
      <c r="K712" s="2385"/>
      <c r="L712" s="2385"/>
      <c r="M712" s="2385"/>
      <c r="N712" s="2385"/>
      <c r="O712" s="2385"/>
      <c r="P712" s="2385"/>
      <c r="Q712" s="2385"/>
      <c r="R712" s="2385"/>
      <c r="S712" s="2385"/>
      <c r="T712" s="2385"/>
      <c r="U712" s="2385"/>
      <c r="V712" s="2385"/>
      <c r="W712" s="2385"/>
      <c r="X712" s="2385"/>
      <c r="Y712" s="2385"/>
      <c r="Z712" s="2385"/>
      <c r="AA712" s="2385"/>
      <c r="AB712" s="2385"/>
      <c r="AC712" s="536"/>
      <c r="AD712" s="536"/>
      <c r="AE712" s="536"/>
      <c r="AF712" s="2386" t="s">
        <v>1398</v>
      </c>
      <c r="AG712" s="2386"/>
      <c r="AH712" s="2386"/>
      <c r="AI712" s="2386"/>
      <c r="AJ712" s="2386"/>
      <c r="AK712" s="2386"/>
      <c r="AL712" s="2386"/>
      <c r="AN712" s="595"/>
      <c r="AO712" s="609" t="s">
        <v>508</v>
      </c>
      <c r="AP712" s="549">
        <v>1</v>
      </c>
    </row>
    <row r="713" spans="1:51" s="549" customFormat="1" ht="12" customHeight="1">
      <c r="B713" s="536"/>
      <c r="C713" s="927"/>
      <c r="E713" s="2385"/>
      <c r="F713" s="2385"/>
      <c r="G713" s="2385"/>
      <c r="H713" s="2385"/>
      <c r="I713" s="2385"/>
      <c r="J713" s="2385"/>
      <c r="K713" s="2385"/>
      <c r="L713" s="2385"/>
      <c r="M713" s="2385"/>
      <c r="N713" s="2385"/>
      <c r="O713" s="2385"/>
      <c r="P713" s="2385"/>
      <c r="Q713" s="2385"/>
      <c r="R713" s="2385"/>
      <c r="S713" s="2385"/>
      <c r="T713" s="2385"/>
      <c r="U713" s="2385"/>
      <c r="V713" s="2385"/>
      <c r="W713" s="2385"/>
      <c r="X713" s="2385"/>
      <c r="Y713" s="2385"/>
      <c r="Z713" s="2385"/>
      <c r="AA713" s="2385"/>
      <c r="AB713" s="2385"/>
      <c r="AC713" s="536"/>
      <c r="AD713" s="536"/>
      <c r="AE713" s="614"/>
      <c r="AF713" s="536"/>
      <c r="AG713" s="536"/>
      <c r="AH713" s="536"/>
      <c r="AI713" s="536"/>
      <c r="AJ713" s="536"/>
      <c r="AK713" s="536"/>
      <c r="AL713" s="536"/>
      <c r="AN713" s="595"/>
    </row>
    <row r="714" spans="1:51" s="549" customFormat="1" ht="12" customHeight="1">
      <c r="B714" s="536"/>
      <c r="C714" s="927"/>
      <c r="D714" s="536"/>
      <c r="E714" s="2385"/>
      <c r="F714" s="2385"/>
      <c r="G714" s="2385"/>
      <c r="H714" s="2385"/>
      <c r="I714" s="2385"/>
      <c r="J714" s="2385"/>
      <c r="K714" s="2385"/>
      <c r="L714" s="2385"/>
      <c r="M714" s="2385"/>
      <c r="N714" s="2385"/>
      <c r="O714" s="2385"/>
      <c r="P714" s="2385"/>
      <c r="Q714" s="2385"/>
      <c r="R714" s="2385"/>
      <c r="S714" s="2385"/>
      <c r="T714" s="2385"/>
      <c r="U714" s="2385"/>
      <c r="V714" s="2385"/>
      <c r="W714" s="2385"/>
      <c r="X714" s="2385"/>
      <c r="Y714" s="2385"/>
      <c r="Z714" s="2385"/>
      <c r="AA714" s="2385"/>
      <c r="AB714" s="2385"/>
      <c r="AC714" s="536"/>
      <c r="AD714" s="536"/>
      <c r="AE714" s="614"/>
      <c r="AF714" s="536"/>
      <c r="AG714" s="536"/>
      <c r="AH714" s="536"/>
      <c r="AI714" s="536"/>
      <c r="AJ714" s="536"/>
      <c r="AK714" s="536"/>
      <c r="AL714" s="536"/>
      <c r="AN714" s="595"/>
    </row>
    <row r="715" spans="1:51" s="549" customFormat="1" ht="12" customHeight="1">
      <c r="B715" s="536"/>
      <c r="C715" s="927"/>
      <c r="D715" s="536"/>
      <c r="E715" s="2385"/>
      <c r="F715" s="2385"/>
      <c r="G715" s="2385"/>
      <c r="H715" s="2385"/>
      <c r="I715" s="2385"/>
      <c r="J715" s="2385"/>
      <c r="K715" s="2385"/>
      <c r="L715" s="2385"/>
      <c r="M715" s="2385"/>
      <c r="N715" s="2385"/>
      <c r="O715" s="2385"/>
      <c r="P715" s="2385"/>
      <c r="Q715" s="2385"/>
      <c r="R715" s="2385"/>
      <c r="S715" s="2385"/>
      <c r="T715" s="2385"/>
      <c r="U715" s="2385"/>
      <c r="V715" s="2385"/>
      <c r="W715" s="2385"/>
      <c r="X715" s="2385"/>
      <c r="Y715" s="2385"/>
      <c r="Z715" s="2385"/>
      <c r="AA715" s="2385"/>
      <c r="AB715" s="2385"/>
      <c r="AC715" s="536"/>
      <c r="AD715" s="536"/>
      <c r="AE715" s="614"/>
      <c r="AF715" s="536"/>
      <c r="AG715" s="536"/>
      <c r="AH715" s="536"/>
      <c r="AI715" s="536"/>
      <c r="AJ715" s="536"/>
      <c r="AK715" s="536"/>
      <c r="AL715" s="536"/>
      <c r="AN715" s="595"/>
    </row>
    <row r="716" spans="1:51" s="568" customFormat="1" ht="13" customHeight="1">
      <c r="A716" s="549"/>
      <c r="B716" s="536"/>
      <c r="C716" s="927"/>
      <c r="D716" s="536"/>
      <c r="E716" s="2385"/>
      <c r="F716" s="2385"/>
      <c r="G716" s="2385"/>
      <c r="H716" s="2385"/>
      <c r="I716" s="2385"/>
      <c r="J716" s="2385"/>
      <c r="K716" s="2385"/>
      <c r="L716" s="2385"/>
      <c r="M716" s="2385"/>
      <c r="N716" s="2385"/>
      <c r="O716" s="2385"/>
      <c r="P716" s="2385"/>
      <c r="Q716" s="2385"/>
      <c r="R716" s="2385"/>
      <c r="S716" s="2385"/>
      <c r="T716" s="2385"/>
      <c r="U716" s="2385"/>
      <c r="V716" s="2385"/>
      <c r="W716" s="2385"/>
      <c r="X716" s="2385"/>
      <c r="Y716" s="2385"/>
      <c r="Z716" s="2385"/>
      <c r="AA716" s="2385"/>
      <c r="AB716" s="2385"/>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686</v>
      </c>
      <c r="AP717" s="549">
        <v>3</v>
      </c>
    </row>
    <row r="718" spans="1:51" s="568" customFormat="1" ht="12.75" customHeight="1">
      <c r="A718" s="549"/>
      <c r="B718" s="536"/>
      <c r="C718" s="927"/>
      <c r="D718" s="536"/>
      <c r="E718" s="2385" t="s">
        <v>1680</v>
      </c>
      <c r="F718" s="2385"/>
      <c r="G718" s="2385"/>
      <c r="H718" s="2385"/>
      <c r="I718" s="2385"/>
      <c r="J718" s="2385"/>
      <c r="K718" s="2385"/>
      <c r="L718" s="2385"/>
      <c r="M718" s="2385"/>
      <c r="N718" s="2385"/>
      <c r="O718" s="2385"/>
      <c r="P718" s="2385"/>
      <c r="Q718" s="2385"/>
      <c r="R718" s="2385"/>
      <c r="S718" s="2385"/>
      <c r="T718" s="2385"/>
      <c r="U718" s="2385"/>
      <c r="V718" s="2385"/>
      <c r="W718" s="2385"/>
      <c r="X718" s="2385"/>
      <c r="Y718" s="2385"/>
      <c r="Z718" s="2385"/>
      <c r="AA718" s="2385"/>
      <c r="AB718" s="2385"/>
      <c r="AC718" s="536"/>
      <c r="AD718" s="536"/>
      <c r="AE718" s="614"/>
      <c r="AF718" s="614"/>
      <c r="AG718" s="614"/>
      <c r="AH718" s="614"/>
      <c r="AI718" s="614"/>
      <c r="AJ718" s="536"/>
      <c r="AK718" s="536"/>
      <c r="AL718" s="536"/>
      <c r="AM718" s="549"/>
      <c r="AN718" s="680"/>
      <c r="AO718" s="609" t="s">
        <v>508</v>
      </c>
      <c r="AP718" s="549">
        <f>3*$AO$708</f>
        <v>3</v>
      </c>
    </row>
    <row r="719" spans="1:51" s="568" customFormat="1" ht="12.75" customHeight="1">
      <c r="A719" s="549"/>
      <c r="B719" s="536"/>
      <c r="C719" s="927"/>
      <c r="D719" s="536"/>
      <c r="E719" s="2385"/>
      <c r="F719" s="2385"/>
      <c r="G719" s="2385"/>
      <c r="H719" s="2385"/>
      <c r="I719" s="2385"/>
      <c r="J719" s="2385"/>
      <c r="K719" s="2385"/>
      <c r="L719" s="2385"/>
      <c r="M719" s="2385"/>
      <c r="N719" s="2385"/>
      <c r="O719" s="2385"/>
      <c r="P719" s="2385"/>
      <c r="Q719" s="2385"/>
      <c r="R719" s="2385"/>
      <c r="S719" s="2385"/>
      <c r="T719" s="2385"/>
      <c r="U719" s="2385"/>
      <c r="V719" s="2385"/>
      <c r="W719" s="2385"/>
      <c r="X719" s="2385"/>
      <c r="Y719" s="2385"/>
      <c r="Z719" s="2385"/>
      <c r="AA719" s="2385"/>
      <c r="AB719" s="2385"/>
      <c r="AC719" s="536"/>
      <c r="AD719" s="536"/>
      <c r="AE719" s="614"/>
      <c r="AF719" s="614"/>
      <c r="AG719" s="614"/>
      <c r="AH719" s="614"/>
      <c r="AI719" s="614"/>
      <c r="AJ719" s="536"/>
      <c r="AK719" s="536"/>
      <c r="AL719" s="536"/>
      <c r="AM719" s="549"/>
      <c r="AN719" s="680"/>
      <c r="AO719" s="609" t="s">
        <v>277</v>
      </c>
      <c r="AP719" s="549">
        <f>2*$AO$708</f>
        <v>2</v>
      </c>
    </row>
    <row r="720" spans="1:51" s="568" customFormat="1" ht="12.75" customHeight="1">
      <c r="A720" s="549"/>
      <c r="B720" s="536"/>
      <c r="C720" s="927"/>
      <c r="D720" s="536"/>
      <c r="E720" s="2385"/>
      <c r="F720" s="2385"/>
      <c r="G720" s="2385"/>
      <c r="H720" s="2385"/>
      <c r="I720" s="2385"/>
      <c r="J720" s="2385"/>
      <c r="K720" s="2385"/>
      <c r="L720" s="2385"/>
      <c r="M720" s="2385"/>
      <c r="N720" s="2385"/>
      <c r="O720" s="2385"/>
      <c r="P720" s="2385"/>
      <c r="Q720" s="2385"/>
      <c r="R720" s="2385"/>
      <c r="S720" s="2385"/>
      <c r="T720" s="2385"/>
      <c r="U720" s="2385"/>
      <c r="V720" s="2385"/>
      <c r="W720" s="2385"/>
      <c r="X720" s="2385"/>
      <c r="Y720" s="2385"/>
      <c r="Z720" s="2385"/>
      <c r="AA720" s="2385"/>
      <c r="AB720" s="2385"/>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1390</v>
      </c>
      <c r="E722" s="932"/>
      <c r="F722" s="932"/>
      <c r="G722" s="932"/>
      <c r="H722" s="2387" t="s">
        <v>590</v>
      </c>
      <c r="I722" s="2387"/>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1417</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1395</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2090</v>
      </c>
      <c r="AJ724" s="2388">
        <f>VLOOKUP($H$722,$AO$716:$AP$719,2,FALSE)</f>
        <v>0</v>
      </c>
      <c r="AK724" s="2389"/>
      <c r="AL724" s="593"/>
      <c r="AM724" s="549"/>
      <c r="AN724" s="680"/>
      <c r="AP724" s="568" t="s">
        <v>1402</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1418</v>
      </c>
    </row>
    <row r="726" spans="1:43" s="568" customFormat="1" ht="12.75" customHeight="1">
      <c r="A726" s="549"/>
      <c r="B726" s="536"/>
      <c r="C726" s="539" t="s">
        <v>1419</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1420</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1421</v>
      </c>
    </row>
    <row r="728" spans="1:43" s="568" customFormat="1" ht="12.75" customHeight="1">
      <c r="A728" s="635"/>
      <c r="B728" s="536"/>
      <c r="C728" s="927"/>
      <c r="D728" s="659" t="s">
        <v>686</v>
      </c>
      <c r="E728" s="2527" t="s">
        <v>1682</v>
      </c>
      <c r="F728" s="2527"/>
      <c r="G728" s="2527"/>
      <c r="H728" s="2527"/>
      <c r="I728" s="2527"/>
      <c r="J728" s="2527"/>
      <c r="K728" s="2527"/>
      <c r="L728" s="2527"/>
      <c r="M728" s="2527"/>
      <c r="N728" s="2527"/>
      <c r="O728" s="2527"/>
      <c r="P728" s="2527"/>
      <c r="Q728" s="2527"/>
      <c r="R728" s="2527"/>
      <c r="S728" s="2527"/>
      <c r="T728" s="2527"/>
      <c r="U728" s="2527"/>
      <c r="V728" s="2527"/>
      <c r="W728" s="2527"/>
      <c r="X728" s="2527"/>
      <c r="Y728" s="2527"/>
      <c r="Z728" s="2527"/>
      <c r="AA728" s="2527"/>
      <c r="AB728" s="2527"/>
      <c r="AC728" s="536"/>
      <c r="AD728" s="536"/>
      <c r="AE728" s="536"/>
      <c r="AF728" s="2386" t="s">
        <v>1344</v>
      </c>
      <c r="AG728" s="2386"/>
      <c r="AH728" s="2386"/>
      <c r="AI728" s="2386"/>
      <c r="AJ728" s="2386"/>
      <c r="AK728" s="2386"/>
      <c r="AL728" s="2386"/>
      <c r="AM728" s="549"/>
      <c r="AN728" s="680"/>
      <c r="AP728" s="568" t="s">
        <v>1422</v>
      </c>
    </row>
    <row r="729" spans="1:43" s="568" customFormat="1" ht="11.9" customHeight="1">
      <c r="A729" s="549"/>
      <c r="B729" s="536"/>
      <c r="C729" s="929"/>
      <c r="D729" s="659"/>
      <c r="E729" s="2527"/>
      <c r="F729" s="2527"/>
      <c r="G729" s="2527"/>
      <c r="H729" s="2527"/>
      <c r="I729" s="2527"/>
      <c r="J729" s="2527"/>
      <c r="K729" s="2527"/>
      <c r="L729" s="2527"/>
      <c r="M729" s="2527"/>
      <c r="N729" s="2527"/>
      <c r="O729" s="2527"/>
      <c r="P729" s="2527"/>
      <c r="Q729" s="2527"/>
      <c r="R729" s="2527"/>
      <c r="S729" s="2527"/>
      <c r="T729" s="2527"/>
      <c r="U729" s="2527"/>
      <c r="V729" s="2527"/>
      <c r="W729" s="2527"/>
      <c r="X729" s="2527"/>
      <c r="Y729" s="2527"/>
      <c r="Z729" s="2527"/>
      <c r="AA729" s="2527"/>
      <c r="AB729" s="2527"/>
      <c r="AC729" s="536"/>
      <c r="AD729" s="536"/>
      <c r="AE729" s="536"/>
      <c r="AF729" s="536"/>
      <c r="AG729" s="536"/>
      <c r="AH729" s="536"/>
      <c r="AI729" s="536"/>
      <c r="AJ729" s="536"/>
      <c r="AK729" s="536"/>
      <c r="AL729" s="536"/>
      <c r="AM729" s="549"/>
      <c r="AN729" s="680"/>
      <c r="AP729" s="568" t="s">
        <v>1423</v>
      </c>
    </row>
    <row r="730" spans="1:43" s="568" customFormat="1" ht="13.9" customHeight="1">
      <c r="A730" s="549"/>
      <c r="B730" s="608"/>
      <c r="C730" s="927"/>
      <c r="D730" s="659"/>
      <c r="E730" s="2527"/>
      <c r="F730" s="2527"/>
      <c r="G730" s="2527"/>
      <c r="H730" s="2527"/>
      <c r="I730" s="2527"/>
      <c r="J730" s="2527"/>
      <c r="K730" s="2527"/>
      <c r="L730" s="2527"/>
      <c r="M730" s="2527"/>
      <c r="N730" s="2527"/>
      <c r="O730" s="2527"/>
      <c r="P730" s="2527"/>
      <c r="Q730" s="2527"/>
      <c r="R730" s="2527"/>
      <c r="S730" s="2527"/>
      <c r="T730" s="2527"/>
      <c r="U730" s="2527"/>
      <c r="V730" s="2527"/>
      <c r="W730" s="2527"/>
      <c r="X730" s="2527"/>
      <c r="Y730" s="2527"/>
      <c r="Z730" s="2527"/>
      <c r="AA730" s="2527"/>
      <c r="AB730" s="2527"/>
      <c r="AC730" s="536"/>
      <c r="AD730" s="536"/>
      <c r="AE730" s="614"/>
      <c r="AF730" s="536"/>
      <c r="AG730" s="536"/>
      <c r="AH730" s="536"/>
      <c r="AI730" s="536"/>
      <c r="AJ730" s="536"/>
      <c r="AK730" s="536"/>
      <c r="AL730" s="536"/>
      <c r="AM730" s="549"/>
      <c r="AN730" s="680"/>
      <c r="AP730" s="568" t="s">
        <v>1424</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1426</v>
      </c>
    </row>
    <row r="732" spans="1:43" s="568" customFormat="1" ht="13.9" customHeight="1">
      <c r="A732" s="549"/>
      <c r="B732" s="536"/>
      <c r="C732" s="927"/>
      <c r="D732" s="659" t="s">
        <v>508</v>
      </c>
      <c r="E732" s="2528" t="s">
        <v>1425</v>
      </c>
      <c r="F732" s="2528"/>
      <c r="G732" s="2528"/>
      <c r="H732" s="2528"/>
      <c r="I732" s="2528"/>
      <c r="J732" s="2528"/>
      <c r="K732" s="2528"/>
      <c r="L732" s="2528"/>
      <c r="M732" s="2528"/>
      <c r="N732" s="2528"/>
      <c r="O732" s="2528"/>
      <c r="P732" s="2528"/>
      <c r="Q732" s="2528"/>
      <c r="R732" s="2528"/>
      <c r="S732" s="2528"/>
      <c r="T732" s="2528"/>
      <c r="U732" s="2528"/>
      <c r="V732" s="2528"/>
      <c r="W732" s="2528"/>
      <c r="X732" s="2528"/>
      <c r="Y732" s="2528"/>
      <c r="Z732" s="2528"/>
      <c r="AA732" s="2528"/>
      <c r="AB732" s="2528"/>
      <c r="AC732" s="536"/>
      <c r="AD732" s="536"/>
      <c r="AE732" s="536"/>
      <c r="AF732" s="2386" t="s">
        <v>1398</v>
      </c>
      <c r="AG732" s="2386"/>
      <c r="AH732" s="2386"/>
      <c r="AI732" s="2386"/>
      <c r="AJ732" s="2386"/>
      <c r="AK732" s="2386"/>
      <c r="AL732" s="2386"/>
      <c r="AM732" s="549"/>
      <c r="AN732" s="681"/>
    </row>
    <row r="733" spans="1:43" s="568" customFormat="1" ht="12.75" customHeight="1">
      <c r="A733" s="549"/>
      <c r="B733" s="536"/>
      <c r="C733" s="929"/>
      <c r="D733" s="536"/>
      <c r="E733" s="2528"/>
      <c r="F733" s="2528"/>
      <c r="G733" s="2528"/>
      <c r="H733" s="2528"/>
      <c r="I733" s="2528"/>
      <c r="J733" s="2528"/>
      <c r="K733" s="2528"/>
      <c r="L733" s="2528"/>
      <c r="M733" s="2528"/>
      <c r="N733" s="2528"/>
      <c r="O733" s="2528"/>
      <c r="P733" s="2528"/>
      <c r="Q733" s="2528"/>
      <c r="R733" s="2528"/>
      <c r="S733" s="2528"/>
      <c r="T733" s="2528"/>
      <c r="U733" s="2528"/>
      <c r="V733" s="2528"/>
      <c r="W733" s="2528"/>
      <c r="X733" s="2528"/>
      <c r="Y733" s="2528"/>
      <c r="Z733" s="2528"/>
      <c r="AA733" s="2528"/>
      <c r="AB733" s="2528"/>
      <c r="AC733" s="536"/>
      <c r="AD733" s="536"/>
      <c r="AE733" s="536"/>
      <c r="AF733" s="536"/>
      <c r="AG733" s="536"/>
      <c r="AH733" s="536"/>
      <c r="AI733" s="536"/>
      <c r="AJ733" s="536"/>
      <c r="AK733" s="536"/>
      <c r="AL733" s="536"/>
      <c r="AM733" s="549"/>
      <c r="AN733" s="680"/>
      <c r="AP733" s="549" t="s">
        <v>590</v>
      </c>
      <c r="AQ733" s="669">
        <v>0</v>
      </c>
    </row>
    <row r="734" spans="1:43" s="568" customFormat="1" ht="13.9" customHeight="1">
      <c r="A734" s="549"/>
      <c r="B734" s="536"/>
      <c r="C734" s="929"/>
      <c r="D734" s="536"/>
      <c r="E734" s="2528"/>
      <c r="F734" s="2528"/>
      <c r="G734" s="2528"/>
      <c r="H734" s="2528"/>
      <c r="I734" s="2528"/>
      <c r="J734" s="2528"/>
      <c r="K734" s="2528"/>
      <c r="L734" s="2528"/>
      <c r="M734" s="2528"/>
      <c r="N734" s="2528"/>
      <c r="O734" s="2528"/>
      <c r="P734" s="2528"/>
      <c r="Q734" s="2528"/>
      <c r="R734" s="2528"/>
      <c r="S734" s="2528"/>
      <c r="T734" s="2528"/>
      <c r="U734" s="2528"/>
      <c r="V734" s="2528"/>
      <c r="W734" s="2528"/>
      <c r="X734" s="2528"/>
      <c r="Y734" s="2528"/>
      <c r="Z734" s="2528"/>
      <c r="AA734" s="2528"/>
      <c r="AB734" s="2528"/>
      <c r="AC734" s="536"/>
      <c r="AD734" s="536"/>
      <c r="AE734" s="536"/>
      <c r="AF734" s="536"/>
      <c r="AG734" s="536"/>
      <c r="AH734" s="536"/>
      <c r="AI734" s="536"/>
      <c r="AJ734" s="536"/>
      <c r="AK734" s="536"/>
      <c r="AL734" s="536"/>
      <c r="AM734" s="549"/>
      <c r="AN734" s="680"/>
      <c r="AP734" s="609" t="s">
        <v>686</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3.9" customHeight="1">
      <c r="A736" s="549"/>
      <c r="B736" s="536"/>
      <c r="C736" s="929"/>
      <c r="D736" s="536" t="s">
        <v>1390</v>
      </c>
      <c r="E736" s="932"/>
      <c r="F736" s="932"/>
      <c r="G736" s="932"/>
      <c r="H736" s="2387" t="s">
        <v>590</v>
      </c>
      <c r="I736" s="2387"/>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1427</v>
      </c>
      <c r="AJ738" s="2388">
        <f>VLOOKUP($H$736,$AP$733:$AQ$735,2,FALSE)</f>
        <v>0</v>
      </c>
      <c r="AK738" s="2389"/>
      <c r="AL738" s="593"/>
      <c r="AM738" s="549"/>
      <c r="AN738" s="680"/>
      <c r="AP738" s="2388"/>
      <c r="AQ738" s="2389"/>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ht="13">
      <c r="A740" s="549"/>
      <c r="B740" s="536"/>
      <c r="C740" s="539" t="s">
        <v>1428</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ht="13">
      <c r="A742" s="549"/>
      <c r="B742" s="536"/>
      <c r="C742" s="927"/>
      <c r="D742" s="659" t="s">
        <v>686</v>
      </c>
      <c r="E742" s="2385" t="s">
        <v>1683</v>
      </c>
      <c r="F742" s="2385"/>
      <c r="G742" s="2385"/>
      <c r="H742" s="2385"/>
      <c r="I742" s="2385"/>
      <c r="J742" s="2385"/>
      <c r="K742" s="2385"/>
      <c r="L742" s="2385"/>
      <c r="M742" s="2385"/>
      <c r="N742" s="2385"/>
      <c r="O742" s="2385"/>
      <c r="P742" s="2385"/>
      <c r="Q742" s="2385"/>
      <c r="R742" s="2385"/>
      <c r="S742" s="2385"/>
      <c r="T742" s="2385"/>
      <c r="U742" s="2385"/>
      <c r="V742" s="2385"/>
      <c r="W742" s="2385"/>
      <c r="X742" s="2385"/>
      <c r="Y742" s="2385"/>
      <c r="Z742" s="2385"/>
      <c r="AA742" s="2385"/>
      <c r="AB742" s="2385"/>
      <c r="AC742" s="536"/>
      <c r="AD742" s="536"/>
      <c r="AE742" s="536"/>
      <c r="AF742" s="2386" t="s">
        <v>1344</v>
      </c>
      <c r="AG742" s="2386"/>
      <c r="AH742" s="2386"/>
      <c r="AI742" s="2386"/>
      <c r="AJ742" s="2386"/>
      <c r="AK742" s="2386"/>
      <c r="AL742" s="2386"/>
      <c r="AM742" s="549"/>
      <c r="AN742" s="680"/>
      <c r="AT742" s="14"/>
      <c r="AU742" s="14"/>
      <c r="AV742" s="14"/>
      <c r="AW742" s="14"/>
      <c r="AX742" s="14"/>
      <c r="AY742" s="14"/>
      <c r="AZ742" s="14"/>
    </row>
    <row r="743" spans="1:81" s="568" customFormat="1" ht="13">
      <c r="A743" s="549"/>
      <c r="B743" s="536"/>
      <c r="C743" s="929"/>
      <c r="D743" s="659"/>
      <c r="E743" s="2385"/>
      <c r="F743" s="2385"/>
      <c r="G743" s="2385"/>
      <c r="H743" s="2385"/>
      <c r="I743" s="2385"/>
      <c r="J743" s="2385"/>
      <c r="K743" s="2385"/>
      <c r="L743" s="2385"/>
      <c r="M743" s="2385"/>
      <c r="N743" s="2385"/>
      <c r="O743" s="2385"/>
      <c r="P743" s="2385"/>
      <c r="Q743" s="2385"/>
      <c r="R743" s="2385"/>
      <c r="S743" s="2385"/>
      <c r="T743" s="2385"/>
      <c r="U743" s="2385"/>
      <c r="V743" s="2385"/>
      <c r="W743" s="2385"/>
      <c r="X743" s="2385"/>
      <c r="Y743" s="2385"/>
      <c r="Z743" s="2385"/>
      <c r="AA743" s="2385"/>
      <c r="AB743" s="2385"/>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385" t="s">
        <v>1429</v>
      </c>
      <c r="F745" s="2385"/>
      <c r="G745" s="2385"/>
      <c r="H745" s="2385"/>
      <c r="I745" s="2385"/>
      <c r="J745" s="2385"/>
      <c r="K745" s="2385"/>
      <c r="L745" s="2385"/>
      <c r="M745" s="2385"/>
      <c r="N745" s="2385"/>
      <c r="O745" s="2385"/>
      <c r="P745" s="2385"/>
      <c r="Q745" s="2385"/>
      <c r="R745" s="2385"/>
      <c r="S745" s="2385"/>
      <c r="T745" s="2385"/>
      <c r="U745" s="2385"/>
      <c r="V745" s="2385"/>
      <c r="W745" s="2385"/>
      <c r="X745" s="2385"/>
      <c r="Y745" s="2385"/>
      <c r="Z745" s="2385"/>
      <c r="AA745" s="2385"/>
      <c r="AB745" s="2385"/>
      <c r="AC745" s="536"/>
      <c r="AD745" s="536"/>
      <c r="AE745" s="536"/>
      <c r="AF745" s="2386" t="s">
        <v>1398</v>
      </c>
      <c r="AG745" s="2386"/>
      <c r="AH745" s="2386"/>
      <c r="AI745" s="2386"/>
      <c r="AJ745" s="2386"/>
      <c r="AK745" s="2386"/>
      <c r="AL745" s="2386"/>
      <c r="AM745" s="549"/>
      <c r="AN745" s="680"/>
      <c r="AT745" s="14"/>
      <c r="AU745" s="14"/>
      <c r="AV745" s="14"/>
      <c r="AW745" s="14"/>
      <c r="AX745" s="14"/>
      <c r="AY745" s="14"/>
      <c r="AZ745" s="14"/>
    </row>
    <row r="746" spans="1:81" s="568" customFormat="1" ht="13">
      <c r="A746" s="549"/>
      <c r="B746" s="536"/>
      <c r="C746" s="929"/>
      <c r="D746" s="536"/>
      <c r="E746" s="2385"/>
      <c r="F746" s="2385"/>
      <c r="G746" s="2385"/>
      <c r="H746" s="2385"/>
      <c r="I746" s="2385"/>
      <c r="J746" s="2385"/>
      <c r="K746" s="2385"/>
      <c r="L746" s="2385"/>
      <c r="M746" s="2385"/>
      <c r="N746" s="2385"/>
      <c r="O746" s="2385"/>
      <c r="P746" s="2385"/>
      <c r="Q746" s="2385"/>
      <c r="R746" s="2385"/>
      <c r="S746" s="2385"/>
      <c r="T746" s="2385"/>
      <c r="U746" s="2385"/>
      <c r="V746" s="2385"/>
      <c r="W746" s="2385"/>
      <c r="X746" s="2385"/>
      <c r="Y746" s="2385"/>
      <c r="Z746" s="2385"/>
      <c r="AA746" s="2385"/>
      <c r="AB746" s="2385"/>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ht="13">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1390</v>
      </c>
      <c r="E748" s="932"/>
      <c r="F748" s="932"/>
      <c r="G748" s="932"/>
      <c r="H748" s="2387" t="s">
        <v>590</v>
      </c>
      <c r="I748" s="2387"/>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ht="13">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ht="13">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1430</v>
      </c>
      <c r="AJ750" s="2388">
        <f>VLOOKUP($H$748,$AO$679:$AP$681,2,FALSE)</f>
        <v>0</v>
      </c>
      <c r="AK750" s="2389"/>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1431</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ht="13">
      <c r="A754" s="549"/>
      <c r="B754" s="536"/>
      <c r="C754" s="927"/>
      <c r="D754" s="659" t="s">
        <v>686</v>
      </c>
      <c r="E754" s="2385" t="s">
        <v>1432</v>
      </c>
      <c r="F754" s="2385"/>
      <c r="G754" s="2385"/>
      <c r="H754" s="2385"/>
      <c r="I754" s="2385"/>
      <c r="J754" s="2385"/>
      <c r="K754" s="2385"/>
      <c r="L754" s="2385"/>
      <c r="M754" s="2385"/>
      <c r="N754" s="2385"/>
      <c r="O754" s="2385"/>
      <c r="P754" s="2385"/>
      <c r="Q754" s="2385"/>
      <c r="R754" s="2385"/>
      <c r="S754" s="2385"/>
      <c r="T754" s="2385"/>
      <c r="U754" s="2385"/>
      <c r="V754" s="2385"/>
      <c r="W754" s="2385"/>
      <c r="X754" s="2385"/>
      <c r="Y754" s="2385"/>
      <c r="Z754" s="2385"/>
      <c r="AA754" s="2385"/>
      <c r="AB754" s="2385"/>
      <c r="AC754" s="536"/>
      <c r="AD754" s="536"/>
      <c r="AE754" s="536"/>
      <c r="AF754" s="2386" t="s">
        <v>1344</v>
      </c>
      <c r="AG754" s="2386"/>
      <c r="AH754" s="2386"/>
      <c r="AI754" s="2386"/>
      <c r="AJ754" s="2386"/>
      <c r="AK754" s="2386"/>
      <c r="AL754" s="2386"/>
      <c r="AM754" s="549"/>
      <c r="AN754" s="680"/>
      <c r="AT754" s="14"/>
      <c r="AU754" s="14"/>
      <c r="AV754" s="14"/>
      <c r="AW754" s="14"/>
      <c r="AX754" s="14"/>
      <c r="AY754" s="14"/>
      <c r="AZ754" s="14"/>
    </row>
    <row r="755" spans="1:81" s="568" customFormat="1" ht="13">
      <c r="A755" s="549"/>
      <c r="B755" s="536"/>
      <c r="C755" s="927"/>
      <c r="D755" s="659"/>
      <c r="E755" s="2385"/>
      <c r="F755" s="2385"/>
      <c r="G755" s="2385"/>
      <c r="H755" s="2385"/>
      <c r="I755" s="2385"/>
      <c r="J755" s="2385"/>
      <c r="K755" s="2385"/>
      <c r="L755" s="2385"/>
      <c r="M755" s="2385"/>
      <c r="N755" s="2385"/>
      <c r="O755" s="2385"/>
      <c r="P755" s="2385"/>
      <c r="Q755" s="2385"/>
      <c r="R755" s="2385"/>
      <c r="S755" s="2385"/>
      <c r="T755" s="2385"/>
      <c r="U755" s="2385"/>
      <c r="V755" s="2385"/>
      <c r="W755" s="2385"/>
      <c r="X755" s="2385"/>
      <c r="Y755" s="2385"/>
      <c r="Z755" s="2385"/>
      <c r="AA755" s="2385"/>
      <c r="AB755" s="2385"/>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ht="13">
      <c r="A756" s="549"/>
      <c r="B756" s="536"/>
      <c r="C756" s="929"/>
      <c r="D756" s="659"/>
      <c r="E756" s="2385"/>
      <c r="F756" s="2385"/>
      <c r="G756" s="2385"/>
      <c r="H756" s="2385"/>
      <c r="I756" s="2385"/>
      <c r="J756" s="2385"/>
      <c r="K756" s="2385"/>
      <c r="L756" s="2385"/>
      <c r="M756" s="2385"/>
      <c r="N756" s="2385"/>
      <c r="O756" s="2385"/>
      <c r="P756" s="2385"/>
      <c r="Q756" s="2385"/>
      <c r="R756" s="2385"/>
      <c r="S756" s="2385"/>
      <c r="T756" s="2385"/>
      <c r="U756" s="2385"/>
      <c r="V756" s="2385"/>
      <c r="W756" s="2385"/>
      <c r="X756" s="2385"/>
      <c r="Y756" s="2385"/>
      <c r="Z756" s="2385"/>
      <c r="AA756" s="2385"/>
      <c r="AB756" s="2385"/>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85"/>
      <c r="F757" s="2385"/>
      <c r="G757" s="2385"/>
      <c r="H757" s="2385"/>
      <c r="I757" s="2385"/>
      <c r="J757" s="2385"/>
      <c r="K757" s="2385"/>
      <c r="L757" s="2385"/>
      <c r="M757" s="2385"/>
      <c r="N757" s="2385"/>
      <c r="O757" s="2385"/>
      <c r="P757" s="2385"/>
      <c r="Q757" s="2385"/>
      <c r="R757" s="2385"/>
      <c r="S757" s="2385"/>
      <c r="T757" s="2385"/>
      <c r="U757" s="2385"/>
      <c r="V757" s="2385"/>
      <c r="W757" s="2385"/>
      <c r="X757" s="2385"/>
      <c r="Y757" s="2385"/>
      <c r="Z757" s="2385"/>
      <c r="AA757" s="2385"/>
      <c r="AB757" s="2385"/>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ht="13">
      <c r="A759" s="549"/>
      <c r="B759" s="536"/>
      <c r="C759" s="927"/>
      <c r="D759" s="659" t="s">
        <v>508</v>
      </c>
      <c r="E759" s="2385" t="s">
        <v>1433</v>
      </c>
      <c r="F759" s="2385"/>
      <c r="G759" s="2385"/>
      <c r="H759" s="2385"/>
      <c r="I759" s="2385"/>
      <c r="J759" s="2385"/>
      <c r="K759" s="2385"/>
      <c r="L759" s="2385"/>
      <c r="M759" s="2385"/>
      <c r="N759" s="2385"/>
      <c r="O759" s="2385"/>
      <c r="P759" s="2385"/>
      <c r="Q759" s="2385"/>
      <c r="R759" s="2385"/>
      <c r="S759" s="2385"/>
      <c r="T759" s="2385"/>
      <c r="U759" s="2385"/>
      <c r="V759" s="2385"/>
      <c r="W759" s="2385"/>
      <c r="X759" s="2385"/>
      <c r="Y759" s="2385"/>
      <c r="Z759" s="2385"/>
      <c r="AA759" s="2385"/>
      <c r="AB759" s="573"/>
      <c r="AC759" s="536"/>
      <c r="AD759" s="536"/>
      <c r="AE759" s="536"/>
      <c r="AF759" s="2386" t="s">
        <v>1398</v>
      </c>
      <c r="AG759" s="2386"/>
      <c r="AH759" s="2386"/>
      <c r="AI759" s="2386"/>
      <c r="AJ759" s="2386"/>
      <c r="AK759" s="2386"/>
      <c r="AL759" s="2386"/>
      <c r="AM759" s="549"/>
      <c r="AN759" s="680"/>
      <c r="AO759" s="30"/>
      <c r="AP759" s="14"/>
    </row>
    <row r="760" spans="1:81" s="568" customFormat="1" ht="13">
      <c r="A760" s="549"/>
      <c r="B760" s="536"/>
      <c r="C760" s="927"/>
      <c r="D760" s="659"/>
      <c r="E760" s="2385"/>
      <c r="F760" s="2385"/>
      <c r="G760" s="2385"/>
      <c r="H760" s="2385"/>
      <c r="I760" s="2385"/>
      <c r="J760" s="2385"/>
      <c r="K760" s="2385"/>
      <c r="L760" s="2385"/>
      <c r="M760" s="2385"/>
      <c r="N760" s="2385"/>
      <c r="O760" s="2385"/>
      <c r="P760" s="2385"/>
      <c r="Q760" s="2385"/>
      <c r="R760" s="2385"/>
      <c r="S760" s="2385"/>
      <c r="T760" s="2385"/>
      <c r="U760" s="2385"/>
      <c r="V760" s="2385"/>
      <c r="W760" s="2385"/>
      <c r="X760" s="2385"/>
      <c r="Y760" s="2385"/>
      <c r="Z760" s="2385"/>
      <c r="AA760" s="2385"/>
      <c r="AB760" s="573"/>
      <c r="AC760" s="536"/>
      <c r="AD760" s="536"/>
      <c r="AE760" s="536"/>
      <c r="AF760" s="592"/>
      <c r="AG760" s="592"/>
      <c r="AH760" s="592"/>
      <c r="AI760" s="592"/>
      <c r="AJ760" s="592"/>
      <c r="AK760" s="592"/>
      <c r="AL760" s="592"/>
      <c r="AM760" s="549"/>
      <c r="AN760" s="680"/>
      <c r="AO760" s="30"/>
      <c r="AP760" s="14"/>
    </row>
    <row r="761" spans="1:81" s="568" customFormat="1" ht="13">
      <c r="A761" s="549"/>
      <c r="B761" s="536"/>
      <c r="C761" s="927"/>
      <c r="D761" s="536"/>
      <c r="E761" s="2385"/>
      <c r="F761" s="2385"/>
      <c r="G761" s="2385"/>
      <c r="H761" s="2385"/>
      <c r="I761" s="2385"/>
      <c r="J761" s="2385"/>
      <c r="K761" s="2385"/>
      <c r="L761" s="2385"/>
      <c r="M761" s="2385"/>
      <c r="N761" s="2385"/>
      <c r="O761" s="2385"/>
      <c r="P761" s="2385"/>
      <c r="Q761" s="2385"/>
      <c r="R761" s="2385"/>
      <c r="S761" s="2385"/>
      <c r="T761" s="2385"/>
      <c r="U761" s="2385"/>
      <c r="V761" s="2385"/>
      <c r="W761" s="2385"/>
      <c r="X761" s="2385"/>
      <c r="Y761" s="2385"/>
      <c r="Z761" s="2385"/>
      <c r="AA761" s="2385"/>
      <c r="AB761" s="573"/>
      <c r="AC761" s="592"/>
      <c r="AD761" s="592"/>
      <c r="AE761" s="592"/>
      <c r="AF761" s="592"/>
      <c r="AG761" s="592"/>
      <c r="AH761" s="592"/>
      <c r="AI761" s="592"/>
      <c r="AJ761" s="536"/>
      <c r="AK761" s="536"/>
      <c r="AL761" s="536"/>
      <c r="AM761" s="549"/>
      <c r="AN761" s="680"/>
      <c r="AO761" s="30"/>
      <c r="AP761" s="14"/>
    </row>
    <row r="762" spans="1:81" s="568" customFormat="1" ht="13">
      <c r="A762" s="549"/>
      <c r="B762" s="536"/>
      <c r="C762" s="927"/>
      <c r="D762" s="536"/>
      <c r="E762" s="2385"/>
      <c r="F762" s="2385"/>
      <c r="G762" s="2385"/>
      <c r="H762" s="2385"/>
      <c r="I762" s="2385"/>
      <c r="J762" s="2385"/>
      <c r="K762" s="2385"/>
      <c r="L762" s="2385"/>
      <c r="M762" s="2385"/>
      <c r="N762" s="2385"/>
      <c r="O762" s="2385"/>
      <c r="P762" s="2385"/>
      <c r="Q762" s="2385"/>
      <c r="R762" s="2385"/>
      <c r="S762" s="2385"/>
      <c r="T762" s="2385"/>
      <c r="U762" s="2385"/>
      <c r="V762" s="2385"/>
      <c r="W762" s="2385"/>
      <c r="X762" s="2385"/>
      <c r="Y762" s="2385"/>
      <c r="Z762" s="2385"/>
      <c r="AA762" s="2385"/>
      <c r="AB762" s="573"/>
      <c r="AC762" s="592"/>
      <c r="AD762" s="592"/>
      <c r="AE762" s="592"/>
      <c r="AF762" s="592"/>
      <c r="AG762" s="592"/>
      <c r="AH762" s="592"/>
      <c r="AI762" s="592"/>
      <c r="AJ762" s="536"/>
      <c r="AK762" s="536"/>
      <c r="AL762" s="536"/>
      <c r="AM762" s="549"/>
      <c r="AN762" s="680"/>
      <c r="AO762" s="30"/>
      <c r="AP762" s="14"/>
    </row>
    <row r="763" spans="1:81" s="568" customFormat="1" ht="13">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1390</v>
      </c>
      <c r="E764" s="932"/>
      <c r="F764" s="932"/>
      <c r="G764" s="932"/>
      <c r="H764" s="2387" t="s">
        <v>508</v>
      </c>
      <c r="I764" s="2387"/>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ht="13">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1434</v>
      </c>
      <c r="AJ766" s="2388">
        <f>VLOOKUP($H$764,$AO$693:$AP$695,2,FALSE)</f>
        <v>2</v>
      </c>
      <c r="AK766" s="2389"/>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ht="13">
      <c r="A768" s="549"/>
      <c r="B768" s="536"/>
      <c r="C768" s="539" t="s">
        <v>1424</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ht="13">
      <c r="A770" s="549"/>
      <c r="B770" s="536"/>
      <c r="C770" s="927"/>
      <c r="D770" s="659" t="s">
        <v>686</v>
      </c>
      <c r="E770" s="2385" t="s">
        <v>1435</v>
      </c>
      <c r="F770" s="2385"/>
      <c r="G770" s="2385"/>
      <c r="H770" s="2385"/>
      <c r="I770" s="2385"/>
      <c r="J770" s="2385"/>
      <c r="K770" s="2385"/>
      <c r="L770" s="2385"/>
      <c r="M770" s="2385"/>
      <c r="N770" s="2385"/>
      <c r="O770" s="2385"/>
      <c r="P770" s="2385"/>
      <c r="Q770" s="2385"/>
      <c r="R770" s="2385"/>
      <c r="S770" s="2385"/>
      <c r="T770" s="2385"/>
      <c r="U770" s="2385"/>
      <c r="V770" s="2385"/>
      <c r="W770" s="2385"/>
      <c r="X770" s="2385"/>
      <c r="Y770" s="2385"/>
      <c r="Z770" s="2385"/>
      <c r="AA770" s="2385"/>
      <c r="AB770" s="2385"/>
      <c r="AC770" s="536"/>
      <c r="AD770" s="536"/>
      <c r="AE770" s="536"/>
      <c r="AF770" s="2386" t="s">
        <v>1398</v>
      </c>
      <c r="AG770" s="2386"/>
      <c r="AH770" s="2386"/>
      <c r="AI770" s="2386"/>
      <c r="AJ770" s="2386"/>
      <c r="AK770" s="2386"/>
      <c r="AL770" s="2386"/>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ht="13">
      <c r="A771" s="549"/>
      <c r="B771" s="536"/>
      <c r="C771" s="929"/>
      <c r="D771" s="659"/>
      <c r="E771" s="2385"/>
      <c r="F771" s="2385"/>
      <c r="G771" s="2385"/>
      <c r="H771" s="2385"/>
      <c r="I771" s="2385"/>
      <c r="J771" s="2385"/>
      <c r="K771" s="2385"/>
      <c r="L771" s="2385"/>
      <c r="M771" s="2385"/>
      <c r="N771" s="2385"/>
      <c r="O771" s="2385"/>
      <c r="P771" s="2385"/>
      <c r="Q771" s="2385"/>
      <c r="R771" s="2385"/>
      <c r="S771" s="2385"/>
      <c r="T771" s="2385"/>
      <c r="U771" s="2385"/>
      <c r="V771" s="2385"/>
      <c r="W771" s="2385"/>
      <c r="X771" s="2385"/>
      <c r="Y771" s="2385"/>
      <c r="Z771" s="2385"/>
      <c r="AA771" s="2385"/>
      <c r="AB771" s="2385"/>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ht="13">
      <c r="A773" s="635"/>
      <c r="B773" s="536"/>
      <c r="C773" s="927"/>
      <c r="D773" s="659" t="s">
        <v>508</v>
      </c>
      <c r="E773" s="2385" t="s">
        <v>1436</v>
      </c>
      <c r="F773" s="2385"/>
      <c r="G773" s="2385"/>
      <c r="H773" s="2385"/>
      <c r="I773" s="2385"/>
      <c r="J773" s="2385"/>
      <c r="K773" s="2385"/>
      <c r="L773" s="2385"/>
      <c r="M773" s="2385"/>
      <c r="N773" s="2385"/>
      <c r="O773" s="2385"/>
      <c r="P773" s="2385"/>
      <c r="Q773" s="2385"/>
      <c r="R773" s="2385"/>
      <c r="S773" s="2385"/>
      <c r="T773" s="2385"/>
      <c r="U773" s="2385"/>
      <c r="V773" s="2385"/>
      <c r="W773" s="2385"/>
      <c r="X773" s="2385"/>
      <c r="Y773" s="2385"/>
      <c r="Z773" s="2385"/>
      <c r="AA773" s="2385"/>
      <c r="AB773" s="2385"/>
      <c r="AC773" s="536"/>
      <c r="AD773" s="536"/>
      <c r="AE773" s="536"/>
      <c r="AF773" s="2386" t="s">
        <v>1415</v>
      </c>
      <c r="AG773" s="2386"/>
      <c r="AH773" s="2386"/>
      <c r="AI773" s="2386"/>
      <c r="AJ773" s="2386"/>
      <c r="AK773" s="2386"/>
      <c r="AL773" s="2386"/>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85"/>
      <c r="F774" s="2385"/>
      <c r="G774" s="2385"/>
      <c r="H774" s="2385"/>
      <c r="I774" s="2385"/>
      <c r="J774" s="2385"/>
      <c r="K774" s="2385"/>
      <c r="L774" s="2385"/>
      <c r="M774" s="2385"/>
      <c r="N774" s="2385"/>
      <c r="O774" s="2385"/>
      <c r="P774" s="2385"/>
      <c r="Q774" s="2385"/>
      <c r="R774" s="2385"/>
      <c r="S774" s="2385"/>
      <c r="T774" s="2385"/>
      <c r="U774" s="2385"/>
      <c r="V774" s="2385"/>
      <c r="W774" s="2385"/>
      <c r="X774" s="2385"/>
      <c r="Y774" s="2385"/>
      <c r="Z774" s="2385"/>
      <c r="AA774" s="2385"/>
      <c r="AB774" s="2385"/>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ht="13">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1390</v>
      </c>
      <c r="E776" s="932"/>
      <c r="F776" s="932"/>
      <c r="G776" s="932"/>
      <c r="H776" s="2387" t="s">
        <v>686</v>
      </c>
      <c r="I776" s="2387"/>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1437</v>
      </c>
      <c r="AJ778" s="2388">
        <f>VLOOKUP($H$776,$AO$710:$AP$712,2,FALSE)</f>
        <v>2</v>
      </c>
      <c r="AK778" s="2389"/>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ht="13">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ht="13">
      <c r="A780" s="549"/>
      <c r="B780" s="614"/>
      <c r="C780" s="539" t="s">
        <v>1426</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ht="13">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5" customHeight="1">
      <c r="A782" s="549"/>
      <c r="B782" s="614"/>
      <c r="C782" s="936"/>
      <c r="D782" s="659" t="s">
        <v>686</v>
      </c>
      <c r="E782" s="2385" t="s">
        <v>1679</v>
      </c>
      <c r="F782" s="2385"/>
      <c r="G782" s="2385"/>
      <c r="H782" s="2385"/>
      <c r="I782" s="2385"/>
      <c r="J782" s="2385"/>
      <c r="K782" s="2385"/>
      <c r="L782" s="2385"/>
      <c r="M782" s="2385"/>
      <c r="N782" s="2385"/>
      <c r="O782" s="2385"/>
      <c r="P782" s="2385"/>
      <c r="Q782" s="2385"/>
      <c r="R782" s="2385"/>
      <c r="S782" s="2385"/>
      <c r="T782" s="2385"/>
      <c r="U782" s="2385"/>
      <c r="V782" s="2385"/>
      <c r="W782" s="2385"/>
      <c r="X782" s="2385"/>
      <c r="Y782" s="2385"/>
      <c r="Z782" s="2385"/>
      <c r="AA782" s="2385"/>
      <c r="AB782" s="2385"/>
      <c r="AC782" s="2385"/>
      <c r="AD782" s="2385"/>
      <c r="AE782" s="536"/>
      <c r="AF782" s="2386" t="s">
        <v>1398</v>
      </c>
      <c r="AG782" s="2386"/>
      <c r="AH782" s="2386"/>
      <c r="AI782" s="2386"/>
      <c r="AJ782" s="2386"/>
      <c r="AK782" s="2386"/>
      <c r="AL782" s="2386"/>
      <c r="AM782" s="611"/>
      <c r="AN782" s="680"/>
      <c r="AO782" s="549" t="s">
        <v>590</v>
      </c>
      <c r="AP782" s="669">
        <v>0</v>
      </c>
    </row>
    <row r="783" spans="1:74" s="568" customFormat="1" ht="13.75" customHeight="1">
      <c r="A783" s="549"/>
      <c r="B783" s="614"/>
      <c r="C783" s="936"/>
      <c r="D783" s="659"/>
      <c r="E783" s="2385"/>
      <c r="F783" s="2385"/>
      <c r="G783" s="2385"/>
      <c r="H783" s="2385"/>
      <c r="I783" s="2385"/>
      <c r="J783" s="2385"/>
      <c r="K783" s="2385"/>
      <c r="L783" s="2385"/>
      <c r="M783" s="2385"/>
      <c r="N783" s="2385"/>
      <c r="O783" s="2385"/>
      <c r="P783" s="2385"/>
      <c r="Q783" s="2385"/>
      <c r="R783" s="2385"/>
      <c r="S783" s="2385"/>
      <c r="T783" s="2385"/>
      <c r="U783" s="2385"/>
      <c r="V783" s="2385"/>
      <c r="W783" s="2385"/>
      <c r="X783" s="2385"/>
      <c r="Y783" s="2385"/>
      <c r="Z783" s="2385"/>
      <c r="AA783" s="2385"/>
      <c r="AB783" s="2385"/>
      <c r="AC783" s="2385"/>
      <c r="AD783" s="2385"/>
      <c r="AE783" s="536"/>
      <c r="AF783" s="592"/>
      <c r="AG783" s="592"/>
      <c r="AH783" s="592"/>
      <c r="AI783" s="592"/>
      <c r="AJ783" s="592"/>
      <c r="AK783" s="592"/>
      <c r="AL783" s="592"/>
      <c r="AM783" s="611"/>
      <c r="AN783" s="680"/>
      <c r="AO783" s="609" t="s">
        <v>686</v>
      </c>
      <c r="AP783" s="549">
        <v>2</v>
      </c>
    </row>
    <row r="784" spans="1:74" s="568" customFormat="1" ht="13">
      <c r="A784" s="549"/>
      <c r="B784" s="614"/>
      <c r="C784" s="936"/>
      <c r="D784" s="659"/>
      <c r="E784" s="2385"/>
      <c r="F784" s="2385"/>
      <c r="G784" s="2385"/>
      <c r="H784" s="2385"/>
      <c r="I784" s="2385"/>
      <c r="J784" s="2385"/>
      <c r="K784" s="2385"/>
      <c r="L784" s="2385"/>
      <c r="M784" s="2385"/>
      <c r="N784" s="2385"/>
      <c r="O784" s="2385"/>
      <c r="P784" s="2385"/>
      <c r="Q784" s="2385"/>
      <c r="R784" s="2385"/>
      <c r="S784" s="2385"/>
      <c r="T784" s="2385"/>
      <c r="U784" s="2385"/>
      <c r="V784" s="2385"/>
      <c r="W784" s="2385"/>
      <c r="X784" s="2385"/>
      <c r="Y784" s="2385"/>
      <c r="Z784" s="2385"/>
      <c r="AA784" s="2385"/>
      <c r="AB784" s="2385"/>
      <c r="AC784" s="2385"/>
      <c r="AD784" s="2385"/>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49999999999999" customHeight="1">
      <c r="A785" s="549"/>
      <c r="B785" s="614"/>
      <c r="C785" s="936"/>
      <c r="D785" s="659"/>
      <c r="E785" s="2385"/>
      <c r="F785" s="2385"/>
      <c r="G785" s="2385"/>
      <c r="H785" s="2385"/>
      <c r="I785" s="2385"/>
      <c r="J785" s="2385"/>
      <c r="K785" s="2385"/>
      <c r="L785" s="2385"/>
      <c r="M785" s="2385"/>
      <c r="N785" s="2385"/>
      <c r="O785" s="2385"/>
      <c r="P785" s="2385"/>
      <c r="Q785" s="2385"/>
      <c r="R785" s="2385"/>
      <c r="S785" s="2385"/>
      <c r="T785" s="2385"/>
      <c r="U785" s="2385"/>
      <c r="V785" s="2385"/>
      <c r="W785" s="2385"/>
      <c r="X785" s="2385"/>
      <c r="Y785" s="2385"/>
      <c r="Z785" s="2385"/>
      <c r="AA785" s="2385"/>
      <c r="AB785" s="2385"/>
      <c r="AC785" s="2385"/>
      <c r="AD785" s="2385"/>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26" t="s">
        <v>1684</v>
      </c>
      <c r="F787" s="2526"/>
      <c r="G787" s="2526"/>
      <c r="H787" s="2526"/>
      <c r="I787" s="2526"/>
      <c r="J787" s="2526"/>
      <c r="K787" s="2526"/>
      <c r="L787" s="2526"/>
      <c r="M787" s="2526"/>
      <c r="N787" s="2526"/>
      <c r="O787" s="2526"/>
      <c r="P787" s="2526"/>
      <c r="Q787" s="2526"/>
      <c r="R787" s="2526"/>
      <c r="S787" s="2526"/>
      <c r="T787" s="2526"/>
      <c r="U787" s="2526"/>
      <c r="V787" s="2526"/>
      <c r="W787" s="2526"/>
      <c r="X787" s="2526"/>
      <c r="Y787" s="2526"/>
      <c r="Z787" s="2526"/>
      <c r="AA787" s="2526"/>
      <c r="AB787" s="2526"/>
      <c r="AC787" s="2526"/>
      <c r="AD787" s="2526"/>
      <c r="AE787" s="536"/>
      <c r="AF787" s="2386" t="s">
        <v>1344</v>
      </c>
      <c r="AG787" s="2386"/>
      <c r="AH787" s="2386"/>
      <c r="AI787" s="2386"/>
      <c r="AJ787" s="2386"/>
      <c r="AK787" s="2386"/>
      <c r="AL787" s="2386"/>
      <c r="AM787" s="611"/>
      <c r="AN787" s="595"/>
    </row>
    <row r="788" spans="1:81" s="549" customFormat="1" ht="12.75" customHeight="1">
      <c r="B788" s="614"/>
      <c r="C788" s="936"/>
      <c r="D788" s="659"/>
      <c r="E788" s="2526"/>
      <c r="F788" s="2526"/>
      <c r="G788" s="2526"/>
      <c r="H788" s="2526"/>
      <c r="I788" s="2526"/>
      <c r="J788" s="2526"/>
      <c r="K788" s="2526"/>
      <c r="L788" s="2526"/>
      <c r="M788" s="2526"/>
      <c r="N788" s="2526"/>
      <c r="O788" s="2526"/>
      <c r="P788" s="2526"/>
      <c r="Q788" s="2526"/>
      <c r="R788" s="2526"/>
      <c r="S788" s="2526"/>
      <c r="T788" s="2526"/>
      <c r="U788" s="2526"/>
      <c r="V788" s="2526"/>
      <c r="W788" s="2526"/>
      <c r="X788" s="2526"/>
      <c r="Y788" s="2526"/>
      <c r="Z788" s="2526"/>
      <c r="AA788" s="2526"/>
      <c r="AB788" s="2526"/>
      <c r="AC788" s="2526"/>
      <c r="AD788" s="2526"/>
      <c r="AE788" s="592"/>
      <c r="AF788" s="592"/>
      <c r="AG788" s="592"/>
      <c r="AH788" s="592"/>
      <c r="AI788" s="592"/>
      <c r="AJ788" s="592"/>
      <c r="AK788" s="592"/>
      <c r="AL788" s="592"/>
      <c r="AM788" s="611"/>
      <c r="AN788" s="595"/>
    </row>
    <row r="789" spans="1:81" s="549" customFormat="1" ht="12.75" customHeight="1">
      <c r="B789" s="614"/>
      <c r="C789" s="936"/>
      <c r="D789" s="659"/>
      <c r="E789" s="2526"/>
      <c r="F789" s="2526"/>
      <c r="G789" s="2526"/>
      <c r="H789" s="2526"/>
      <c r="I789" s="2526"/>
      <c r="J789" s="2526"/>
      <c r="K789" s="2526"/>
      <c r="L789" s="2526"/>
      <c r="M789" s="2526"/>
      <c r="N789" s="2526"/>
      <c r="O789" s="2526"/>
      <c r="P789" s="2526"/>
      <c r="Q789" s="2526"/>
      <c r="R789" s="2526"/>
      <c r="S789" s="2526"/>
      <c r="T789" s="2526"/>
      <c r="U789" s="2526"/>
      <c r="V789" s="2526"/>
      <c r="W789" s="2526"/>
      <c r="X789" s="2526"/>
      <c r="Y789" s="2526"/>
      <c r="Z789" s="2526"/>
      <c r="AA789" s="2526"/>
      <c r="AB789" s="2526"/>
      <c r="AC789" s="2526"/>
      <c r="AD789" s="2526"/>
      <c r="AE789" s="592"/>
      <c r="AF789" s="592"/>
      <c r="AG789" s="592"/>
      <c r="AH789" s="592"/>
      <c r="AI789" s="592"/>
      <c r="AJ789" s="592"/>
      <c r="AK789" s="592"/>
      <c r="AL789" s="592"/>
      <c r="AM789" s="611"/>
      <c r="AN789" s="595"/>
    </row>
    <row r="790" spans="1:81" s="549" customFormat="1" ht="12.75" customHeight="1">
      <c r="B790" s="614"/>
      <c r="C790" s="936"/>
      <c r="D790" s="659"/>
      <c r="E790" s="2526"/>
      <c r="F790" s="2526"/>
      <c r="G790" s="2526"/>
      <c r="H790" s="2526"/>
      <c r="I790" s="2526"/>
      <c r="J790" s="2526"/>
      <c r="K790" s="2526"/>
      <c r="L790" s="2526"/>
      <c r="M790" s="2526"/>
      <c r="N790" s="2526"/>
      <c r="O790" s="2526"/>
      <c r="P790" s="2526"/>
      <c r="Q790" s="2526"/>
      <c r="R790" s="2526"/>
      <c r="S790" s="2526"/>
      <c r="T790" s="2526"/>
      <c r="U790" s="2526"/>
      <c r="V790" s="2526"/>
      <c r="W790" s="2526"/>
      <c r="X790" s="2526"/>
      <c r="Y790" s="2526"/>
      <c r="Z790" s="2526"/>
      <c r="AA790" s="2526"/>
      <c r="AB790" s="2526"/>
      <c r="AC790" s="2526"/>
      <c r="AD790" s="2526"/>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1390</v>
      </c>
      <c r="E792" s="932"/>
      <c r="F792" s="932"/>
      <c r="G792" s="932"/>
      <c r="H792" s="2387" t="s">
        <v>590</v>
      </c>
      <c r="I792" s="2387"/>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1438</v>
      </c>
      <c r="AJ794" s="2388">
        <f>VLOOKUP($H$792,$AO$782:$AP$784,2,FALSE)</f>
        <v>0</v>
      </c>
      <c r="AK794" s="2389"/>
      <c r="AL794" s="593"/>
      <c r="AN794" s="595"/>
    </row>
    <row r="795" spans="1:81" s="568" customFormat="1" ht="13">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ht="13">
      <c r="A796" s="549"/>
      <c r="B796" s="614"/>
      <c r="C796" s="539" t="s">
        <v>1439</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5" customHeight="1">
      <c r="A798" s="549"/>
      <c r="B798" s="614"/>
      <c r="C798" s="936"/>
      <c r="D798" s="659" t="s">
        <v>686</v>
      </c>
      <c r="E798" s="2385" t="s">
        <v>2636</v>
      </c>
      <c r="F798" s="2385"/>
      <c r="G798" s="2385"/>
      <c r="H798" s="2385"/>
      <c r="I798" s="2385"/>
      <c r="J798" s="2385"/>
      <c r="K798" s="2385"/>
      <c r="L798" s="2385"/>
      <c r="M798" s="2385"/>
      <c r="N798" s="2385"/>
      <c r="O798" s="2385"/>
      <c r="P798" s="2385"/>
      <c r="Q798" s="2385"/>
      <c r="R798" s="2385"/>
      <c r="S798" s="2385"/>
      <c r="T798" s="2385"/>
      <c r="U798" s="2385"/>
      <c r="V798" s="2385"/>
      <c r="W798" s="2385"/>
      <c r="X798" s="2385"/>
      <c r="Y798" s="2385"/>
      <c r="Z798" s="2385"/>
      <c r="AA798" s="2385"/>
      <c r="AB798" s="2385"/>
      <c r="AC798" s="2385"/>
      <c r="AD798" s="2385"/>
      <c r="AE798" s="536"/>
      <c r="AF798" s="2386" t="s">
        <v>1344</v>
      </c>
      <c r="AG798" s="2386"/>
      <c r="AH798" s="2386"/>
      <c r="AI798" s="2386"/>
      <c r="AJ798" s="2386"/>
      <c r="AK798" s="2386"/>
      <c r="AL798" s="2386"/>
      <c r="AM798" s="611"/>
      <c r="AN798" s="680"/>
      <c r="AO798" s="609" t="s">
        <v>544</v>
      </c>
      <c r="AP798" s="549">
        <v>3</v>
      </c>
      <c r="AT798" s="670"/>
      <c r="AU798" s="670"/>
      <c r="AV798" s="670"/>
      <c r="AW798" s="670"/>
      <c r="AX798" s="670"/>
      <c r="AY798" s="670"/>
      <c r="AZ798" s="670"/>
    </row>
    <row r="799" spans="1:81" s="568" customFormat="1" ht="13.75" customHeight="1">
      <c r="A799" s="549"/>
      <c r="B799" s="614"/>
      <c r="C799" s="936"/>
      <c r="D799" s="659"/>
      <c r="E799" s="2385"/>
      <c r="F799" s="2385"/>
      <c r="G799" s="2385"/>
      <c r="H799" s="2385"/>
      <c r="I799" s="2385"/>
      <c r="J799" s="2385"/>
      <c r="K799" s="2385"/>
      <c r="L799" s="2385"/>
      <c r="M799" s="2385"/>
      <c r="N799" s="2385"/>
      <c r="O799" s="2385"/>
      <c r="P799" s="2385"/>
      <c r="Q799" s="2385"/>
      <c r="R799" s="2385"/>
      <c r="S799" s="2385"/>
      <c r="T799" s="2385"/>
      <c r="U799" s="2385"/>
      <c r="V799" s="2385"/>
      <c r="W799" s="2385"/>
      <c r="X799" s="2385"/>
      <c r="Y799" s="2385"/>
      <c r="Z799" s="2385"/>
      <c r="AA799" s="2385"/>
      <c r="AB799" s="2385"/>
      <c r="AC799" s="2385"/>
      <c r="AD799" s="2385"/>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ht="13">
      <c r="A800" s="549"/>
      <c r="B800" s="614"/>
      <c r="C800" s="936"/>
      <c r="D800" s="659"/>
      <c r="E800" s="2385"/>
      <c r="F800" s="2385"/>
      <c r="G800" s="2385"/>
      <c r="H800" s="2385"/>
      <c r="I800" s="2385"/>
      <c r="J800" s="2385"/>
      <c r="K800" s="2385"/>
      <c r="L800" s="2385"/>
      <c r="M800" s="2385"/>
      <c r="N800" s="2385"/>
      <c r="O800" s="2385"/>
      <c r="P800" s="2385"/>
      <c r="Q800" s="2385"/>
      <c r="R800" s="2385"/>
      <c r="S800" s="2385"/>
      <c r="T800" s="2385"/>
      <c r="U800" s="2385"/>
      <c r="V800" s="2385"/>
      <c r="W800" s="2385"/>
      <c r="X800" s="2385"/>
      <c r="Y800" s="2385"/>
      <c r="Z800" s="2385"/>
      <c r="AA800" s="2385"/>
      <c r="AB800" s="2385"/>
      <c r="AC800" s="2385"/>
      <c r="AD800" s="2385"/>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ht="13">
      <c r="A801" s="549"/>
      <c r="B801" s="614"/>
      <c r="C801" s="936"/>
      <c r="D801" s="659"/>
      <c r="E801" s="2385"/>
      <c r="F801" s="2385"/>
      <c r="G801" s="2385"/>
      <c r="H801" s="2385"/>
      <c r="I801" s="2385"/>
      <c r="J801" s="2385"/>
      <c r="K801" s="2385"/>
      <c r="L801" s="2385"/>
      <c r="M801" s="2385"/>
      <c r="N801" s="2385"/>
      <c r="O801" s="2385"/>
      <c r="P801" s="2385"/>
      <c r="Q801" s="2385"/>
      <c r="R801" s="2385"/>
      <c r="S801" s="2385"/>
      <c r="T801" s="2385"/>
      <c r="U801" s="2385"/>
      <c r="V801" s="2385"/>
      <c r="W801" s="2385"/>
      <c r="X801" s="2385"/>
      <c r="Y801" s="2385"/>
      <c r="Z801" s="2385"/>
      <c r="AA801" s="2385"/>
      <c r="AB801" s="2385"/>
      <c r="AC801" s="2385"/>
      <c r="AD801" s="2385"/>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ht="13">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ht="13">
      <c r="A803" s="549"/>
      <c r="B803" s="614"/>
      <c r="C803" s="936"/>
      <c r="D803" s="536" t="s">
        <v>1390</v>
      </c>
      <c r="E803" s="932"/>
      <c r="F803" s="932"/>
      <c r="G803" s="932"/>
      <c r="H803" s="2387" t="s">
        <v>544</v>
      </c>
      <c r="I803" s="2387"/>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ht="13">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1440</v>
      </c>
      <c r="AJ805" s="2388">
        <f>VLOOKUP($H$803,$AO$797:$AP$798,2,FALSE)</f>
        <v>3</v>
      </c>
      <c r="AK805" s="2389"/>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2597</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686</v>
      </c>
      <c r="E809" s="2385" t="s">
        <v>2598</v>
      </c>
      <c r="F809" s="2385"/>
      <c r="G809" s="2385"/>
      <c r="H809" s="2385"/>
      <c r="I809" s="2385"/>
      <c r="J809" s="2385"/>
      <c r="K809" s="2385"/>
      <c r="L809" s="2385"/>
      <c r="M809" s="2385"/>
      <c r="N809" s="2385"/>
      <c r="O809" s="2385"/>
      <c r="P809" s="2385"/>
      <c r="Q809" s="2385"/>
      <c r="R809" s="2385"/>
      <c r="S809" s="2385"/>
      <c r="T809" s="2385"/>
      <c r="U809" s="2385"/>
      <c r="V809" s="2385"/>
      <c r="W809" s="2385"/>
      <c r="X809" s="2385"/>
      <c r="Y809" s="2385"/>
      <c r="Z809" s="2385"/>
      <c r="AA809" s="2385"/>
      <c r="AB809" s="2385"/>
      <c r="AC809" s="2385"/>
      <c r="AD809" s="2385"/>
      <c r="AE809" s="550"/>
      <c r="AF809" s="2386" t="s">
        <v>1369</v>
      </c>
      <c r="AG809" s="2386"/>
      <c r="AH809" s="2386"/>
      <c r="AI809" s="2386"/>
      <c r="AJ809" s="2386"/>
      <c r="AK809" s="2386"/>
      <c r="AL809" s="2386"/>
      <c r="AN809" s="595"/>
    </row>
    <row r="810" spans="1:81" s="549" customFormat="1" ht="12.75" customHeight="1">
      <c r="B810" s="614"/>
      <c r="C810" s="684"/>
      <c r="D810" s="659"/>
      <c r="E810" s="2385"/>
      <c r="F810" s="2385"/>
      <c r="G810" s="2385"/>
      <c r="H810" s="2385"/>
      <c r="I810" s="2385"/>
      <c r="J810" s="2385"/>
      <c r="K810" s="2385"/>
      <c r="L810" s="2385"/>
      <c r="M810" s="2385"/>
      <c r="N810" s="2385"/>
      <c r="O810" s="2385"/>
      <c r="P810" s="2385"/>
      <c r="Q810" s="2385"/>
      <c r="R810" s="2385"/>
      <c r="S810" s="2385"/>
      <c r="T810" s="2385"/>
      <c r="U810" s="2385"/>
      <c r="V810" s="2385"/>
      <c r="W810" s="2385"/>
      <c r="X810" s="2385"/>
      <c r="Y810" s="2385"/>
      <c r="Z810" s="2385"/>
      <c r="AA810" s="2385"/>
      <c r="AB810" s="2385"/>
      <c r="AC810" s="2385"/>
      <c r="AD810" s="2385"/>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ht="13">
      <c r="A812" s="549"/>
      <c r="B812" s="614"/>
      <c r="C812" s="936"/>
      <c r="D812" s="536" t="s">
        <v>1390</v>
      </c>
      <c r="E812" s="932"/>
      <c r="F812" s="932"/>
      <c r="G812" s="932"/>
      <c r="H812" s="2387" t="s">
        <v>590</v>
      </c>
      <c r="I812" s="2387"/>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ht="13">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2599</v>
      </c>
      <c r="AJ814" s="2388">
        <f>IF(H812="Yes",5,0)</f>
        <v>0</v>
      </c>
      <c r="AK814" s="2389"/>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1441</v>
      </c>
      <c r="AK816" s="2388">
        <f>IF(($AJ$634+$AJ$653+$AJ$665+$AJ$700+$AJ$724+$AJ$738+$AJ$750+$AJ$766+$AJ$778+$AJ$794+AJ805+AJ814)&gt;10,10,($AJ$634+$AJ$653+$AJ$665+$AJ$700+$AJ$724+$AJ$738+$AJ$750+$AJ$766+$AJ$778+$AJ$794+AJ805+AJ814))</f>
        <v>10</v>
      </c>
      <c r="AL816" s="2434"/>
      <c r="AM816" s="2389"/>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15" t="s">
        <v>1556</v>
      </c>
      <c r="B819" s="2516"/>
      <c r="C819" s="2516"/>
      <c r="D819" s="2516"/>
      <c r="E819" s="2516"/>
      <c r="F819" s="2516"/>
      <c r="G819" s="2516"/>
      <c r="H819" s="2516"/>
      <c r="I819" s="2516"/>
      <c r="J819" s="2516"/>
      <c r="K819" s="2516"/>
      <c r="L819" s="2516"/>
      <c r="M819" s="2516"/>
      <c r="N819" s="2516"/>
      <c r="O819" s="2516"/>
      <c r="P819" s="2516"/>
      <c r="Q819" s="2516"/>
      <c r="R819" s="2516"/>
      <c r="S819" s="2516"/>
      <c r="T819" s="2516"/>
      <c r="U819" s="2516"/>
      <c r="V819" s="2516"/>
      <c r="W819" s="2516"/>
      <c r="X819" s="2516"/>
      <c r="Y819" s="2516"/>
      <c r="Z819" s="2516"/>
      <c r="AA819" s="2516"/>
      <c r="AB819" s="2516"/>
      <c r="AC819" s="2516"/>
      <c r="AD819" s="2516"/>
      <c r="AE819" s="2516"/>
      <c r="AF819" s="2516"/>
      <c r="AG819" s="2516"/>
      <c r="AH819" s="2516"/>
      <c r="AI819" s="2516"/>
      <c r="AJ819" s="2516"/>
      <c r="AK819" s="2516"/>
      <c r="AL819" s="2516"/>
      <c r="AM819" s="2516"/>
    </row>
    <row r="820" spans="1:43">
      <c r="A820" s="2517"/>
      <c r="B820" s="2517"/>
      <c r="C820" s="2517"/>
      <c r="D820" s="2517"/>
      <c r="E820" s="2517"/>
      <c r="F820" s="2517"/>
      <c r="G820" s="2517"/>
      <c r="H820" s="2517"/>
      <c r="I820" s="2517"/>
      <c r="J820" s="2517"/>
      <c r="K820" s="2517"/>
      <c r="L820" s="2517"/>
      <c r="M820" s="2517"/>
      <c r="N820" s="2517"/>
      <c r="O820" s="2517"/>
      <c r="P820" s="2517"/>
      <c r="Q820" s="2517"/>
      <c r="R820" s="2517"/>
      <c r="S820" s="2517"/>
      <c r="T820" s="2517"/>
      <c r="U820" s="2517"/>
      <c r="V820" s="2517"/>
      <c r="W820" s="2517"/>
      <c r="X820" s="2517"/>
      <c r="Y820" s="2517"/>
      <c r="Z820" s="2517"/>
      <c r="AA820" s="2517"/>
      <c r="AB820" s="2517"/>
      <c r="AC820" s="2517"/>
      <c r="AD820" s="2517"/>
      <c r="AE820" s="2517"/>
      <c r="AF820" s="2517"/>
      <c r="AG820" s="2517"/>
      <c r="AH820" s="2517"/>
      <c r="AI820" s="2517"/>
      <c r="AJ820" s="2517"/>
      <c r="AK820" s="2517"/>
      <c r="AL820" s="2517"/>
      <c r="AM820" s="2517"/>
      <c r="AO820" s="812"/>
      <c r="AP820" s="812"/>
      <c r="AQ820" s="812"/>
    </row>
    <row r="821" spans="1:43" ht="1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ht="13">
      <c r="A822" s="2461"/>
      <c r="B822" s="2461"/>
      <c r="C822" s="2461"/>
      <c r="D822" s="2461"/>
      <c r="E822" s="2461"/>
      <c r="F822" s="2461"/>
      <c r="G822" s="2461"/>
      <c r="H822" s="2461"/>
      <c r="I822" s="2461"/>
      <c r="J822" s="2461"/>
      <c r="K822" s="2461"/>
      <c r="L822" s="2461"/>
      <c r="M822" s="2461"/>
      <c r="N822" s="2461"/>
      <c r="O822" s="2461"/>
      <c r="P822" s="2461"/>
      <c r="Q822" s="2461"/>
      <c r="R822" s="2461"/>
      <c r="S822" s="2461"/>
      <c r="T822" s="2461"/>
      <c r="U822" s="2461"/>
      <c r="V822" s="2461"/>
      <c r="W822" s="2461"/>
      <c r="X822" s="2461"/>
      <c r="Y822" s="2461"/>
      <c r="Z822" s="2461"/>
      <c r="AA822" s="2461"/>
      <c r="AB822" s="2461"/>
      <c r="AC822" s="2461"/>
      <c r="AD822" s="2461"/>
      <c r="AE822" s="2461"/>
      <c r="AF822" s="2461"/>
      <c r="AG822" s="2461"/>
      <c r="AH822" s="2461"/>
      <c r="AI822" s="2461"/>
      <c r="AJ822" s="2461"/>
      <c r="AK822" s="2461"/>
      <c r="AL822" s="2461"/>
      <c r="AM822" s="2461"/>
      <c r="AP822" s="812"/>
      <c r="AQ822" s="812"/>
    </row>
    <row r="823" spans="1:43" ht="13">
      <c r="A823" s="2461"/>
      <c r="B823" s="2461"/>
      <c r="C823" s="2461"/>
      <c r="D823" s="2461"/>
      <c r="E823" s="2461"/>
      <c r="F823" s="2461"/>
      <c r="G823" s="2461"/>
      <c r="H823" s="2461"/>
      <c r="I823" s="2461"/>
      <c r="J823" s="2461"/>
      <c r="K823" s="2461"/>
      <c r="L823" s="2461"/>
      <c r="M823" s="2461"/>
      <c r="N823" s="2461"/>
      <c r="O823" s="2461"/>
      <c r="P823" s="2461"/>
      <c r="Q823" s="2461"/>
      <c r="R823" s="2461"/>
      <c r="S823" s="2461"/>
      <c r="T823" s="2461"/>
      <c r="U823" s="2461"/>
      <c r="V823" s="2461"/>
      <c r="W823" s="2461"/>
      <c r="X823" s="2461"/>
      <c r="Y823" s="2461"/>
      <c r="Z823" s="2461"/>
      <c r="AA823" s="2461"/>
      <c r="AB823" s="2461"/>
      <c r="AC823" s="2461"/>
      <c r="AD823" s="2461"/>
      <c r="AE823" s="2461"/>
      <c r="AF823" s="2461"/>
      <c r="AG823" s="2461"/>
      <c r="AH823" s="2461"/>
      <c r="AI823" s="2461"/>
      <c r="AJ823" s="2461"/>
      <c r="AK823" s="2461"/>
      <c r="AL823" s="2461"/>
      <c r="AM823" s="2461"/>
      <c r="AO823" s="812"/>
      <c r="AQ823" s="812"/>
    </row>
    <row r="824" spans="1:43" ht="13">
      <c r="A824" s="813"/>
      <c r="B824" s="663"/>
      <c r="C824" s="663"/>
      <c r="D824" s="663"/>
      <c r="E824" s="663"/>
      <c r="F824" s="663"/>
      <c r="G824" s="663"/>
      <c r="H824" s="663"/>
      <c r="I824" s="663"/>
      <c r="J824" s="663"/>
      <c r="K824" s="663"/>
      <c r="L824" s="663"/>
      <c r="M824" s="663"/>
      <c r="N824" s="663"/>
      <c r="O824" s="663"/>
      <c r="P824" s="663"/>
      <c r="Q824" s="663"/>
      <c r="R824" s="663"/>
      <c r="S824" s="665"/>
      <c r="T824" s="2518" t="s">
        <v>1557</v>
      </c>
      <c r="U824" s="2519"/>
      <c r="V824" s="2519"/>
      <c r="W824" s="2519"/>
      <c r="X824" s="2519"/>
      <c r="Y824" s="2520"/>
      <c r="Z824" s="2518" t="s">
        <v>1558</v>
      </c>
      <c r="AA824" s="2519"/>
      <c r="AB824" s="2519"/>
      <c r="AC824" s="2519"/>
      <c r="AD824" s="2519"/>
      <c r="AE824" s="2520"/>
      <c r="AF824" s="2518" t="s">
        <v>1559</v>
      </c>
      <c r="AG824" s="2519"/>
      <c r="AH824" s="2519"/>
      <c r="AI824" s="2519"/>
      <c r="AJ824" s="2519"/>
      <c r="AK824" s="2520"/>
      <c r="AL824" s="814"/>
      <c r="AM824" s="594"/>
      <c r="AO824" s="812"/>
      <c r="AP824" s="812"/>
      <c r="AQ824" s="812"/>
    </row>
    <row r="825" spans="1:43" ht="13">
      <c r="A825" s="815"/>
      <c r="B825" s="690"/>
      <c r="C825" s="690"/>
      <c r="D825" s="690"/>
      <c r="E825" s="690"/>
      <c r="F825" s="690"/>
      <c r="G825" s="690"/>
      <c r="H825" s="690"/>
      <c r="I825" s="690"/>
      <c r="J825" s="690"/>
      <c r="K825" s="690"/>
      <c r="L825" s="690"/>
      <c r="M825" s="690"/>
      <c r="N825" s="690"/>
      <c r="O825" s="690"/>
      <c r="P825" s="690"/>
      <c r="Q825" s="690"/>
      <c r="R825" s="690"/>
      <c r="S825" s="704"/>
      <c r="T825" s="2521"/>
      <c r="U825" s="2522"/>
      <c r="V825" s="2522"/>
      <c r="W825" s="2522"/>
      <c r="X825" s="2522"/>
      <c r="Y825" s="2523"/>
      <c r="Z825" s="2521"/>
      <c r="AA825" s="2522"/>
      <c r="AB825" s="2522"/>
      <c r="AC825" s="2522"/>
      <c r="AD825" s="2522"/>
      <c r="AE825" s="2523"/>
      <c r="AF825" s="2521"/>
      <c r="AG825" s="2522"/>
      <c r="AH825" s="2522"/>
      <c r="AI825" s="2522"/>
      <c r="AJ825" s="2522"/>
      <c r="AK825" s="2523"/>
      <c r="AL825" s="814"/>
      <c r="AM825" s="594"/>
      <c r="AO825" s="812"/>
      <c r="AP825" s="812"/>
      <c r="AQ825" s="812"/>
    </row>
    <row r="826" spans="1:43" ht="13">
      <c r="A826" s="815" t="s">
        <v>756</v>
      </c>
      <c r="B826" s="2476" t="str">
        <f>B7</f>
        <v xml:space="preserve">Acquisition/Rehabilitation Project Priorities </v>
      </c>
      <c r="C826" s="2476"/>
      <c r="D826" s="2476"/>
      <c r="E826" s="2476"/>
      <c r="F826" s="2476"/>
      <c r="G826" s="2476"/>
      <c r="H826" s="2476"/>
      <c r="I826" s="2476"/>
      <c r="J826" s="2476"/>
      <c r="K826" s="2476"/>
      <c r="L826" s="2476"/>
      <c r="M826" s="2476"/>
      <c r="N826" s="2476"/>
      <c r="O826" s="2476"/>
      <c r="P826" s="2476"/>
      <c r="Q826" s="2476"/>
      <c r="R826" s="2476"/>
      <c r="S826" s="2477"/>
      <c r="T826" s="2503">
        <f>AK61</f>
        <v>0</v>
      </c>
      <c r="U826" s="2480"/>
      <c r="V826" s="2480"/>
      <c r="W826" s="2480"/>
      <c r="X826" s="2480"/>
      <c r="Y826" s="2481"/>
      <c r="Z826" s="2479">
        <v>20</v>
      </c>
      <c r="AA826" s="2480"/>
      <c r="AB826" s="2480"/>
      <c r="AC826" s="2480"/>
      <c r="AD826" s="2480"/>
      <c r="AE826" s="2481"/>
      <c r="AF826" s="2459">
        <f>IF(T826&gt;Z826,Z826,T826)</f>
        <v>0</v>
      </c>
      <c r="AG826" s="2459"/>
      <c r="AH826" s="2459"/>
      <c r="AI826" s="2459"/>
      <c r="AJ826" s="2459"/>
      <c r="AK826" s="2459"/>
      <c r="AL826" s="814"/>
      <c r="AM826" s="594"/>
      <c r="AO826" s="812"/>
      <c r="AP826" s="812"/>
      <c r="AQ826" s="812"/>
    </row>
    <row r="827" spans="1:43" ht="13">
      <c r="A827" s="815" t="s">
        <v>1530</v>
      </c>
      <c r="B827" s="2476" t="s">
        <v>1305</v>
      </c>
      <c r="C827" s="2476"/>
      <c r="D827" s="2476"/>
      <c r="E827" s="2476"/>
      <c r="F827" s="2476"/>
      <c r="G827" s="2476"/>
      <c r="H827" s="2476"/>
      <c r="I827" s="2476"/>
      <c r="J827" s="2476"/>
      <c r="K827" s="2476"/>
      <c r="L827" s="2476"/>
      <c r="M827" s="2476"/>
      <c r="N827" s="2476"/>
      <c r="O827" s="2476"/>
      <c r="P827" s="2476"/>
      <c r="Q827" s="2476"/>
      <c r="R827" s="2476"/>
      <c r="S827" s="2477"/>
      <c r="T827" s="2503">
        <f>AK83</f>
        <v>10</v>
      </c>
      <c r="U827" s="2480"/>
      <c r="V827" s="2480"/>
      <c r="W827" s="2480"/>
      <c r="X827" s="2480"/>
      <c r="Y827" s="2481"/>
      <c r="Z827" s="2479">
        <v>10</v>
      </c>
      <c r="AA827" s="2480"/>
      <c r="AB827" s="2480"/>
      <c r="AC827" s="2480"/>
      <c r="AD827" s="2480"/>
      <c r="AE827" s="2481"/>
      <c r="AF827" s="2459">
        <f>IF(T827&gt;Z827,Z827,T827)</f>
        <v>10</v>
      </c>
      <c r="AG827" s="2459"/>
      <c r="AH827" s="2459"/>
      <c r="AI827" s="2459"/>
      <c r="AJ827" s="2459"/>
      <c r="AK827" s="2459"/>
      <c r="AL827" s="814"/>
      <c r="AM827" s="594"/>
      <c r="AO827" s="812"/>
      <c r="AP827" s="812"/>
      <c r="AQ827" s="812"/>
    </row>
    <row r="828" spans="1:43" ht="13">
      <c r="A828" s="815" t="s">
        <v>1539</v>
      </c>
      <c r="B828" s="2476" t="s">
        <v>1315</v>
      </c>
      <c r="C828" s="2476"/>
      <c r="D828" s="2476"/>
      <c r="E828" s="2476"/>
      <c r="F828" s="2476"/>
      <c r="G828" s="2476"/>
      <c r="H828" s="2476"/>
      <c r="I828" s="2476"/>
      <c r="J828" s="2476"/>
      <c r="K828" s="2476"/>
      <c r="L828" s="2476"/>
      <c r="M828" s="2476"/>
      <c r="N828" s="2476"/>
      <c r="O828" s="2476"/>
      <c r="P828" s="2476"/>
      <c r="Q828" s="2476"/>
      <c r="R828" s="2476"/>
      <c r="S828" s="2477"/>
      <c r="T828" s="2503">
        <f ca="1">AK108</f>
        <v>20</v>
      </c>
      <c r="U828" s="2480"/>
      <c r="V828" s="2480"/>
      <c r="W828" s="2480"/>
      <c r="X828" s="2480"/>
      <c r="Y828" s="2481"/>
      <c r="Z828" s="2479">
        <v>20</v>
      </c>
      <c r="AA828" s="2480"/>
      <c r="AB828" s="2480"/>
      <c r="AC828" s="2480"/>
      <c r="AD828" s="2480"/>
      <c r="AE828" s="2481"/>
      <c r="AF828" s="2459">
        <f ca="1">IF(T828&gt;Z828,Z828,T828)</f>
        <v>20</v>
      </c>
      <c r="AG828" s="2459"/>
      <c r="AH828" s="2459"/>
      <c r="AI828" s="2459"/>
      <c r="AJ828" s="2459"/>
      <c r="AK828" s="2459"/>
      <c r="AL828" s="814"/>
      <c r="AM828" s="594"/>
      <c r="AO828" s="812"/>
      <c r="AP828" s="812"/>
      <c r="AQ828" s="812"/>
    </row>
    <row r="829" spans="1:43" ht="13">
      <c r="A829" s="815" t="s">
        <v>1560</v>
      </c>
      <c r="B829" s="2476" t="s">
        <v>1325</v>
      </c>
      <c r="C829" s="2476"/>
      <c r="D829" s="2476"/>
      <c r="E829" s="2476"/>
      <c r="F829" s="2476"/>
      <c r="G829" s="2476"/>
      <c r="H829" s="2476"/>
      <c r="I829" s="2476"/>
      <c r="J829" s="2476"/>
      <c r="K829" s="2476"/>
      <c r="L829" s="2476"/>
      <c r="M829" s="2476"/>
      <c r="N829" s="2476"/>
      <c r="O829" s="2476"/>
      <c r="P829" s="2476"/>
      <c r="Q829" s="2476"/>
      <c r="R829" s="2476"/>
      <c r="S829" s="2477"/>
      <c r="T829" s="2503">
        <f>AK142</f>
        <v>10</v>
      </c>
      <c r="U829" s="2480"/>
      <c r="V829" s="2480"/>
      <c r="W829" s="2480"/>
      <c r="X829" s="2480"/>
      <c r="Y829" s="2481"/>
      <c r="Z829" s="2479">
        <v>10</v>
      </c>
      <c r="AA829" s="2480"/>
      <c r="AB829" s="2480"/>
      <c r="AC829" s="2480"/>
      <c r="AD829" s="2480"/>
      <c r="AE829" s="2481"/>
      <c r="AF829" s="2459">
        <f>IF(T829&gt;Z829,Z829,T829)</f>
        <v>10</v>
      </c>
      <c r="AG829" s="2459"/>
      <c r="AH829" s="2459"/>
      <c r="AI829" s="2459"/>
      <c r="AJ829" s="2459"/>
      <c r="AK829" s="2459"/>
      <c r="AL829" s="814"/>
      <c r="AM829" s="594"/>
      <c r="AO829" s="812"/>
      <c r="AP829" s="812"/>
      <c r="AQ829" s="812"/>
    </row>
    <row r="830" spans="1:43" ht="13">
      <c r="A830" s="816" t="s">
        <v>1561</v>
      </c>
      <c r="B830" s="2476" t="s">
        <v>1562</v>
      </c>
      <c r="C830" s="2476"/>
      <c r="D830" s="2476"/>
      <c r="E830" s="2476"/>
      <c r="F830" s="2476"/>
      <c r="G830" s="2476"/>
      <c r="H830" s="2476"/>
      <c r="I830" s="2476"/>
      <c r="J830" s="2476"/>
      <c r="K830" s="2476"/>
      <c r="L830" s="2476"/>
      <c r="M830" s="2476"/>
      <c r="N830" s="2476"/>
      <c r="O830" s="2476"/>
      <c r="P830" s="2476"/>
      <c r="Q830" s="2476"/>
      <c r="R830" s="2476"/>
      <c r="S830" s="2477"/>
      <c r="T830" s="2478">
        <f>SUM(T831:Y832)</f>
        <v>10</v>
      </c>
      <c r="U830" s="2478"/>
      <c r="V830" s="2478"/>
      <c r="W830" s="2478"/>
      <c r="X830" s="2478"/>
      <c r="Y830" s="2478"/>
      <c r="Z830" s="2459">
        <v>10</v>
      </c>
      <c r="AA830" s="2459"/>
      <c r="AB830" s="2459"/>
      <c r="AC830" s="2459"/>
      <c r="AD830" s="2459"/>
      <c r="AE830" s="2459"/>
      <c r="AF830" s="2459">
        <f>IF(T830&gt;Z830,Z830,T830)</f>
        <v>10</v>
      </c>
      <c r="AG830" s="2459"/>
      <c r="AH830" s="2459"/>
      <c r="AI830" s="2459"/>
      <c r="AJ830" s="2459"/>
      <c r="AK830" s="2459"/>
      <c r="AL830" s="814"/>
      <c r="AM830" s="594"/>
    </row>
    <row r="831" spans="1:43" ht="13">
      <c r="A831" s="535"/>
      <c r="B831" s="599"/>
      <c r="C831" s="2482" t="s">
        <v>1563</v>
      </c>
      <c r="D831" s="2482"/>
      <c r="E831" s="2482"/>
      <c r="F831" s="2482"/>
      <c r="G831" s="2482"/>
      <c r="H831" s="2482"/>
      <c r="I831" s="2482"/>
      <c r="J831" s="2482"/>
      <c r="K831" s="2482"/>
      <c r="L831" s="2482"/>
      <c r="M831" s="2482"/>
      <c r="N831" s="2482"/>
      <c r="O831" s="2482"/>
      <c r="P831" s="2482"/>
      <c r="Q831" s="2482"/>
      <c r="R831" s="2482"/>
      <c r="S831" s="2483"/>
      <c r="T831" s="2484">
        <f>AJ165</f>
        <v>7</v>
      </c>
      <c r="U831" s="2484"/>
      <c r="V831" s="2484"/>
      <c r="W831" s="2484"/>
      <c r="X831" s="2484"/>
      <c r="Y831" s="2484"/>
      <c r="Z831" s="2485">
        <v>7</v>
      </c>
      <c r="AA831" s="2485"/>
      <c r="AB831" s="2485"/>
      <c r="AC831" s="2485"/>
      <c r="AD831" s="2485"/>
      <c r="AE831" s="2485"/>
      <c r="AF831" s="2486"/>
      <c r="AG831" s="2486"/>
      <c r="AH831" s="2486"/>
      <c r="AI831" s="2486"/>
      <c r="AJ831" s="2486"/>
      <c r="AK831" s="2486"/>
      <c r="AL831" s="814"/>
      <c r="AM831" s="594"/>
    </row>
    <row r="832" spans="1:43" ht="13">
      <c r="A832" s="598"/>
      <c r="B832" s="599"/>
      <c r="C832" s="2482" t="s">
        <v>1564</v>
      </c>
      <c r="D832" s="2482"/>
      <c r="E832" s="2482"/>
      <c r="F832" s="2482"/>
      <c r="G832" s="2482"/>
      <c r="H832" s="2482"/>
      <c r="I832" s="2482"/>
      <c r="J832" s="2482"/>
      <c r="K832" s="2482"/>
      <c r="L832" s="2482"/>
      <c r="M832" s="2482"/>
      <c r="N832" s="2482"/>
      <c r="O832" s="2482"/>
      <c r="P832" s="2482"/>
      <c r="Q832" s="2482"/>
      <c r="R832" s="2482"/>
      <c r="S832" s="2483"/>
      <c r="T832" s="2484">
        <f>AJ179</f>
        <v>3</v>
      </c>
      <c r="U832" s="2484"/>
      <c r="V832" s="2484"/>
      <c r="W832" s="2484"/>
      <c r="X832" s="2484"/>
      <c r="Y832" s="2484"/>
      <c r="Z832" s="2485">
        <v>3</v>
      </c>
      <c r="AA832" s="2485"/>
      <c r="AB832" s="2485"/>
      <c r="AC832" s="2485"/>
      <c r="AD832" s="2485"/>
      <c r="AE832" s="2485"/>
      <c r="AF832" s="2486"/>
      <c r="AG832" s="2486"/>
      <c r="AH832" s="2486"/>
      <c r="AI832" s="2486"/>
      <c r="AJ832" s="2486"/>
      <c r="AK832" s="2486"/>
      <c r="AL832" s="814"/>
      <c r="AM832" s="594"/>
      <c r="AO832" s="549"/>
    </row>
    <row r="833" spans="1:81" ht="13">
      <c r="A833" s="816" t="s">
        <v>1353</v>
      </c>
      <c r="B833" s="2476" t="s">
        <v>1565</v>
      </c>
      <c r="C833" s="2476"/>
      <c r="D833" s="2476"/>
      <c r="E833" s="2476"/>
      <c r="F833" s="2476"/>
      <c r="G833" s="2476"/>
      <c r="H833" s="2476"/>
      <c r="I833" s="2476"/>
      <c r="J833" s="2476"/>
      <c r="K833" s="2476"/>
      <c r="L833" s="2476"/>
      <c r="M833" s="2476"/>
      <c r="N833" s="2476"/>
      <c r="O833" s="2476"/>
      <c r="P833" s="2476"/>
      <c r="Q833" s="2476"/>
      <c r="R833" s="2476"/>
      <c r="S833" s="2477"/>
      <c r="T833" s="2478">
        <f>AK190</f>
        <v>10</v>
      </c>
      <c r="U833" s="2478"/>
      <c r="V833" s="2478"/>
      <c r="W833" s="2478"/>
      <c r="X833" s="2478"/>
      <c r="Y833" s="2478"/>
      <c r="Z833" s="2459">
        <v>10</v>
      </c>
      <c r="AA833" s="2459"/>
      <c r="AB833" s="2459"/>
      <c r="AC833" s="2459"/>
      <c r="AD833" s="2459"/>
      <c r="AE833" s="2459"/>
      <c r="AF833" s="2459">
        <f>IF(T833&gt;Z833,Z833,T833)</f>
        <v>10</v>
      </c>
      <c r="AG833" s="2459"/>
      <c r="AH833" s="2459"/>
      <c r="AI833" s="2459"/>
      <c r="AJ833" s="2459"/>
      <c r="AK833" s="2459"/>
      <c r="AL833" s="814"/>
      <c r="AM833" s="594"/>
    </row>
    <row r="834" spans="1:81" ht="13" hidden="1">
      <c r="A834" s="815" t="s">
        <v>1361</v>
      </c>
      <c r="B834" s="2476" t="s">
        <v>1362</v>
      </c>
      <c r="C834" s="2476"/>
      <c r="D834" s="2476"/>
      <c r="E834" s="2476"/>
      <c r="F834" s="2476"/>
      <c r="G834" s="2476"/>
      <c r="H834" s="2476"/>
      <c r="I834" s="2476"/>
      <c r="J834" s="2476"/>
      <c r="K834" s="2476"/>
      <c r="L834" s="2476"/>
      <c r="M834" s="2476"/>
      <c r="N834" s="2476"/>
      <c r="O834" s="2476"/>
      <c r="P834" s="2476"/>
      <c r="Q834" s="2476"/>
      <c r="R834" s="2476"/>
      <c r="S834" s="2477"/>
      <c r="T834" s="2478">
        <f>AK272</f>
        <v>0</v>
      </c>
      <c r="U834" s="2478"/>
      <c r="V834" s="2478"/>
      <c r="W834" s="2478"/>
      <c r="X834" s="2478"/>
      <c r="Y834" s="2478"/>
      <c r="Z834" s="2479">
        <v>8</v>
      </c>
      <c r="AA834" s="2480"/>
      <c r="AB834" s="2480"/>
      <c r="AC834" s="2480"/>
      <c r="AD834" s="2480"/>
      <c r="AE834" s="2481"/>
      <c r="AF834" s="2459"/>
      <c r="AG834" s="2459"/>
      <c r="AH834" s="2459"/>
      <c r="AI834" s="2459"/>
      <c r="AJ834" s="2459"/>
      <c r="AK834" s="2459"/>
      <c r="AL834" s="814"/>
      <c r="AM834" s="594"/>
    </row>
    <row r="835" spans="1:81" s="534" customFormat="1" ht="13" hidden="1">
      <c r="A835" s="816" t="s">
        <v>588</v>
      </c>
      <c r="B835" s="2476" t="s">
        <v>1566</v>
      </c>
      <c r="C835" s="2476"/>
      <c r="D835" s="2476"/>
      <c r="E835" s="2476"/>
      <c r="F835" s="2476"/>
      <c r="G835" s="2476"/>
      <c r="H835" s="2476"/>
      <c r="I835" s="2476"/>
      <c r="J835" s="2476"/>
      <c r="K835" s="2476"/>
      <c r="L835" s="2476"/>
      <c r="M835" s="2476"/>
      <c r="N835" s="2476"/>
      <c r="O835" s="2476"/>
      <c r="P835" s="2476"/>
      <c r="Q835" s="2476"/>
      <c r="R835" s="2476"/>
      <c r="S835" s="2477"/>
      <c r="T835" s="2478">
        <f>IF(AK548&gt;5,5,AK548)</f>
        <v>0</v>
      </c>
      <c r="U835" s="2478"/>
      <c r="V835" s="2478"/>
      <c r="W835" s="2478"/>
      <c r="X835" s="2478"/>
      <c r="Y835" s="2478"/>
      <c r="Z835" s="2459">
        <v>5</v>
      </c>
      <c r="AA835" s="2459"/>
      <c r="AB835" s="2459"/>
      <c r="AC835" s="2459"/>
      <c r="AD835" s="2459"/>
      <c r="AE835" s="2459"/>
      <c r="AF835" s="2459"/>
      <c r="AG835" s="2459"/>
      <c r="AH835" s="2459"/>
      <c r="AI835" s="2459"/>
      <c r="AJ835" s="2459"/>
      <c r="AK835" s="2459"/>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ht="13">
      <c r="A836" s="815" t="str">
        <f>A275</f>
        <v>h.</v>
      </c>
      <c r="B836" s="2476" t="str">
        <f>B275</f>
        <v>Readiness to Proceed</v>
      </c>
      <c r="C836" s="2476"/>
      <c r="D836" s="2476"/>
      <c r="E836" s="2476"/>
      <c r="F836" s="2476"/>
      <c r="G836" s="2476"/>
      <c r="H836" s="2476"/>
      <c r="I836" s="2476"/>
      <c r="J836" s="2476"/>
      <c r="K836" s="2476"/>
      <c r="L836" s="2476"/>
      <c r="M836" s="2476"/>
      <c r="N836" s="2476"/>
      <c r="O836" s="2476"/>
      <c r="P836" s="2476"/>
      <c r="Q836" s="2476"/>
      <c r="R836" s="2476"/>
      <c r="S836" s="2477"/>
      <c r="T836" s="2478">
        <f>AK298</f>
        <v>10</v>
      </c>
      <c r="U836" s="2478"/>
      <c r="V836" s="2478"/>
      <c r="W836" s="2478"/>
      <c r="X836" s="2478"/>
      <c r="Y836" s="2478"/>
      <c r="Z836" s="2459">
        <v>10</v>
      </c>
      <c r="AA836" s="2459"/>
      <c r="AB836" s="2459"/>
      <c r="AC836" s="2459"/>
      <c r="AD836" s="2459"/>
      <c r="AE836" s="2459"/>
      <c r="AF836" s="2487">
        <f>IF(T836&gt;Z836,Z836,T836)</f>
        <v>10</v>
      </c>
      <c r="AG836" s="2488"/>
      <c r="AH836" s="2488"/>
      <c r="AI836" s="2488"/>
      <c r="AJ836" s="2488"/>
      <c r="AK836" s="2489"/>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ht="13">
      <c r="A837" s="816" t="str">
        <f>A301</f>
        <v>i.</v>
      </c>
      <c r="B837" s="2476" t="str">
        <f>B301</f>
        <v>Access to Opportunity</v>
      </c>
      <c r="C837" s="2476"/>
      <c r="D837" s="2476"/>
      <c r="E837" s="2476"/>
      <c r="F837" s="2476"/>
      <c r="G837" s="2476"/>
      <c r="H837" s="2476"/>
      <c r="I837" s="2476"/>
      <c r="J837" s="2476"/>
      <c r="K837" s="2476"/>
      <c r="L837" s="2476"/>
      <c r="M837" s="2476"/>
      <c r="N837" s="2476"/>
      <c r="O837" s="2476"/>
      <c r="P837" s="2476"/>
      <c r="Q837" s="2476"/>
      <c r="R837" s="2476"/>
      <c r="S837" s="2477"/>
      <c r="T837" s="2478">
        <f>AK351</f>
        <v>10</v>
      </c>
      <c r="U837" s="2478"/>
      <c r="V837" s="2478"/>
      <c r="W837" s="2478"/>
      <c r="X837" s="2478"/>
      <c r="Y837" s="2478"/>
      <c r="Z837" s="2487">
        <v>10</v>
      </c>
      <c r="AA837" s="2488"/>
      <c r="AB837" s="2488"/>
      <c r="AC837" s="2488"/>
      <c r="AD837" s="2488"/>
      <c r="AE837" s="2489"/>
      <c r="AF837" s="2487">
        <f>IF(T837&gt;Z837,Z837,T837)</f>
        <v>10</v>
      </c>
      <c r="AG837" s="2488"/>
      <c r="AH837" s="2488"/>
      <c r="AI837" s="2488"/>
      <c r="AJ837" s="2488"/>
      <c r="AK837" s="2489"/>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t="13" hidden="1">
      <c r="A838" s="816"/>
      <c r="B838" s="817"/>
      <c r="C838" s="818" t="s">
        <v>1567</v>
      </c>
      <c r="D838" s="819"/>
      <c r="E838" s="819"/>
      <c r="F838" s="819"/>
      <c r="G838" s="819"/>
      <c r="H838" s="819"/>
      <c r="I838" s="819"/>
      <c r="J838" s="819"/>
      <c r="K838" s="819"/>
      <c r="L838" s="819"/>
      <c r="M838" s="819"/>
      <c r="N838" s="819"/>
      <c r="O838" s="819"/>
      <c r="P838" s="819"/>
      <c r="Q838" s="819"/>
      <c r="R838" s="817"/>
      <c r="S838" s="820"/>
      <c r="T838" s="2484">
        <f>AK351</f>
        <v>10</v>
      </c>
      <c r="U838" s="2484"/>
      <c r="V838" s="2484"/>
      <c r="W838" s="2484"/>
      <c r="X838" s="2484"/>
      <c r="Y838" s="2484"/>
      <c r="Z838" s="2388">
        <v>20</v>
      </c>
      <c r="AA838" s="2434"/>
      <c r="AB838" s="2434"/>
      <c r="AC838" s="2434"/>
      <c r="AD838" s="2434"/>
      <c r="AE838" s="2389"/>
      <c r="AF838" s="2486"/>
      <c r="AG838" s="2486"/>
      <c r="AH838" s="2486"/>
      <c r="AI838" s="2486"/>
      <c r="AJ838" s="2486"/>
      <c r="AK838" s="2486"/>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ht="13">
      <c r="A839" s="816" t="str">
        <f>A354</f>
        <v>j.</v>
      </c>
      <c r="B839" s="2476" t="s">
        <v>844</v>
      </c>
      <c r="C839" s="2476"/>
      <c r="D839" s="2476"/>
      <c r="E839" s="2476"/>
      <c r="F839" s="2476"/>
      <c r="G839" s="2476"/>
      <c r="H839" s="2476"/>
      <c r="I839" s="2476"/>
      <c r="J839" s="2476"/>
      <c r="K839" s="2476"/>
      <c r="L839" s="2476"/>
      <c r="M839" s="2476"/>
      <c r="N839" s="2476"/>
      <c r="O839" s="2476"/>
      <c r="P839" s="2476"/>
      <c r="Q839" s="2476"/>
      <c r="R839" s="2476"/>
      <c r="S839" s="2477"/>
      <c r="T839" s="2478">
        <f>AK482</f>
        <v>10</v>
      </c>
      <c r="U839" s="2478"/>
      <c r="V839" s="2478"/>
      <c r="W839" s="2478"/>
      <c r="X839" s="2478"/>
      <c r="Y839" s="2478"/>
      <c r="Z839" s="2487">
        <v>10</v>
      </c>
      <c r="AA839" s="2488"/>
      <c r="AB839" s="2488"/>
      <c r="AC839" s="2488"/>
      <c r="AD839" s="2488"/>
      <c r="AE839" s="2489"/>
      <c r="AF839" s="2459">
        <f>IF(T839&gt;Z839,Z839,T839)</f>
        <v>10</v>
      </c>
      <c r="AG839" s="2459"/>
      <c r="AH839" s="2459"/>
      <c r="AI839" s="2459"/>
      <c r="AJ839" s="2459"/>
      <c r="AK839" s="2459"/>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ht="13">
      <c r="A840" s="816" t="str">
        <f>A551</f>
        <v>k.</v>
      </c>
      <c r="B840" s="2476" t="s">
        <v>1548</v>
      </c>
      <c r="C840" s="2476"/>
      <c r="D840" s="2476"/>
      <c r="E840" s="2476"/>
      <c r="F840" s="2476"/>
      <c r="G840" s="2476"/>
      <c r="H840" s="2476"/>
      <c r="I840" s="2476"/>
      <c r="J840" s="2476"/>
      <c r="K840" s="2476"/>
      <c r="L840" s="2476"/>
      <c r="M840" s="2476"/>
      <c r="N840" s="2476"/>
      <c r="O840" s="2476"/>
      <c r="P840" s="2476"/>
      <c r="Q840" s="2476"/>
      <c r="R840" s="2476"/>
      <c r="S840" s="2477"/>
      <c r="T840" s="2478">
        <f>AK572</f>
        <v>12</v>
      </c>
      <c r="U840" s="2478"/>
      <c r="V840" s="2478"/>
      <c r="W840" s="2478"/>
      <c r="X840" s="2478"/>
      <c r="Y840" s="2478"/>
      <c r="Z840" s="2487">
        <v>12</v>
      </c>
      <c r="AA840" s="2488"/>
      <c r="AB840" s="2488"/>
      <c r="AC840" s="2488"/>
      <c r="AD840" s="2488"/>
      <c r="AE840" s="2489"/>
      <c r="AF840" s="2459">
        <f>IF(T840&gt;Z840,Z840,T840)</f>
        <v>12</v>
      </c>
      <c r="AG840" s="2459"/>
      <c r="AH840" s="2459"/>
      <c r="AI840" s="2459"/>
      <c r="AJ840" s="2459"/>
      <c r="AK840" s="2459"/>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ht="13">
      <c r="A841" s="816" t="str">
        <f>A575</f>
        <v>l.</v>
      </c>
      <c r="B841" s="2476" t="s">
        <v>1568</v>
      </c>
      <c r="C841" s="2476"/>
      <c r="D841" s="2476"/>
      <c r="E841" s="2476"/>
      <c r="F841" s="2476"/>
      <c r="G841" s="2476"/>
      <c r="H841" s="2476"/>
      <c r="I841" s="2476"/>
      <c r="J841" s="2476"/>
      <c r="K841" s="2476"/>
      <c r="L841" s="2476"/>
      <c r="M841" s="2476"/>
      <c r="N841" s="2476"/>
      <c r="O841" s="2476"/>
      <c r="P841" s="2476"/>
      <c r="Q841" s="2476"/>
      <c r="R841" s="2476"/>
      <c r="S841" s="2477"/>
      <c r="T841" s="2478">
        <f>AK816</f>
        <v>10</v>
      </c>
      <c r="U841" s="2478"/>
      <c r="V841" s="2478"/>
      <c r="W841" s="2478"/>
      <c r="X841" s="2478"/>
      <c r="Y841" s="2478"/>
      <c r="Z841" s="2487">
        <v>10</v>
      </c>
      <c r="AA841" s="2488"/>
      <c r="AB841" s="2488"/>
      <c r="AC841" s="2488"/>
      <c r="AD841" s="2488"/>
      <c r="AE841" s="2489"/>
      <c r="AF841" s="2459">
        <f>IF(T841&gt;Z841,Z841,T841)</f>
        <v>10</v>
      </c>
      <c r="AG841" s="2459"/>
      <c r="AH841" s="2459"/>
      <c r="AI841" s="2459"/>
      <c r="AJ841" s="2459"/>
      <c r="AK841" s="2459"/>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ht="13">
      <c r="A842" s="538" t="s">
        <v>1982</v>
      </c>
      <c r="B842" s="696" t="s">
        <v>1569</v>
      </c>
      <c r="C842" s="696"/>
      <c r="D842" s="696"/>
      <c r="E842" s="696"/>
      <c r="F842" s="696"/>
      <c r="G842" s="696"/>
      <c r="H842" s="696"/>
      <c r="I842" s="696"/>
      <c r="J842" s="696"/>
      <c r="K842" s="696"/>
      <c r="L842" s="696"/>
      <c r="M842" s="696"/>
      <c r="N842" s="696"/>
      <c r="O842" s="696"/>
      <c r="P842" s="696"/>
      <c r="Q842" s="696"/>
      <c r="R842" s="696"/>
      <c r="S842" s="1200"/>
      <c r="T842" s="2490"/>
      <c r="U842" s="2490"/>
      <c r="V842" s="2490"/>
      <c r="W842" s="2490"/>
      <c r="X842" s="2490"/>
      <c r="Y842" s="2490"/>
      <c r="Z842" s="2485" t="s">
        <v>1570</v>
      </c>
      <c r="AA842" s="2485"/>
      <c r="AB842" s="2485"/>
      <c r="AC842" s="2485"/>
      <c r="AD842" s="2485"/>
      <c r="AE842" s="2485"/>
      <c r="AF842" s="2487">
        <f>ABS(T842)</f>
        <v>0</v>
      </c>
      <c r="AG842" s="2488"/>
      <c r="AH842" s="2488"/>
      <c r="AI842" s="2488"/>
      <c r="AJ842" s="2488"/>
      <c r="AK842" s="2489"/>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5">
      <c r="A843" s="2491" t="s">
        <v>1571</v>
      </c>
      <c r="B843" s="2492"/>
      <c r="C843" s="2492"/>
      <c r="D843" s="2492"/>
      <c r="E843" s="2492"/>
      <c r="F843" s="2492"/>
      <c r="G843" s="2492"/>
      <c r="H843" s="2492"/>
      <c r="I843" s="2492"/>
      <c r="J843" s="2492"/>
      <c r="K843" s="2492"/>
      <c r="L843" s="2492"/>
      <c r="M843" s="2492"/>
      <c r="N843" s="2492"/>
      <c r="O843" s="2492"/>
      <c r="P843" s="2492"/>
      <c r="Q843" s="2492"/>
      <c r="R843" s="2492"/>
      <c r="S843" s="2492"/>
      <c r="T843" s="2492"/>
      <c r="U843" s="2492"/>
      <c r="V843" s="2492"/>
      <c r="W843" s="2492"/>
      <c r="X843" s="2492"/>
      <c r="Y843" s="2492"/>
      <c r="Z843" s="2492"/>
      <c r="AA843" s="2492"/>
      <c r="AB843" s="2492"/>
      <c r="AC843" s="2492"/>
      <c r="AD843" s="2492"/>
      <c r="AE843" s="2493"/>
      <c r="AF843" s="2497">
        <f ca="1">SUM(AF826:AK841)-AF842</f>
        <v>112</v>
      </c>
      <c r="AG843" s="2498"/>
      <c r="AH843" s="2498"/>
      <c r="AI843" s="2498"/>
      <c r="AJ843" s="2498"/>
      <c r="AK843" s="2499"/>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5">
      <c r="A844" s="2494"/>
      <c r="B844" s="2495"/>
      <c r="C844" s="2495"/>
      <c r="D844" s="2495"/>
      <c r="E844" s="2495"/>
      <c r="F844" s="2495"/>
      <c r="G844" s="2495"/>
      <c r="H844" s="2495"/>
      <c r="I844" s="2495"/>
      <c r="J844" s="2495"/>
      <c r="K844" s="2495"/>
      <c r="L844" s="2495"/>
      <c r="M844" s="2495"/>
      <c r="N844" s="2495"/>
      <c r="O844" s="2495"/>
      <c r="P844" s="2495"/>
      <c r="Q844" s="2495"/>
      <c r="R844" s="2495"/>
      <c r="S844" s="2495"/>
      <c r="T844" s="2495"/>
      <c r="U844" s="2495"/>
      <c r="V844" s="2495"/>
      <c r="W844" s="2495"/>
      <c r="X844" s="2495"/>
      <c r="Y844" s="2495"/>
      <c r="Z844" s="2495"/>
      <c r="AA844" s="2495"/>
      <c r="AB844" s="2495"/>
      <c r="AC844" s="2495"/>
      <c r="AD844" s="2495"/>
      <c r="AE844" s="2496"/>
      <c r="AF844" s="2500"/>
      <c r="AG844" s="2501"/>
      <c r="AH844" s="2501"/>
      <c r="AI844" s="2501"/>
      <c r="AJ844" s="2501"/>
      <c r="AK844" s="2502"/>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njZ12KWGYkp9LMRCYBRIjyfmmdbVRx4HtdbSE8Y9k38PQw0J+UtM0sZW1NeD+Ih56arU8g/QV98wsXWvy+4eZg==" saltValue="y35hvtDRAMOI+/avBfYbEQ=="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Compton, Cynthia</cp:lastModifiedBy>
  <cp:lastPrinted>2024-12-09T20:28:29Z</cp:lastPrinted>
  <dcterms:created xsi:type="dcterms:W3CDTF">2007-12-27T18:26:28Z</dcterms:created>
  <dcterms:modified xsi:type="dcterms:W3CDTF">2026-02-13T21:16:09Z</dcterms:modified>
</cp:coreProperties>
</file>